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F72C7C6A-0C88-CD48-930D-032506AE54A7}"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T4" i="1"/>
  <c r="BF5" i="1"/>
  <c r="BT5" i="1"/>
  <c r="BF6" i="1"/>
  <c r="BT6" i="1"/>
  <c r="BF7" i="1"/>
  <c r="BT7" i="1"/>
  <c r="BF8" i="1"/>
  <c r="BT8" i="1"/>
  <c r="BF9" i="1"/>
  <c r="BT9" i="1"/>
  <c r="BF10" i="1"/>
  <c r="BT10" i="1"/>
  <c r="BF11" i="1"/>
  <c r="BT11" i="1"/>
  <c r="BF12" i="1"/>
  <c r="BT12" i="1"/>
  <c r="BF13" i="1"/>
  <c r="BT13" i="1"/>
  <c r="BF14" i="1"/>
  <c r="BT14" i="1"/>
  <c r="BF15" i="1"/>
  <c r="BT15" i="1"/>
  <c r="BF16" i="1"/>
  <c r="BT16" i="1"/>
  <c r="BT17" i="1"/>
  <c r="BT18" i="1"/>
  <c r="BT19" i="1"/>
  <c r="BT20" i="1"/>
  <c r="BT21" i="1"/>
  <c r="BT22" i="1"/>
  <c r="BT23" i="1"/>
  <c r="BT24" i="1"/>
  <c r="BT25" i="1"/>
  <c r="BF26" i="1"/>
  <c r="BT26" i="1"/>
  <c r="BF27" i="1"/>
  <c r="BT27" i="1"/>
  <c r="BF28" i="1"/>
  <c r="BT28" i="1"/>
  <c r="BF29" i="1"/>
  <c r="BT29" i="1"/>
  <c r="BF30" i="1"/>
  <c r="BT30" i="1"/>
  <c r="BT31" i="1"/>
  <c r="BT32" i="1"/>
  <c r="BT33" i="1"/>
  <c r="BT34" i="1"/>
  <c r="BF35" i="1"/>
  <c r="BT35" i="1"/>
  <c r="BF36" i="1"/>
  <c r="BT36" i="1"/>
  <c r="BF37" i="1"/>
  <c r="BT37" i="1"/>
  <c r="BF38" i="1"/>
  <c r="BT38" i="1"/>
  <c r="BF39" i="1"/>
  <c r="BT39" i="1"/>
  <c r="BF40" i="1"/>
  <c r="BT40" i="1"/>
  <c r="BF41" i="1"/>
  <c r="BT41"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T63" i="1"/>
  <c r="BT64" i="1"/>
  <c r="BT65" i="1"/>
  <c r="BT66" i="1"/>
  <c r="BF67" i="1"/>
  <c r="BT67" i="1"/>
  <c r="BF68" i="1"/>
  <c r="BT68" i="1"/>
  <c r="BT69"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T125" i="1"/>
  <c r="BT126" i="1"/>
  <c r="BT127" i="1"/>
  <c r="BF128" i="1"/>
  <c r="BT128" i="1"/>
  <c r="BF129" i="1"/>
  <c r="BT129"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T309" i="1"/>
  <c r="BT310" i="1"/>
  <c r="BF311" i="1"/>
  <c r="BT311" i="1"/>
  <c r="BF312" i="1"/>
  <c r="BT312" i="1"/>
  <c r="BF313" i="1"/>
  <c r="BT313" i="1"/>
  <c r="BF314" i="1"/>
  <c r="BT314" i="1"/>
  <c r="BF315" i="1"/>
  <c r="BT315" i="1"/>
  <c r="BF316" i="1"/>
  <c r="BT316" i="1"/>
  <c r="BF317" i="1"/>
  <c r="BT317" i="1"/>
  <c r="BF318" i="1"/>
  <c r="BT318" i="1"/>
  <c r="BF319" i="1"/>
  <c r="BT319" i="1"/>
  <c r="BF320" i="1"/>
  <c r="BT320" i="1"/>
  <c r="BT321" i="1"/>
  <c r="BT322"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T341" i="1"/>
  <c r="BT342" i="1"/>
  <c r="BT343" i="1"/>
  <c r="BF344" i="1"/>
  <c r="BT344" i="1"/>
  <c r="BF345" i="1"/>
  <c r="BT345" i="1"/>
  <c r="BF346" i="1"/>
  <c r="BT346" i="1"/>
  <c r="BT347" i="1"/>
  <c r="BF348" i="1"/>
  <c r="BT348" i="1"/>
  <c r="BF349" i="1"/>
  <c r="BT349" i="1"/>
  <c r="BF350" i="1"/>
  <c r="BT350" i="1"/>
  <c r="BF351" i="1"/>
  <c r="BT351" i="1"/>
  <c r="BF352" i="1"/>
  <c r="BT352" i="1"/>
  <c r="BF353" i="1"/>
  <c r="BT353" i="1"/>
  <c r="BT354" i="1"/>
  <c r="BF355" i="1"/>
  <c r="BT355" i="1"/>
  <c r="BF356" i="1"/>
  <c r="BT356" i="1"/>
  <c r="BF357" i="1"/>
  <c r="BT357" i="1"/>
  <c r="BT358" i="1"/>
  <c r="BT359"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T373" i="1"/>
  <c r="BT374" i="1"/>
  <c r="BF375" i="1"/>
  <c r="BT375"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T471" i="1"/>
  <c r="BF472" i="1"/>
  <c r="BT472" i="1"/>
  <c r="BF473" i="1"/>
  <c r="BT473" i="1"/>
  <c r="BF474" i="1"/>
  <c r="BT474" i="1"/>
  <c r="BF475" i="1"/>
  <c r="BT475" i="1"/>
  <c r="BF476" i="1"/>
  <c r="BT476" i="1"/>
  <c r="BT477" i="1"/>
  <c r="BF478" i="1"/>
  <c r="BT478" i="1"/>
  <c r="BF479" i="1"/>
  <c r="BT479" i="1"/>
  <c r="BT480" i="1"/>
  <c r="BF481" i="1"/>
  <c r="BT481" i="1"/>
  <c r="BF482" i="1"/>
  <c r="BT482"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<sst xmlns="http://schemas.openxmlformats.org/spreadsheetml/2006/main" count="59641" uniqueCount="19154">
  <si>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</si>
  <si>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</si>
  <si>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</si>
  <si>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</si>
  <si>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</si>
  <si>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</si>
  <si>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</si>
  <si>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</si>
  <si>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</si>
  <si>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</si>
  <si>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</si>
  <si>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</si>
  <si>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</si>
  <si>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</si>
  <si>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</si>
  <si>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</si>
  <si>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</si>
  <si>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</si>
  <si>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</si>
  <si>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</si>
  <si>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</si>
  <si>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</si>
  <si>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</si>
  <si>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</si>
  <si>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</si>
  <si>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</si>
  <si>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</si>
  <si>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</si>
  <si>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</si>
  <si>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</si>
  <si>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</si>
  <si>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</si>
  <si>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</si>
  <si>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</si>
  <si>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</si>
  <si>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</si>
  <si>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</si>
  <si>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</si>
  <si>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</si>
  <si>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</si>
  <si>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</si>
  <si>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</si>
  <si>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</si>
  <si>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</si>
  <si>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</si>
  <si>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</si>
  <si>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</si>
  <si>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</si>
  <si>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</si>
  <si>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</si>
  <si>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</si>
  <si>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</si>
  <si>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</si>
  <si>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</si>
  <si>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</si>
  <si>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</si>
  <si>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</si>
  <si>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</si>
  <si>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</si>
  <si>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</si>
  <si>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</si>
  <si>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</si>
  <si>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</si>
  <si>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</si>
  <si>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</si>
  <si>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</si>
  <si>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</si>
  <si>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</si>
  <si>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</si>
  <si>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</si>
  <si>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</si>
  <si>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</si>
  <si>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</si>
  <si>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Ji, XW; Abakumov, E; Polyakov, V</t>
  </si>
  <si>
    <t/>
  </si>
  <si>
    <t>Ji, Xiaowen; Abakumov, Evgeny; Polyakov, Vyacheslav</t>
  </si>
  <si>
    <t>Assessments of pollution status and human health risk of heavy metals in permafrost-affected soils and lichens: A case-study in Yamal Peninsula, Russia Arctic</t>
  </si>
  <si>
    <t>HUMAN AND ECOLOGICAL RISK ASSESSMENT</t>
  </si>
  <si>
    <t>English</t>
  </si>
  <si>
    <t>Article</t>
  </si>
  <si>
    <t>heavy metals; health risk; soil pollution; lichen; Russia Arctic</t>
  </si>
  <si>
    <t>POLYCYCLIC AROMATIC-HYDROCARBONS; TRACE-ELEMENT CONCENTRATIONS; ATMOSPHERIC DEPOSITION; CETRARIELLA-DELISEI; ORGANIC-CARBON; FOOD CROPS; NY-ALESUND; 2 DECADES; CONTAMINATION; MERCURY</t>
  </si>
  <si>
    <t>The active mining activities have occurred intensively in Yamal Peninsula, Russia Actic, which may cause hazardous effects on local workers and indigenous Inuts. Geoaccumulation Index (Igeo), pollution Load Index (PLI), transfer factors (TFs), and hazard quotient (HQ) were utilized to the pollution level and human health risk of heavy metals in this region. Twenty samples of soil profile and five lichens were collected in this region. The highest concentrations of heavy metals were discovered in mining areas with a decreasing level of reference sites. Ni and Mn were the dominant metals in all sites. Cd, Ni, and Hg were beyond the regulatory threshold limit values. Igeo shows that Hg was highly or extremely polluted in all sites; Ni was highly moderately to highly polluted only in mining areas. PLI shows soils in all areas were polluted more than one metal. TFs of lichens showed that Cr, Hg, Cu, and Ni were more accumulated in lichens, which may cause bioaccumulation in tundra terrestrial ecosystem. (HQ) presented no health risk for adults as regarding heavy metals, while Ni, Mg, and Hg may cause potential health risks for the local children via soil ingestion. [GRAPHICS]</t>
  </si>
  <si>
    <t>[Ji, Xiaowen; Abakumov, Evgeny] St Petersburg State Univ, Dept Appl Ecol, Vasilyevskiy Isl 199178, Russia; [Polyakov, Vyacheslav] Arctic &amp; Antarctic Res Inst, St Petersburg, Russia; [Polyakov, Vyacheslav] St Petersburg State Agr Univ, Dept Soil Sci &amp; Agrochem, St Petersburg, Russia</t>
  </si>
  <si>
    <t>Saint Petersburg State University; Arctic &amp; Antarctic Research Institute</t>
  </si>
  <si>
    <t>Ji, XW (corresponding author), St Petersburg State Univ, Dept Appl Ecol, Vasilyevskiy Isl 199178, Russia.</t>
  </si>
  <si>
    <t>jixiaowen4321@qq.com</t>
  </si>
  <si>
    <t>Abakumov, e_abakumov@mail.ru/ADJ-1297-2022; Abakumov, Evgeny/AAO-8580-2020; Polyakov, Vyacheslav/H-5483-2016</t>
  </si>
  <si>
    <t>Abakumov, e_abakumov@mail.ru/0000-0002-5248-9018; Abakumov, Evgeny/0000-0002-5248-9018; Ji, Xiaowen/0000-0002-0507-7520; Polyakov, Vyacheslav/0000-0001-6171-3221</t>
  </si>
  <si>
    <t>Russian Foundation for basic research [16 -34 -60010, 18-44- 890003]; Government of the Yamalo-Nenets Autonomous District; Grant of Saint-Petersburg State University Urbanized ecosystems of the Russian Arctic: dynamics, state and sustainable development</t>
  </si>
  <si>
    <t>Russian Foundation for basic research(Russian Foundation for Basic Research (RFBR)Spanish Government); Government of the Yamalo-Nenets Autonomous District; Grant of Saint-Petersburg State University Urbanized ecosystems of the Russian Arctic: dynamics, state and sustainable development</t>
  </si>
  <si>
    <t>This study was supported by Russian Foundation for basic research, grants 16 -34 -60010 and 18-44- 890003,the Government of the Yamalo-Nenets Autonomous District and Grant of Saint-Petersburg State University Urbanized ecosystems of the Russian Arctic: dynamics, state and sustainable development.</t>
  </si>
  <si>
    <t>TAYLOR &amp; FRANCIS INC</t>
  </si>
  <si>
    <t>PHILADELPHIA</t>
  </si>
  <si>
    <t>530 WALNUT STREET, STE 850, PHILADELPHIA, PA 19106 USA</t>
  </si>
  <si>
    <t>1080-7039</t>
  </si>
  <si>
    <t>1549-7860</t>
  </si>
  <si>
    <t>HUM ECOL RISK ASSESS</t>
  </si>
  <si>
    <t>Hum. Ecol. Risk Assess.</t>
  </si>
  <si>
    <t>10.1080/10807039.2018.1490887</t>
  </si>
  <si>
    <t>Biodiversity Conservation; Environmental Sciences</t>
  </si>
  <si>
    <t>Science Citation Index Expanded (SCI-EXPANDED)</t>
  </si>
  <si>
    <t>Biodiversity &amp; Conservation; Environmental Sciences &amp; Ecology</t>
  </si>
  <si>
    <t>KG3YV</t>
  </si>
  <si>
    <t>2024-04-21</t>
  </si>
  <si>
    <t>WOS:000509880400016</t>
  </si>
  <si>
    <t>Yu, QZ; Hu, HB; Geng, XP; Jiang, YX; An, JC</t>
  </si>
  <si>
    <t>Yu, Qiuze; Hu, Haibo; Geng, Xupu; Jiang, Yuxuan; An, Jiachun</t>
  </si>
  <si>
    <t>High-Performance SAR Automatic Target Recognition Under Limited Data Condition Based on a Deep Feature Fusion Network</t>
  </si>
  <si>
    <t>IEEE ACCESS</t>
  </si>
  <si>
    <t>Automatic target recognition; deep convolutional networks; synthetic aperture radar; deep feature fusion; Gabor features</t>
  </si>
  <si>
    <t>CLASSIFICATION; IMAGERY</t>
  </si>
  <si>
    <t>Deep learning algorithms have been widely applied to the recognition of remote-sensing images due to their excellent performance on various recognition problems with sufficient data. However, limited data on synthetic aperture radar (SAR) images degrade the performance of neural networks for SAR automatic target recognition (ATR). To address this problem, this paper presents a new deep feature fusion framework by combining the Gabor features and information of raw SAR images and fusing the feature vectors extracted from different layers in our proposed neural network. Gabor features improve the richness of SAR image features. The number of free parameters of neural networks is largely reduced by utilizing large-scale convolutional kernel factorization and global average pooling. Moreover, the fusion of feature vectors from different layers helps improve the recognition performance of neural networks. Experimental results on the MSTAR dataset demonstrate the effectiveness of our proposed method. The proposed neural network can achieve an average accuracy of 99% on the classification of ten-class targets and even achieve a high recognition accuracy on limited data and noisy data.</t>
  </si>
  <si>
    <t>[Yu, Qiuze; Hu, Haibo; Jiang, Yuxuan] Wuhan Univ, Elect Informat Sch, Wuhan 430072, Peoples R China; [Geng, Xupu] Xiamen Univ, Coll Ocean &amp; Earth, Xiamen 361005, Peoples R China; [An, Jiachun] Wuhan Univ, Chinese Antarctic Ctr Surveying &amp; Mapping, Wuhan 430072, Peoples R China</t>
  </si>
  <si>
    <t>Wuhan University; Xiamen University; Wuhan University</t>
  </si>
  <si>
    <t>Hu, HB (corresponding author), Wuhan Univ, Elect Informat Sch, Wuhan 430072, Peoples R China.</t>
  </si>
  <si>
    <t>yuhenry007@whu.edu.cn</t>
  </si>
  <si>
    <t>Hu, Haibo/AAS-5704-2020; An, Jiachun/ABG-4275-2020</t>
  </si>
  <si>
    <t>Hu, Haibo/0000-0002-9008-2112;</t>
  </si>
  <si>
    <t>National Defense Innovation Science Foundation; National Natural Science Foundation of China [61174196]; Innovation Fund of Shanghai Academy of Space~ight Technology [SAST2017-080]</t>
  </si>
  <si>
    <t>National Defense Innovation Science Foundation; National Natural Science Foundation of China(National Natural Science Foundation of China (NSFC)); Innovation Fund of Shanghai Academy of Space~ight Technology</t>
  </si>
  <si>
    <t>This work was supported in part by the National Defense Innovation Science Foundation, in part by the National Natural Science Foundation of China under Grant 61174196, and in part by the Innovation Fund of Shanghai Academy of Space~ight Technology under Grant SAST2017-080.</t>
  </si>
  <si>
    <t>IEEE-INST ELECTRICAL ELECTRONICS ENGINEERS INC</t>
  </si>
  <si>
    <t>PISCATAWAY</t>
  </si>
  <si>
    <t>445 HOES LANE, PISCATAWAY, NJ 08855-4141 USA</t>
  </si>
  <si>
    <t>2169-3536</t>
  </si>
  <si>
    <t>IEEE Access</t>
  </si>
  <si>
    <t>10.1109/ACCESS.2019.2952928</t>
  </si>
  <si>
    <t>Computer Science, Information Systems; Engineering, Electrical &amp; Electronic; Telecommunications</t>
  </si>
  <si>
    <t>Computer Science; Engineering; Telecommunications</t>
  </si>
  <si>
    <t>KF8KP</t>
  </si>
  <si>
    <t>gold</t>
  </si>
  <si>
    <t>WOS:000509486300004</t>
  </si>
  <si>
    <t>S</t>
  </si>
  <si>
    <t>Chin, LW; Fung, TH</t>
  </si>
  <si>
    <t>Hester, RE; Harrison, RM</t>
  </si>
  <si>
    <t>Chin, Li Wai; Fung, Tse Hin</t>
  </si>
  <si>
    <t>Plastic in Marine Litter</t>
  </si>
  <si>
    <t>PLASTICS AND THE ENVIRONMENT</t>
  </si>
  <si>
    <t>Issues in Environmental Science and Technology Series</t>
  </si>
  <si>
    <t>Article; Book Chapter</t>
  </si>
  <si>
    <t>ANTARCTIC FUR SEALS; PERSISTENT ORGANIC POLLUTANTS; SHORT-TAILED SHEARWATERS; HAWAIIAN MONK SEAL; MAN-MADE DEBRIS; MICROPLASTIC POLLUTION; DEMERSAL FISH; GASTROINTESTINAL-TRACT; MEDITERRANEAN SEA; 1ST OBSERVATIONS</t>
  </si>
  <si>
    <t>Anthropogenic litter is found in marine environments from the beach, beach sediment and surface water to the seafloor. Plastic can persist and accumulate in the marine environment for a long period because of its light weight and degradation-resistant properties. The global production of plastic increased from 230 tonnes in 2005 to 322 tonnes in 2015. It has been estimated that plastic production will increase to 330 tonnes in 2017. Mismanaged plastic waste can enter the marine environment via both land-based sources and oceanic-based sources. Ocean gyres, oceanic convergence zones and even polar regions are regarded as plastic waste accumulation hotspots. Over 690 species including seabirds, turtles, and fish have been reported to ingest plastic debris. Additionally, large plastic debris, especially derelict fishing gear and packing bags, pose a plastic entanglement risk to marine organisms. Plastic debris can act as vectors for the accumulation of hydrophobic organic pollutants and heavy metals or metalloids, and thus potentially cause harmful effects to marine organisms, such as endocrine system disruption, liver and kidney failure, hormone alterations and teratogenicity. This chapter summarizes the sources, distributions and fates of plastic debris in the marine environment, as well as the physical and chemical effects induced by plastic debris. Finally, recommendations including legislation reinforcement, better management of waste collection systems and landfills, raising the awareness of different stakeholders and the application of advanced technology are suggested to reduce the amount of plastics in the marine environment.</t>
  </si>
  <si>
    <t>[Chin, Li Wai; Fung, Tse Hin] Educ Univ Hong Kong, Dept Sci &amp; Environm Studies, Hong Kong, Peoples R China</t>
  </si>
  <si>
    <t>Education University of Hong Kong (EdUHK)</t>
  </si>
  <si>
    <t>Chin, LW (corresponding author), Educ Univ Hong Kong, Dept Sci &amp; Environm Studies, Hong Kong, Peoples R China.</t>
  </si>
  <si>
    <t>waichin@eduhk.hk</t>
  </si>
  <si>
    <t>Research Grants Council of the Hong Kong Special Administrative Region, China [28100014]; Faculty of Liberal Arts and Social Sciences (Dean's Research Fund of the Education University of Hong Kong [04021]</t>
  </si>
  <si>
    <t>Research Grants Council of the Hong Kong Special Administrative Region, China(Hong Kong Research Grants Council); Faculty of Liberal Arts and Social Sciences (Dean's Research Fund of the Education University of Hong Kong</t>
  </si>
  <si>
    <t>The financial support provided by grants from the Research Grants Council of the Hong Kong Special Administrative Region, China (28100014) and the Faculty of Liberal Arts and Social Sciences (Dean's Research Fund (activity code 04021)) of the Education University of Hong Kong are gratefully acknowledged.</t>
  </si>
  <si>
    <t>ROYAL SOC CHEMISTRY</t>
  </si>
  <si>
    <t>CAMBRIDGE</t>
  </si>
  <si>
    <t>THOMAS GRAHAM HOUSE, SCIENCE PARK, CAMBRIDGE CB4 4WF, CAMBS, ENGLAND</t>
  </si>
  <si>
    <t>1350-7583</t>
  </si>
  <si>
    <t>978-1-78801-331-4; 978-1-78801-241-6</t>
  </si>
  <si>
    <t>ISS ENVIRON SCI TECH</t>
  </si>
  <si>
    <t>Iss Environ. Sci. Technol. Ser.</t>
  </si>
  <si>
    <t>10.1039/9781788013314</t>
  </si>
  <si>
    <t>Environmental Sciences; Public, Environmental &amp; Occupational Health</t>
  </si>
  <si>
    <t>Book Citation Index – Science (BKCI-S)</t>
  </si>
  <si>
    <t>Environmental Sciences &amp; Ecology; Public, Environmental &amp; Occupational Health</t>
  </si>
  <si>
    <t>BO2WB</t>
  </si>
  <si>
    <t>Bronze</t>
  </si>
  <si>
    <t>WOS:000508936200003</t>
  </si>
  <si>
    <t>C</t>
  </si>
  <si>
    <t>Haack, C; Lu, L; Yuan, TL</t>
  </si>
  <si>
    <t>Spiering, C</t>
  </si>
  <si>
    <t>Haack, Christian; Lu, Lu; Yuan, Tianlu</t>
  </si>
  <si>
    <t>IceCube Collaboration</t>
  </si>
  <si>
    <t>Improving the directional reconstruction of PeV hadronic cascades in IceCube</t>
  </si>
  <si>
    <t>VERY LARGE VOLUME NEUTRINO TELESCOPES (VLVNT-2018)</t>
  </si>
  <si>
    <t>EPJ Web of Conferences</t>
  </si>
  <si>
    <t>Proceedings Paper</t>
  </si>
  <si>
    <t>8th Conference on Very Large Volume Neutrino Telescopes (VLVnT)</t>
  </si>
  <si>
    <t>OCT 02-04, 2018</t>
  </si>
  <si>
    <t>Dubna, RUSSIA</t>
  </si>
  <si>
    <t>Many neutrino interactions measured by the IceCube Neutrino Observatory produce only hadronic showers, which appear as almost point-like light emission due to the large detector spacing (125 m). At PeV energies these showers often saturate the PMTs closest to the interaction vertex - thus the reconstruction has to rely on more diffused photons which requires precise understanding of the optical properties of the Antarctic ice. Muons produced in the hadronic showers carry information about the neutrino direction, and their Cherenkov light arrives earlier than the photons emitted by the electromagnetic component. A new reconstruction method has been developed which explicitly takes into account the muonic component of hadronic showers and is shown to be robust against systematic ice uncertainties. By applying the new reconstruction, the angular resolution of multi-PeV cascade events can be significantly improved. This will potentially enable follow-up studies of the highest-energy cascade events measured by IceCube.</t>
  </si>
  <si>
    <t>[Haack, Christian] Rhein Westfal TH Aachen, Phys Inst 3, Aachen, Germany; [Lu, Lu] Chiba Univ, Dept Phys, Chiba, Japan; [Lu, Lu] Chiba Univ, Inst Global Prominent Res, Chiba, Japan; [Yuan, Tianlu] Univ Wisconsin, Dept Phys, 1150 Univ Ave, Madison, WI 53706 USA; [Yuan, Tianlu] Univ Wisconsin, Wisconsin IceCube Particle Astrophys Ctr, 1150 Univ Ave, Madison, WI 53706 USA</t>
  </si>
  <si>
    <t>RWTH Aachen University; Chiba University; Chiba University; University of Wisconsin System; University of Wisconsin Madison; University of Wisconsin System; University of Wisconsin Madison</t>
  </si>
  <si>
    <t>Haack, C (corresponding author), Rhein Westfal TH Aachen, Phys Inst 3, Aachen, Germany.</t>
  </si>
  <si>
    <t>haack@physik.rwth-aachen.de; lulu@icecube.wisc.edu; tyuan@icecube.wisc.edu</t>
  </si>
  <si>
    <t>Haack, Christian/0000-0003-3932-2448</t>
  </si>
  <si>
    <t>E D P SCIENCES</t>
  </si>
  <si>
    <t>CEDEX A</t>
  </si>
  <si>
    <t>17 AVE DU HOGGAR PARC D ACTIVITES COUTABOEUF BP 112, F-91944 CEDEX A, FRANCE</t>
  </si>
  <si>
    <t>2100-014X</t>
  </si>
  <si>
    <t>978-2-7598-9066-8</t>
  </si>
  <si>
    <t>EPJ WEB CONF</t>
  </si>
  <si>
    <t>10.1051/epjconf/201920705003</t>
  </si>
  <si>
    <t>Astronomy &amp; Astrophysics; Optics; Physics, Multidisciplinary</t>
  </si>
  <si>
    <t>Conference Proceedings Citation Index - Science (CPCI-S)</t>
  </si>
  <si>
    <t>Astronomy &amp; Astrophysics; Optics; Physics</t>
  </si>
  <si>
    <t>BO2RK</t>
  </si>
  <si>
    <t>gold, Green Published</t>
  </si>
  <si>
    <t>WOS:000507941600031</t>
  </si>
  <si>
    <t>Auqué, LF; Puigdomenech, I; Tullborg, EL; Gimeno, MJ; Grodzinsky, K; Hogmalm, KJ</t>
  </si>
  <si>
    <t>Auque, L. F.; Puigdomenech, I; Tullborg, E-L; Gimeno, M. J.; Grodzinsky, K.; Hogmalm, K. J.</t>
  </si>
  <si>
    <t>Chemical weathering in a moraine at the ice sheet margin at Kangerlussuaq, western Greenland</t>
  </si>
  <si>
    <t>ARCTIC ANTARCTIC AND ALPINE RESEARCH</t>
  </si>
  <si>
    <t>Chemical weathering; till; moraine; isotope geochemistry; Greenland</t>
  </si>
  <si>
    <t>HAUT-GLACIER-DAROLLA; ORGANIC-CARBON; ISOTOPIC COMPOSITION; SULFIDE OXIDATION; PYRITE OXIDATION; PROGLACIAL ZONE; MELTWATER; CLIMATE; SULFATE; HYDROCHEMISTRY</t>
  </si>
  <si>
    <t>Weathering caused by interaction between glacial sediments and water in exposed moraines needs to be studied to evaluate their possible effects on the global carbon cycle. In this study, moraine ponds, moraine porewaters, and till samples were collected at a moraine adjacent to the Greenland Ice Sheet at Kangerlussuaq. Scanning electron microscopy (SEM) studies of the till show limited evidence of silicate chemical weathering, but the moraine waters have substantial solute concentrations. delta S-34(SO4) and delta O-18(SO4) data indicate that the origin of dissolved sulfate is the oxidation of sulfides, in agreement with the SEM observations. The dissolved HCO3-/SO42- molar ratios indicate an uneven balance between sulfuric and carbonic acid weathering; C-isotope data indicate that some of the CO2 originates from organic carbon mineralization. Ion-ion plots provide evidence of carbonate weathering and of the formation of secondary gypsum and calcite through evaporation and (or) cryoconcentration. The Sr-87/Sr-86 ratios in the waters correlate with the corresponding till samples, supporting the local origin of the dissolved strontium, which is higher in the waters than in the till due to the selective weathering of biotite. The data evidence a large degree of chemical weathering in moraines promoted by large rock-water ratios and by the hydraulic isolation created by the frozen till. The high PCO2 in the studied moraine waters indicates that they may represent a previously underestimated CO2 source.</t>
  </si>
  <si>
    <t>[Auque, L. F.; Gimeno, M. J.] Univ Zaragoza, Dept Earth Sci, C Pedro Cerbuna 12, E-50009 Zaragoza, Spain; [Puigdomenech, I] Swedish Nucl Fuel &amp; Waste Management Co SKB, Res &amp; Postclosure Safety, Solna, Sweden; [Tullborg, E-L] Terralog AB, Grabo, Sweden; [Grodzinsky, K.; Hogmalm, K. J.] Gothenburg Univ, Dept Earth Sci, Gothenburg, Sweden</t>
  </si>
  <si>
    <t>University of Zaragoza; Swedish Nuclear Fuel &amp; Waste Management Company (SKB); University of Gothenburg</t>
  </si>
  <si>
    <t>Gimeno, MJ (corresponding author), Univ Zaragoza, Dept Earth Sci, C Pedro Cerbuna 12, E-50009 Zaragoza, Spain.</t>
  </si>
  <si>
    <t>mjgimeno@unizar.es</t>
  </si>
  <si>
    <t>Gimeno, Maria Jose/AAA-1431-2019; Sanz, Luis F. Auque/Z-2534-2019</t>
  </si>
  <si>
    <t>Gimeno, Maria Jose/0000-0001-5645-9150; Tullborg, Eva-Lena/0000-0002-2937-7763; Hogmalm, Johan/0000-0003-3857-3261; Auque Sanz, Luis Francisco/0000-0003-1463-1682; Puigdomenech, Ignasi/0000-0003-0210-9360</t>
  </si>
  <si>
    <t>Swedish Nuclear Fuel and Waste Management Company (SKB)</t>
  </si>
  <si>
    <t>This work was funded by the Swedish Nuclear Fuel and Waste Management Company (SKB).</t>
  </si>
  <si>
    <t>TAYLOR &amp; FRANCIS LTD</t>
  </si>
  <si>
    <t>ABINGDON</t>
  </si>
  <si>
    <t>2-4 PARK SQUARE, MILTON PARK, ABINGDON OR14 4RN, OXON, ENGLAND</t>
  </si>
  <si>
    <t>1523-0430</t>
  </si>
  <si>
    <t>1938-4246</t>
  </si>
  <si>
    <t>ARCT ANTARCT ALP RES</t>
  </si>
  <si>
    <t>Arct. Antarct. Alp. Res.</t>
  </si>
  <si>
    <t>10.1080/15230430.2019.1660125</t>
  </si>
  <si>
    <t>Environmental Sciences; Geography, Physical</t>
  </si>
  <si>
    <t>Environmental Sciences &amp; Ecology; Physical Geography</t>
  </si>
  <si>
    <t>KD9IT</t>
  </si>
  <si>
    <t>Green Published, gold</t>
  </si>
  <si>
    <t>WOS:000508175700002</t>
  </si>
  <si>
    <t>Sieber, TN</t>
  </si>
  <si>
    <t>Sieber, Thomas N.</t>
  </si>
  <si>
    <t>The endophyte Allantophomopsis cytisporea is associated with snow blight on Calluna vulgaris in the Alps-An effect of climate change?</t>
  </si>
  <si>
    <t>Snow mold; climate change; timberline; fungal interaction; forest regeneration</t>
  </si>
  <si>
    <t>FUNGI; PHACIDIACEAE</t>
  </si>
  <si>
    <t>Shoots of Calluna vulgaris, Erica carnea, Juniperus communis subsp. nana, Picea abies, and Pinus mugo subsp. mugo covered with felty, melanized epiphytic mycelia typical for brown felt blight caused by Herpotrichia pinetorum were collected at several locations in the Swiss Alps. Most cultures prepared from the mycelia on J. communis subsp. nana and P. abies were H. pinetorum, whereas the majority of cultures from P. mugo subsp. mugo and C. vulgaris were identified by internal transcribed spacer ITS1-5.8S-ITS2 sequencing and morphology as Allantophomopsis cytisporea. The fungus tolerates low temperatures, has an optimum between 16 degrees C and 24 degrees C, and ceases to grow at 28 degrees C. 35 degrees C is lethal. A. cytisporea is known as the causal agent of cranberry black rot on Vaccinium macrocarpon but has never been described as a snow mold. A. cytisporea is an endophyte in C. vulgaris but seems able to kill leaflets and whole shoots during winter. The epiphytic mycelium can expand from C. vulgaris to neighboring shoots of P. mugo subsp. mugo and J. communis subsp. nana below the snow where it forms epiphytic mycelial mats reminiscent of H. pinetorum. H. pinetorum has a strong antibiotic effect against A. cytisporea at 4 degrees C and 20 degrees C, whereas A. cytisporea grows faster at these temperatures. The effects of climate change on the interaction between the two snow mold fungi and their consequences on regeneration of woody plants at timberline are discussed.</t>
  </si>
  <si>
    <t>[Sieber, Thomas N.] Swiss Fed Inst Technol, Inst Integrat Biol Forest Pathol &amp; Dendrol, CH-8092 Zurich, Switzerland</t>
  </si>
  <si>
    <t>Swiss Federal Institutes of Technology Domain; ETH Zurich</t>
  </si>
  <si>
    <t>Sieber, TN (corresponding author), Swiss Fed Inst Technol, Inst Integrat Biol Forest Pathol &amp; Dendrol, CH-8092 Zurich, Switzerland.</t>
  </si>
  <si>
    <t>thomas.sieber@env.ethz.ch</t>
  </si>
  <si>
    <t>Sieber, Thomas/JBJ-5736-2023</t>
  </si>
  <si>
    <t>sieber, thomas/0000-0002-1591-9074</t>
  </si>
  <si>
    <t>10.1080/15230430.2019.1676951</t>
  </si>
  <si>
    <t>WOS:000508175700003</t>
  </si>
  <si>
    <t>Kim, DH; Kim, HM; Hong, J</t>
  </si>
  <si>
    <t>Kim, Dae-Hui; Kim, Hyun Mee; Hong, Jinkyu</t>
  </si>
  <si>
    <t>Evaluation of wind forecasts over Svalbard using the high-resolution Polar WRF with 3DVAR</t>
  </si>
  <si>
    <t>Polar WRF with 3DVAR; data assimilation; wind forecast; polar low; Svalbard</t>
  </si>
  <si>
    <t>ATMOSPHERIC BOUNDARY-LAYER; ARCTIC SYSTEM REANALYSIS; PREDICTION; CYCLONE; MODEL; CLIMATOLOGY; CONVECTION; TURBULENCE; ENSEMBLE; WEATHER</t>
  </si>
  <si>
    <t>In this study, the performance of wind forecasts over Svalbard, located between the Arctic Ocean and the Norwegian Sea, was evaluated using the Polar Weather Research and Forecasting (PWRF) model and three-dimensional variational data assimilation (DA) system. The forecasts of the analysis-forecast cycling experiment using the PWRF 3DVAR were compared with those of the cold start experiment using reanalysis as the initial condition. Three strong wind cases that occurred during January and February 2011-2012 were selected, where polar lows were generated on the east coast of Greenland and generated a wind speed above 20 m s(-1) in Svalbard. The wind speed forecasts for both cycling and cold start experiments were similar to the highest 10-minute average wind speed for the last 1 hour (HAW). The average root mean square error (RMSE) of the forecasts in the cold start experiment from HAW was 3.78 m s(-1) for three cases and was greater than that in the cycling experiment. The forecast performance in the cycling experiment was comparable to, or even better than, that in the cold start experiment, which implies that the cycling system with DA is more useful than the cold start system in forecasting polar weather to support research activities.</t>
  </si>
  <si>
    <t>[Kim, Dae-Hui; Kim, Hyun Mee; Hong, Jinkyu] Yonsei Univ, Dept Atmospher Sci, 50 Yonsei Ro, Seoul 03722, South Korea</t>
  </si>
  <si>
    <t>Yonsei University</t>
  </si>
  <si>
    <t>Kim, HM (corresponding author), Yonsei Univ, Dept Atmospher Sci, 50 Yonsei Ro, Seoul 03722, South Korea.</t>
  </si>
  <si>
    <t>khm@yonsei.ac.kr</t>
  </si>
  <si>
    <t>Hong, Jinkyu/C-5081-2009</t>
  </si>
  <si>
    <t>Hong, Jinkyu/0000-0003-0139-602X</t>
  </si>
  <si>
    <t>Korea Polar Research Institute (KOPRI) [PN19081]; National Research Foundation of Korea (NRF) - South Korean government (Ministry of Science and ICT) [2017R1E1A1A03070968]; National Center for Meteorological Supercomputer of Korea Meteorological Administration (KMA)</t>
  </si>
  <si>
    <t>Korea Polar Research Institute (KOPRI)(Korea Polar Research Institute of Marine Research Placement (KOPRI)); National Research Foundation of Korea (NRF) - South Korean government (Ministry of Science and ICT)(National Research Foundation of Korea); National Center for Meteorological Supercomputer of Korea Meteorological Administration (KMA)(Korea Meteorological Administration (KMA))</t>
  </si>
  <si>
    <t>This work was supported by the Korea Polar Research Institute (KOPRI, PN19081) and a National Research Foundation of Korea (NRF) grant funded by the South Korean government (Ministry of Science and ICT, Grant 2017R1E1A1A03070968). The simulations were mostly carried out by utilizing the supercomputer system supported by the National Center for Meteorological Supercomputer of Korea Meteorological Administration (KMA).</t>
  </si>
  <si>
    <t>10.1080/15230430.2019.1676939</t>
  </si>
  <si>
    <t>WOS:000508175700004</t>
  </si>
  <si>
    <t>Ogric, M; Knadel, M; Kristiansen, SM; Peng, Y; De Jonge, LW; Adhikari, K; Greve, MH</t>
  </si>
  <si>
    <t>Ogric, M.; Knadel, M.; Kristiansen, S. M.; Peng, Y.; De Jonge, L. W.; Adhikari, K.; Greve, M. H.</t>
  </si>
  <si>
    <t>Soil organic carbon predictions in Subarctic Greenland by visible-near infrared spectroscopy</t>
  </si>
  <si>
    <t>Soil organic carbon; visible-near-infrared spectroscopy; subarctic; Greenland</t>
  </si>
  <si>
    <t>REFLECTANCE SPECTROSCOPY; NIR; VARIABILITY; LANDSCAPE; SPECTRA; MODELS; MATTER; REGRESSION; EROSION; SPIKING</t>
  </si>
  <si>
    <t>Release of carbon from high-latitude soils to the atmosphere may have significant effects on Earth's climate. In this contribution, we evaluate visible-near-infrared spectroscopy (vis-NIRS) as a time- and cost-efficient tool for assessing soil organic carbon (SOC) concentrations in South Greenland. Soil samples were collected at two sites and analyzed with vis-NIRS. We used partial least square regression (PLS-R) modeling to predict SOC from vis-NIRS spectra referenced against in situ dry combustion measurements. The ability of our approach was validated in three setups: (1) calibration and validation data sets from the same location, (2) calibration and validation data sets from different locations, and (3) the same setup as in (2) with the calibration model enlarged with few samples from the opposite target area. Vis-NIRS predictions were successful in setup 1 (R-2 = 0.95, root mean square error of prediction [RMSEP] = 1.80 percent and R-2 = 0.82, RMSEP = 0.64 percent). Predictions in setup 2 had higher errors (R-2 = 0.90, RMSEP = 7.13 percent and R-2 = 0.78, RMSEP = 2.82 percent). In setup 3, the results were again improved (R-2 = 0.95, RMSEP = 2.03 percent and R-2 = 0.77, RMSEP = 2.14 percent). We conclude that vis-NIRS can obtain good results predicting SOC concentrations across two subarctic ecosystems, when the calibration models are augmented with few samples from the target site. Future efforts should be made toward determination of SOC stocks to constrain soil-atmosphere carbon exchange.</t>
  </si>
  <si>
    <t>[Ogric, M.] Univ Durham, Dept Geog, Sci Labs, Durham, England; [Ogric, M.; Kristiansen, S. M.] Aarhus Univ, Dept Geosci, Aarhus, Denmark; [Knadel, M.; Peng, Y.; De Jonge, L. W.; Greve, M. H.] Aarhus Univ, Dept Agroecol, Tjele, Denmark; [Adhikari, K.] Univ Arkansas, Dept Crop Soil &amp; Environm Sci, Fayetteville, AR 72701 USA</t>
  </si>
  <si>
    <t>Durham University; Aarhus University; Aarhus University; University of Arkansas System; University of Arkansas Fayetteville</t>
  </si>
  <si>
    <t>Ogric, M (corresponding author), Sci Labs, Dept Geog, South Rd, Durham DH1 3LE, England.</t>
  </si>
  <si>
    <t>mateja.ogric@durham.ac.uk</t>
  </si>
  <si>
    <t>Kristiansen, Søren M/A-4833-2012; de Jonge, Lis Wollesen/E-9757-2016; Knadel, Maria/O-9886-2015</t>
  </si>
  <si>
    <t>Greve, Mogens Humlekrog/0000-0001-9099-8940; Knadel, Maria/0000-0001-7539-6191; Kristiansen, Soren/0000-0003-3128-4061; Ogric, Mateja/0000-0002-1678-6445; PENG, YI/0000-0002-7836-8089</t>
  </si>
  <si>
    <t>Aarhus University Forskningsfond - Independent Research Fund Denmark [AUFF-E-2016-9-36]</t>
  </si>
  <si>
    <t>Aarhus University Forskningsfond - Independent Research Fund Denmark(Det Frie Forskningsrad (DFF))</t>
  </si>
  <si>
    <t>This research was partly funded by a research grant (AUFF-E-2016-9-36) from the Aarhus University Forskningsfond and the research project Glacial Flour as New, Climate-Positive Technology for Sustainable Agriculture in Greenland: NewLand, funded by the Independent Research Fund Denmark.</t>
  </si>
  <si>
    <t>10.1080/15230430.2019.1679939</t>
  </si>
  <si>
    <t>Green Accepted, Green Published, gold</t>
  </si>
  <si>
    <t>WOS:000508175700005</t>
  </si>
  <si>
    <t>Kolari, THM; Kumpula, T; Verdonen, M; Forbes, BC; Tahvanainen, T</t>
  </si>
  <si>
    <t>Kolari, Tiina H. M.; Kumpula, Timo; Verdonen, Mariana; Forbes, Bruce C.; Tahvanainen, Teemu</t>
  </si>
  <si>
    <t>Reindeer grazing controls willows but has only minor effects on plant communities in Fennoscandian oroarctic mires</t>
  </si>
  <si>
    <t>Herbivory; NDVI; plant communities; Salix; shrubification</t>
  </si>
  <si>
    <t>VEGETATION CHANGES; SPECIES RICHNESS; SHRUB EXPANSION; CARBON STOCKS; SEX-RATIOS; TUNDRA; DYNAMICS; GROWTH; CONSEQUENCES; HERBIVORES</t>
  </si>
  <si>
    <t>Shrubification of arctic tundra is a well-recognized phenomenon, and it can be particularly rapid in moist habitats. Reindeer grazing can inhibit shrubification, but grazing impacts on mire vegetation have been overlooked. We studied grazing effects on plant communities and Salix lapponum in oroarctic mires at the border of Finland and Norway. We compared plant community structure and S. lapponum abundance and traits between (1) grazed fens (Finland); (2) experimental exclosures (Finland), where reindeer have been kept out for 13 years; and (3) nongrazed fens (Norway). Grazing effect on shrubification was assessed using the Normalized Difference Vegetation Index (NDVI) and leaf area index (LAI). We did not find a uniform direction of vegetation change connected to the exclosure treatment, and grazing treatments were overlapping in multivariate ordination. Neither NDVI nor LAI indicated clear differences. Instead, significant results were revealed in total abundance of species groups and in S. lapponum traits. The cover of bryophytes was significantly lower under free grazing. Reindeer grazing reduced the abundance, height, and flowering and increased leaf N concentration of S. lapponum. We conclude that reindeer grazing controls willows and affects total abundance of important species groups, and plant community structure is resistant to grazing effects in oroarctic mires.</t>
  </si>
  <si>
    <t>[Kolari, Tiina H. M.; Tahvanainen, Teemu] Univ Eastern Finland, Dept Environm &amp; Biol Sci, POB 111, FI-80101 Joensuu, Finland; [Kumpula, Timo; Verdonen, Mariana] Univ Eastern Finland, Dept Geog &amp; Hist Studies, Joensuu, Finland; [Forbes, Bruce C.] Univ Lapland, Arctic Ctr, Rovaniemi, Finland</t>
  </si>
  <si>
    <t>University of Eastern Finland; University of Eastern Finland; University of Lapland</t>
  </si>
  <si>
    <t>Kolari, THM (corresponding author), Univ Eastern Finland, Dept Environm &amp; Biol Sci, POB 111, FI-80101 Joensuu, Finland.</t>
  </si>
  <si>
    <t>tiina.kolari@uef.fi</t>
  </si>
  <si>
    <t>Verdonen, Mariana/AAP-6686-2020; Forbes, Bruce/L-4431-2013</t>
  </si>
  <si>
    <t>Verdonen, Mariana/0000-0001-9780-0052; Forbes, Bruce/0000-0002-4593-5083; Kumpula, Timo/0000-0002-2716-7420; Kolari, Tiina Hilkka Maria/0000-0003-0955-2402; Tahvanainen, Teemu/0000-0002-7856-299X</t>
  </si>
  <si>
    <t>10.1080/15230430.2019.1679940</t>
  </si>
  <si>
    <t>Green Published, Green Submitted, gold</t>
  </si>
  <si>
    <t>WOS:000508175700006</t>
  </si>
  <si>
    <t>Chagnon, C; Boudreau, S</t>
  </si>
  <si>
    <t>Chagnon, Catherine; Boudreau, Stephane</t>
  </si>
  <si>
    <t>Shrub canopy induces a decline in lichen abundance and diversity in Nunavik (Quebec, Canada)</t>
  </si>
  <si>
    <t>Climate change; lichens; northern ecosystems; shrub expansion</t>
  </si>
  <si>
    <t>ARCTIC TUNDRA; VEGETATION; RESPONSES; HETEROGENEITY; COMMUNITIES; ECOSYSTEMS; FEEDBACKS</t>
  </si>
  <si>
    <t>Lichens are an important component of biodiversity in northern ecosystems and are involved in diverse ecological processes. They contribute to nutrient availability through nitrogen fixation, are a substantial part of caribou winter diet, and influence global climate by increasing land surface albedo. Over the last decades, increased primary productivity in northern ecosystems, mainly associated with the expansion of shrub species, has led to a decline of lichen-dominated areas. We evaluated the impacts of shrubs on lichens by comparing lichen communities in the open environment and underneath dwarf birch (Betula glandulosa) canopy in Nunavik, Canada. Our results showed a decrease in abundance, richness and evenness and a shift in community composition between open areas and understory. These changes were mainly induced by the presence of a shrub canopy rather than by its characteristics, because shrub height and canopy closure had little effect. Richness and evenness dropped from shrub edge to shrub center, suggesting that the intensity of the decline was positively correlated to the time spent under the shrub canopy. Important changes in lichen communities are therefore expected to occur with further shrub expansion and may have substantial unfavorable implications for global climate and ecosystem functioning.</t>
  </si>
  <si>
    <t>[Chagnon, Catherine; Boudreau, Stephane] Univ Laval, Dept Biol, 1045 Ave Med, Quebec City, PQ G1V 0A6, Canada; [Chagnon, Catherine; Boudreau, Stephane] Univ Laval, Ctr Etud Nord, Quebec City, PQ, Canada</t>
  </si>
  <si>
    <t>Laval University; Laval University</t>
  </si>
  <si>
    <t>Chagnon, C (corresponding author), Univ Laval, Dept Biol, 1045 Ave Med, Quebec City, PQ G1V 0A6, Canada.</t>
  </si>
  <si>
    <t>catherine.chagnon.2@ulaval.ca</t>
  </si>
  <si>
    <t>Boudreau, Stephane/I-7838-2012</t>
  </si>
  <si>
    <t>Boudreau, Stephane/0000-0002-1035-6452; Chagnon, Catherine/0000-0002-2854-3360</t>
  </si>
  <si>
    <t>Ministere des Forets, de la Faune et des Parcs (MFFP) of the government of Quebec; National Science and Engineering Research Council (NSERC) of Canada; Centres d'etudes nordiques (CEN); Northern Scientific Training Program (NSTP)</t>
  </si>
  <si>
    <t>Ministere des Forets, de la Faune et des Parcs (MFFP) of the government of Quebec; National Science and Engineering Research Council (NSERC) of Canada(Natural Sciences and Engineering Research Council of Canada (NSERC)); Centres d'etudes nordiques (CEN); Northern Scientific Training Program (NSTP)</t>
  </si>
  <si>
    <t>This work was funded by the Ministere des Forets, de la Faune et des Parcs (MFFP) of the government of Quebec, the National Science and Engineering Research Council (NSERC) of Canada, the Centres d'etudes nordiques (CEN), and Northern Scientific Training Program (NSTP).</t>
  </si>
  <si>
    <t>10.1080/15230430.2019.1688751</t>
  </si>
  <si>
    <t>WOS:000508175700007</t>
  </si>
  <si>
    <t>Northington, RM; Saros, JE; Burpee, BT; McCue, J</t>
  </si>
  <si>
    <t>Northington, Robert M.; Saros, Jasmine E.; Burpee, Benjamin T.; McCue, Joan</t>
  </si>
  <si>
    <t>Changes in mixing depth reduce phytoplankton biomass in an Arctic lake: Results from a whole-lake experiment</t>
  </si>
  <si>
    <t>Phytoplankton biomass; Arctic lakes; climate change; Greenland; whole-lake manipulation</t>
  </si>
  <si>
    <t>THERMAL STRATIFICATION; CYANOBACTERIAL BLOOMS; WEST GREENLAND; CLIMATE-CHANGE; ICE-COVER; TEMPERATURE; RESPONSES; LIGHT; WATER; DYNAMICS</t>
  </si>
  <si>
    <t>Research has revealed contradictory responses of primary producers in Arctic lakes to increasing temperatures, making it unclear how future warming and climate change will alter lake productivity. We conducted a whole-lake manipulation to examine the effect of altered thermal structure on phytoplankton biomass in a lake in Greenland, one of the most rapidly warming regions of the world. Deepened lake mixing (from 4 to 8 m) in the experimental lake led to significant declines in phytoplankton biomass in the sediment traps despite warmer surface waters, indicating that changes in mixing depth may negate a positive, direct effect of warming on primary producer biomass. Light limitation (induced by deeper mixing) of phytoplankton played a greater role than temperature in structuring these Arctic lake phytoplankton communities. To put the manipulation in context, we surveyed twenty-four lakes across western Greenland to determine the strongest regional predictors of phytoplankton density. Across the landscape, lake chemistry and light attenuation in the epilimnion were the most important predictors of algal assemblages in the survey lakes. Though temperature can directly influence lake ecosystems, multiple factors will affect mixing depths of Arctic lakes, potentially leading to variable effects of warming on phytoplankton biomass and community structure.</t>
  </si>
  <si>
    <t>[Northington, Robert M.] Husson Univ, Coll Sci &amp; Humanities, 1 Campus Circle, Bangor, ME 04401 USA; [Northington, Robert M.; Saros, Jasmine E.; Burpee, Benjamin T.; McCue, Joan] Univ Maine, Climate Change Inst, Orono, ME USA</t>
  </si>
  <si>
    <t>Husson University; University of Maine System; University of Maine Orono</t>
  </si>
  <si>
    <t>Northington, RM (corresponding author), Husson Univ, Coll Sci &amp; Humanities, 1 Campus Circle, Bangor, ME 04401 USA.</t>
  </si>
  <si>
    <t>northingtonr@husson.edu</t>
  </si>
  <si>
    <t>Northington, Robert/0000-0002-1347-0971</t>
  </si>
  <si>
    <t>Arctic System Science program of the U.S. National Science Foundation [1203434]; Office of Polar Programs (OPP); Directorate For Geosciences [1203434] Funding Source: National Science Foundation</t>
  </si>
  <si>
    <t>Arctic System Science program of the U.S. National Science Foundation(National Science Foundation (NSF)NSF - Directorate for Geosciences (GEO)); Office of Polar Programs (OPP); Directorate For Geosciences(National Science Foundation (NSF)NSF - Directorate for Geosciences (GEO))</t>
  </si>
  <si>
    <t>This work was supported by the Arctic System Science program of the U.S. National Science Foundation under Grant #1203434 to JES.</t>
  </si>
  <si>
    <t>10.1080/15230430.2019.1692412</t>
  </si>
  <si>
    <t>WOS:000508175700008</t>
  </si>
  <si>
    <t>Svoboda, J</t>
  </si>
  <si>
    <t>Svoboda, Josef</t>
  </si>
  <si>
    <t>On Professor Lawrence C. Bliss IN MEMORIAM</t>
  </si>
  <si>
    <t>Biographical-Item</t>
  </si>
  <si>
    <t>[Svoboda, Josef] Univ Toronto, Bot, Mississauga, ON, Canada</t>
  </si>
  <si>
    <t>University of Toronto</t>
  </si>
  <si>
    <t>Svoboda, J (corresponding author), Univ Toronto, Bot, Mississauga, ON, Canada.</t>
  </si>
  <si>
    <t>josef.svoboda@utoronto.ca</t>
  </si>
  <si>
    <t>10.1080/15230430.2019.1688992</t>
  </si>
  <si>
    <t>WOS:000508175700009</t>
  </si>
  <si>
    <t>Cherniaev, O; Kovtun, O</t>
  </si>
  <si>
    <t>Cherniaev, Oleksandr; Kovtun, Oleksandr</t>
  </si>
  <si>
    <t>ANTARCTIC AS OBJECT OF THE GENERAL HERITAGE OF HUMANITY AND TERRITORIAL CLAIMS ON IT</t>
  </si>
  <si>
    <t>SKHIDNOIEVROPEISKYI ISTORYCHNYI VISNYK-EAST EUROPEAN HISTORICAL BULLETIN</t>
  </si>
  <si>
    <t>Antarctica; territorial claims; human heritage; legal regime</t>
  </si>
  <si>
    <t>The purpose of the study is to analyze the history of the formation of the legal regime for international peace and security on the sixth continent. The methodology of the research is based on the principles of historicism, systemicity, scientism, verification, the author's objectivity, as well as the use of general scientific (analysis, synthesis, generalization) and special-historical (historicalgenetic, historical-typological, historical-systemic, historical and chronological) methods. The scientific novelty is that for the first time approaches to solving the problem of Antaretica governance have been generalized, the threats to international security related to the presence of territorial claims of some states on part of the sixth continent have been highlighted, the ways of formation of these threats and measures of the international society for their elimination have been shown. The Conclusions. The essence of the second legal regime is to recognize Antarctica as a common heritage of humanity, which should positively of fect the continued ban on geological exploration in the area, by extending the Madrid Protocol for an unlimited period or adopting a new document for this purpose. Antarctica can be qualified as an object of particular international interest. Analyzing the above possible legal regimes and trying to give preference to a fairer mechanism in resolving the issue of the international legal regime of Antarrtica, the conclusions obtained are that the sixth continent would be more expedient to consider the concept of the common heritage of mankind along with the opinions of all interested countries of the world - with different levels economic and social development and completely different legal systems and traditions.</t>
  </si>
  <si>
    <t>[Cherniaev, Oleksandr] Pereiaslav Khmelnytskyi Hryhorii Skovoroda State, State Higher Educ Inst, 82 Nezalezhnosti St, UA-14033 Chernihiv, Ukraine; [Kovtun, Oleksandr] Pereiaslav Khmelnytskyi Hryhorii Skovoroda State, Dept Management Educ &amp; Pract Psychol, 36 Bohdana Khmelnytskogo St, UA-08400 Pereiaslav Khmelnytskyi, Ukraine; [Kovtun, Oleksandr] Pereiaslav Khmelnytskyi Hryhorii Skovoroda State, State Higher Educ Inst, 36 Bohdana Khmelnytskogo St, UA-08400 Pereiaslav Khmelnytskyi, Ukraine</t>
  </si>
  <si>
    <t>Ministry of Education &amp; Science of Ukraine; Hryhorii Skovoroda University in Pereiaslav; Ministry of Education &amp; Science of Ukraine; Hryhorii Skovoroda University in Pereiaslav</t>
  </si>
  <si>
    <t>Cherniaev, O (corresponding author), Pereiaslav Khmelnytskyi Hryhorii Skovoroda State, State Higher Educ Inst, 82 Nezalezhnosti St, UA-14033 Chernihiv, Ukraine.</t>
  </si>
  <si>
    <t>uristksd2@gmail.com; kovtun3029@gmail.com</t>
  </si>
  <si>
    <t>Kovtun, Oleksandr Viktorovic/0000-0003-0145-7988</t>
  </si>
  <si>
    <t>IVAN FRANKO DROHOBYCH STATE PEDAGOGICAL UNIV</t>
  </si>
  <si>
    <t>LVIV</t>
  </si>
  <si>
    <t>46 LESIA UKRAINKA STR, DROHOBYCH, LVIV, 82100, UKRAINE</t>
  </si>
  <si>
    <t>2519-058X</t>
  </si>
  <si>
    <t>SKHIDNOIEVRO ISTOR V</t>
  </si>
  <si>
    <t>Skhidnoievropeiski Istor. Visnyk</t>
  </si>
  <si>
    <t>10.24919/2519-058x.13.188692</t>
  </si>
  <si>
    <t>History</t>
  </si>
  <si>
    <t>Emerging Sources Citation Index (ESCI)</t>
  </si>
  <si>
    <t>KE5DQ</t>
  </si>
  <si>
    <t>WOS:000508576400019</t>
  </si>
  <si>
    <t>Blokland, JC; Reid, CM; Worthy, TH; Tennyson, AJD; Clarke, JA; Scofield, RP</t>
  </si>
  <si>
    <t>Blokland, Jacob C.; Reid, Catherine M.; Worthy, Trevor H.; Tennyson, Alan J. D.; Clarke, Julia A.; Scofield, R. Paul</t>
  </si>
  <si>
    <t>Chatham Island Paleocene fossils provide insight into the palaeobiology, evolution, and diversity of early penguins (Aves, Sphenisciformes)</t>
  </si>
  <si>
    <t>PALAEONTOLOGIA ELECTRONICA</t>
  </si>
  <si>
    <t>new genus; new species; palaeontology; New Zealand; phylogenetics; waterbirds</t>
  </si>
  <si>
    <t>EOCENE ANTARCTIC PENGUINS; K-T BOUNDARY; TAKATIKA GRIT; MISSING DATA; SEYMOUR ISLAND; NEW-ZEALAND; EXTANT PENGUINS; CROSSVALLIA-UNIENWILLIA; PHYLOGENETIC INFERENCE; CRETACEOUS-PALEOGENE</t>
  </si>
  <si>
    <t>Numerous skeletal remains recovered in situ from the late early to middle Paleocene Takatika Grit of Chatham Island, New Zealand, are among the oldest known fossils attributed to the penguin clade (Aves, Sphenisciformes). They represent a new medium-sized taxon, for which we erect a new genus and species, and a second, notably larger form. These new penguins are analysed in a parsimony and Bayesian framework using an updated and revised phylogenetic matrix, based on morphological and molecular characters, and interpreted as among the most basal of known sphenisciforms, closely related to Waimanu. While sharing numerous characteristics with the earliest wing-propelled divers, the novel taxon records the oldest occurrence of the characteristic penguin tarsometatarsus morphology. These ancient Chatham Island representatives add to a growing number and increased morphological diversity of Paleocene penguins in the New Zealand region, suggesting an origin for the group there. With their addition to other Paleocene penguins, these taxa reveal that sphenisciforms rapidly diversified as non-volant piscivores in the southern oceans following the end-Cretaceous mass extinction. They also provide further evidence for the hypothesis that their origin predates the Paleocene. This implies that stem Sphenisciformes and their sister group, the Procellariiformes, both originated in, and so may be expected to occur in, the Late Cretaceous.</t>
  </si>
  <si>
    <t>[Blokland, Jacob C.; Worthy, Trevor H.] Flinders Univ S Australia, Coll Sci &amp; Engn, Biol Sci, Bedford Pk, SA 5042, Australia; [Reid, Catherine M.] Univ Canterbury, Coll Sci, Sch Earth &amp; Environm, Private Bag 4800, Christchurch 8140, New Zealand; [Tennyson, Alan J. D.] Museum New Zealand Te Papa Tongarewa, POB 467, Wellington 6140, New Zealand; [Clarke, Julia A.] Univ Texas Austin, Dept Geol Sci, Jackson Sch Geosci, 2305 Speedway Stop C1160, Austin, TX 78712 USA; [Scofield, R. Paul] Canterbury Museum, Rolleston Ave, Christchurch 8013, New Zealand</t>
  </si>
  <si>
    <t>Flinders University South Australia; University of Canterbury; University of Texas System; University of Texas Austin</t>
  </si>
  <si>
    <t>Blokland, JC (corresponding author), Flinders Univ S Australia, Coll Sci &amp; Engn, Biol Sci, Bedford Pk, SA 5042, Australia.</t>
  </si>
  <si>
    <t>jacob.blokland@flinders.edu.au; catherine.reid@canterbury.ac.nz; trevor.worthy@flinders.edu.au; AlanT@tepapa.govt.nz; Julia_Clarke@jsg.utexas.edu; pscofield@canterburymuseum.com</t>
  </si>
  <si>
    <t>Worthy, Trevor Henry/B-3781-2012</t>
  </si>
  <si>
    <t>Worthy, Trevor Henry/0000-0001-7047-4680; Blokland, Jacob Christopher/0000-0002-3353-5533</t>
  </si>
  <si>
    <t>Mason Trust Fund</t>
  </si>
  <si>
    <t>Importantly, we are deeply grateful to T. and D. Tuanui and family for allowing access to the fossil site, their invaluable logistic support, and enthusiasm for the Chatham Islands palaeontology. We thank J.D. Stilwell and parties, for instigating this research through the discovery and collection of the fossils for this study. We are also grateful to A.A. Mannering for the preparation of specimens NMNZ S.47303 and NMNZ S.47302, and to J.-C. Stahl for the photography of many of the specimens used in this study. Additionally, we would like to thank G. Mayr for numerous photos of specimens and granting permission for their use within this work. The specimens in this study were acquired by the Museum of New Zealand Te Papa Tongarewa under acquisition number #3120. We extend our thanks to the Hokotehi Moriori Trust for their aid in Te Re Moriori vocabulary, and also D.M. Richards, in relation to the name of the taxon described in this study. We are grateful to J.D. Stilwell, M.S.Y. Lee, V.L. De Pietri, P. Jadwiszczak, and G. Guinard for their helpful communication, feedback, and sharing of information, and five anonymous reviewers for their useful comments. This research would not have been possible without the use of the materials and facilities of Canterbury Museum, Museum of New Zealand Te Papa Tongarewa, the Department of Geological Sciences, University of Canterbury, and financial support from the Mason Trust Fund. Additionally, we greatly appreciate the use of the equipment at St. George's Radiology and the CT scanning of the fossils. Thank you all.</t>
  </si>
  <si>
    <t>COQUINA PRESS</t>
  </si>
  <si>
    <t>AMHERST</t>
  </si>
  <si>
    <t>C/O WHITEY HAGADORN, EXECUTIVE EDITOR, AMHERST COLLEGE, DEPT GEOLOGY, AMHERST, MA 01002 USA</t>
  </si>
  <si>
    <t>1935-3952</t>
  </si>
  <si>
    <t>1094-8074</t>
  </si>
  <si>
    <t>PALAEONTOL ELECTRON</t>
  </si>
  <si>
    <t>Palaeontol. electron.</t>
  </si>
  <si>
    <t>10.26879/1009</t>
  </si>
  <si>
    <t>Paleontology</t>
  </si>
  <si>
    <t>KA6NX</t>
  </si>
  <si>
    <t>WOS:000505914600026</t>
  </si>
  <si>
    <t>Morón-Alfonso, DA</t>
  </si>
  <si>
    <t>Moron-Alfonso, Daniel A.</t>
  </si>
  <si>
    <t>Exploring the paleobiology of ammonoids (Cretaceous, Antarctica) using non-invasive imaging methods</t>
  </si>
  <si>
    <t>Cephalopoda; ammonoids; palaeobiology; Antarctic; Maorites; computed tomography</t>
  </si>
  <si>
    <t>MARAMBIO GROUP; MICROTOMOGRAPHY; STRATIGRAPHY; EVOLUTION; BASIN; SHAPE</t>
  </si>
  <si>
    <t>Based on medical computed tomography (CT) data, herein I document the ontogenetic changes in conch morphology of Maorites densicostatus and M. seymourianus. For this purpose, 20 specimens were measured in 30 degrees steps starting from a shell diameter of 10 mm, to obtain the ontogenetic trajectories of several conch parameters. Results show that four morphological parameters, aperture height, whorl height, whorl width, and umbilical width have a low variation and can be easily modeled. In contrast, derived indices and whorl expansion rates show a high variation, and their ontogenetic trajectories can be categorized in two stages: the first stage is identified by a rapid morphological change (Perlatum stage), followed by a second stage showing a stable conch morphology (Gibbosum stage). Furthermore, the ontogenetic trajectories revealed that in adulthood, M. densicostatus exhibits similar morphologies to juveniles and sub-adults of M. seymourianus. This phenomenon could indicate a possible size-based heterochronic shift (paedomorphosis) as a possible evolutionary mechanism.</t>
  </si>
  <si>
    <t>[Moron-Alfonso, Daniel A.] Univ Buenos Aires, Fac Ciencias Exactas &amp; Nat, Dept Ciencias Geol, Area Paleontol, Ciudad Univ,Pab 2,C1428EGA, Buenos Aires, DF, Argentina</t>
  </si>
  <si>
    <t>University of Buenos Aires</t>
  </si>
  <si>
    <t>Morón-Alfonso, DA (corresponding author), Univ Buenos Aires, Fac Ciencias Exactas &amp; Nat, Dept Ciencias Geol, Area Paleontol, Ciudad Univ,Pab 2,C1428EGA, Buenos Aires, DF, Argentina.</t>
  </si>
  <si>
    <t>Paleokarzis@gmail.com</t>
  </si>
  <si>
    <t>10.26879/1007</t>
  </si>
  <si>
    <t>WOS:000505914600027</t>
  </si>
  <si>
    <t>B</t>
  </si>
  <si>
    <t>Truswell, E</t>
  </si>
  <si>
    <t>Truswell, Elizabeth</t>
  </si>
  <si>
    <t>But first, the plateau</t>
  </si>
  <si>
    <t>MEMORY OF ICE: THE ANTARCTIC VOYAGE OF THE GLOMAR CHALLENGER</t>
  </si>
  <si>
    <t>AUSTRALIAN NATL UNIV</t>
  </si>
  <si>
    <t>CANBERRA ACT</t>
  </si>
  <si>
    <t>P O BOX 4, 2600 CANBERRA ACT, AUSTRALIA</t>
  </si>
  <si>
    <t>978-1-76-046295-6; 978-1-76-046294-9</t>
  </si>
  <si>
    <t>10.1007/978-981-13-6386-3</t>
  </si>
  <si>
    <t>Engineering, Ocean; Geosciences, Multidisciplinary; History &amp; Philosophy Of Science</t>
  </si>
  <si>
    <t>Book Citation Index – Social Sciences &amp; Humanities (BKCI-SSH); Book Citation Index – Science (BKCI-S)</t>
  </si>
  <si>
    <t>Engineering; Geology; History &amp; Philosophy of Science</t>
  </si>
  <si>
    <t>BO2IR</t>
  </si>
  <si>
    <t>Green Submitted</t>
  </si>
  <si>
    <t>WOS:000505954100004</t>
  </si>
  <si>
    <t>Across the spreading ridge</t>
  </si>
  <si>
    <t>WOS:000505954100005</t>
  </si>
  <si>
    <t>Crossing the path of HMS Challenger</t>
  </si>
  <si>
    <t>WOS:000505954100006</t>
  </si>
  <si>
    <t>Encounter with Captain James Cook</t>
  </si>
  <si>
    <t>US National Science Foundation</t>
  </si>
  <si>
    <t>US National Science Foundation(National Science Foundation (NSF))</t>
  </si>
  <si>
    <t>The Eltanin was a survey vessel funded by the US National Science Foundation. In the Southern Ocean its role was to undertake geophysical surveys that would show the geometry of strata below the sea floor. This would give a preliminary picture of the expected strata, and would prevent the Challenger from drilling into structures that might trap petroleum. In 1975 the Eltanin was transferred to the Argentine Navy.</t>
  </si>
  <si>
    <t>WOS:000505954100007</t>
  </si>
  <si>
    <t>The memory of ice</t>
  </si>
  <si>
    <t>WOS:000505954100008</t>
  </si>
  <si>
    <t>The continent's imprint</t>
  </si>
  <si>
    <t>WOS:000505954100009</t>
  </si>
  <si>
    <t>Into the fabled sea</t>
  </si>
  <si>
    <t>WOS:000505954100010</t>
  </si>
  <si>
    <t>Traces of the forest</t>
  </si>
  <si>
    <t>WOS:000505954100011</t>
  </si>
  <si>
    <t>An intensity of green</t>
  </si>
  <si>
    <t>WOS:000505954100012</t>
  </si>
  <si>
    <t>Truswell, E.</t>
  </si>
  <si>
    <t>Memory of Ice: The Antarctic Voyage of the Glomar Challenger</t>
  </si>
  <si>
    <t>10.22459/MI.2019</t>
  </si>
  <si>
    <t>Bronze, Green Published</t>
  </si>
  <si>
    <t>WOS:000505954100014</t>
  </si>
  <si>
    <t>Nuzhyna, N; Parnikoza, I; Poronnik, O; Kozeretska, I; Kunakh, V</t>
  </si>
  <si>
    <t>Nuzhyna, Nataliia; Parnikoza, Ivan; Poronnik, Oksana; Kozeretska, Iryna; Kunakh, Viktor</t>
  </si>
  <si>
    <t>Anatomical variations of Deschampsia antarctica E. Desv. plants from distant Antarctic regions, in vitro culture, and in relations to Deschampsia caespitosa (L.) P. Beauv</t>
  </si>
  <si>
    <t>POLISH POLAR RESEARCH</t>
  </si>
  <si>
    <t>Antarctic; Deschampsia antarctica; leaf anatomy; Deschampsia caespitosa</t>
  </si>
  <si>
    <t>POACEAE; POPULATIONS; DIVERSITY</t>
  </si>
  <si>
    <t>This paper presents a comparative study on the anatomy of the Antarctic hairgrass (Deschampsia antarctica Desv.) from natural populations of two distant maritime Antarctic regions: the Argentine Islands (Antarctic Peninsula region) and the Point Thomas oasis (King George Island, South Shetland Islands). Comparison of D. antarctica plants from natural populations of Argentine Islands region and plants originated from seeds of these populations cultivated in vitro also was made. Additionally anatomical features of Deschampsia antarctica were compared with ones for D. caespitosa. The results of our study do not provide enough evidence to assert more pronounced xerophytic anatomical features in D. antarctica plants from more harsh conditions of Argentine Islands region. Such features (tx)th qualitative and quantitative) of D. antarctica mainly depend on local conditions, and not on the latitudinal or climatic gradient. In both regions it is possible to find individuals that represent different ecotypes which are adopted to open arid or more humid habitats. It has been shown that Antarctic hairgrass plants germinated from seeds and cultivated in vitro retain the qualitative anatomy features that are typical to plants from the initial natural populations. This is especially noticeable in the case of plants from Berthelot Island (BE1 study plots), which might indicate a genetic fixation and a manifested differentiation similar to DNA haplotypes or chromosomal forms. However, quantitative characteristics, in particular the epidermis parameters, are subject to changes due to the transfer to more favourable conditions. Also qualitative and quantitative difference of D. antarctica in contrast with D. caespitosa have been described. These differences could be useful for identifying these two species. Additionally the quantitative differences (such as the area of the epidermal cells and the number and size of stomata on the adaxial surface) of Alaskan D. caespitosa grown from seeds were detected in contrast to the naturally grown plants of the same species from Ushuaia.</t>
  </si>
  <si>
    <t>[Nuzhyna, Nataliia; Kozeretska, Iryna] Taras Shevchenko Natl Univ Kyiv, Educ &amp; Sci Ctr, Inst Biol &amp; Med, Volodymyrska Str 64, UA-01601 Kiev, Ukraine; [Parnikoza, Ivan; Poronnik, Oksana; Kozeretska, Iryna] Minist Educ &amp; Sci Ukraine, Sate Inst Natl Antarctic Ctr, 16 Taras Shevehenko Blvd, UA-01601 Kiev, Ukraine; [Parnikoza, Ivan; Poronnik, Oksana; Kunakh, Viktor] Natl Acad Sci Ukraine, Inst Mol Biol &amp; Genet, 150 Zabolotnogo Str, UA-03143 Kiev, Ukraine</t>
  </si>
  <si>
    <t>Ministry of Education &amp; Science of Ukraine; Taras Shevchenko National University of Kyiv; Ministry of Education &amp; Science of Ukraine; State Institution National Antarctic Scientific Center; National Academy of Sciences Ukraine; Institute of Molecular Biology &amp; Genetics of NASU</t>
  </si>
  <si>
    <t>Parnikoza, I (corresponding author), Minist Educ &amp; Sci Ukraine, Sate Inst Natl Antarctic Ctr, 16 Taras Shevehenko Blvd, UA-01601 Kiev, Ukraine.;Parnikoza, I (corresponding author), Natl Acad Sci Ukraine, Inst Mol Biol &amp; Genet, 150 Zabolotnogo Str, UA-03143 Kiev, Ukraine.</t>
  </si>
  <si>
    <t>ivan.parnikoza@uac.gov.ua</t>
  </si>
  <si>
    <t>Parnikoza, Ivan/I-2398-2016; Nuzhyna, Nataliia/ISS-8147-2023; Poronnik, Oksana/HJI-1907-2023; Kozeretska, Iryna A/F-1383-2010; Kunakh, Viktor A./HKV-4993-2023</t>
  </si>
  <si>
    <t>Nuzhyna, Nataliia/0000-0002-4404-4502; Ivan, Parnikoza/0000-0002-0490-8134</t>
  </si>
  <si>
    <t>POLSKA AKAD NAUK, POLISH ACAD SCIENCES</t>
  </si>
  <si>
    <t>WARSZAWA</t>
  </si>
  <si>
    <t>PL DEFILAD 1, WARSZAWA, 00-901, POLAND</t>
  </si>
  <si>
    <t>0138-0338</t>
  </si>
  <si>
    <t>2081-8262</t>
  </si>
  <si>
    <t>POL POLAR RES</t>
  </si>
  <si>
    <t>Pol. Polar. Res.</t>
  </si>
  <si>
    <t>10.24425/ppr.2019.130903</t>
  </si>
  <si>
    <t>Ecology; Geosciences, Multidisciplinary</t>
  </si>
  <si>
    <t>Environmental Sciences &amp; Ecology; Geology</t>
  </si>
  <si>
    <t>KA8GG</t>
  </si>
  <si>
    <t>WOS:000506039300004</t>
  </si>
  <si>
    <t>Carron, M; Hamard, F; Levraut, J; Blondeau, N</t>
  </si>
  <si>
    <t>Carron, Mathieu; Hamard, Fanny; Levraut, Jacques; Blondeau, Nicolas</t>
  </si>
  <si>
    <t>An acute coronary syndrome in Antarctica</t>
  </si>
  <si>
    <t>INTERNATIONAL MARITIME HEALTH</t>
  </si>
  <si>
    <t>acute coronary syndrome; chest pain; myocardial infarction; cruise ship; Antarctica</t>
  </si>
  <si>
    <t>MYOCARDIAL-INFARCTION; CRUISE SHIP; TEMPERATURE; WEATHER; TRIGGERS; CLIMATE</t>
  </si>
  <si>
    <t>Cruise tourism to Antarctica is constantly growing. Passengers and crewmembers may experience illnesses or injuries while traveling to remote areas with harsh weather conditions from where prompt evacuation is mostly unavailable. While a small explorer ship was at Wilhelmina bay (64 degrees 39' South and 62 degrees 08' West) in the Antarctic Peninsula, a 73-year-old male passenger presented with acute chest pain after two short excursions off the vessel in cold weather conditions. He was treated on board and remained clinically stable until the ship reached Ushuaia at the end of the cruise which was 5 days after the symptoms onset.</t>
  </si>
  <si>
    <t>[Carron, Mathieu; Hamard, Fanny; Levraut, Jacques] Ctr Hosp Univ Nice, Emergency Dept, F-06001 Nice, France; [Blondeau, Nicolas] Univ Cote Azur, CNRS, IPMC, UMR 7275, F-06560 Sophia Antipolis, France</t>
  </si>
  <si>
    <t>CHU Nice; Universite Cote d'Azur; Centre National de la Recherche Scientifique (CNRS); CNRS - National Institute for Biology (INSB)</t>
  </si>
  <si>
    <t>Carron, M (corresponding author), CHU Pasteur 2, Serv Urgencies, 30 Voie Romaine, F-06000 Nice, France.</t>
  </si>
  <si>
    <t>mathieu.carron01@gmail.com</t>
  </si>
  <si>
    <t>Blondeau, Nicolas P/M-5002-2016</t>
  </si>
  <si>
    <t>Blondeau, Nicolas P/0000-0001-5954-4094</t>
  </si>
  <si>
    <t>VIA MEDICA</t>
  </si>
  <si>
    <t>GDANSK</t>
  </si>
  <si>
    <t>UL SWIETOKRZYSKA 73, 80-180 GDANSK, POLAND</t>
  </si>
  <si>
    <t>1641-9251</t>
  </si>
  <si>
    <t>2081-3252</t>
  </si>
  <si>
    <t>INT MARIT HEALTH</t>
  </si>
  <si>
    <t>Int. Marit. Health</t>
  </si>
  <si>
    <t>10.5603/IMH.2019.0026</t>
  </si>
  <si>
    <t>Public, Environmental &amp; Occupational Health</t>
  </si>
  <si>
    <t>JZ5SC</t>
  </si>
  <si>
    <t>WOS:000505161700004</t>
  </si>
  <si>
    <t>Cai, CE; Yu, HB; Zhao, HB; Liu, XY; Jiao, BH; Chen, B</t>
  </si>
  <si>
    <t>Cai, Chuner; Yu, Haobing; Zhao, Huibin; Liu, Xiaoyu; Jiao, Binghua; Chen, Bo</t>
  </si>
  <si>
    <t>Identification and Tracking Activity of Fungus from the Antarctic Pole on Antagonistic of Aquatic Pathogenic Bacteria</t>
  </si>
  <si>
    <t>INTERNATIONAL JOURNAL OF AGRICULTURE AND BIOLOGY</t>
  </si>
  <si>
    <t>Antarctica fungus; Purification; Secondary metabolites; Structural identification</t>
  </si>
  <si>
    <t>METABOLITES</t>
  </si>
  <si>
    <t>To seek the lead compound with the activity of antagonistic aquatic pathogenic bacteria in Antarctica fungi, the work identified species of a previously collected fungus with high sensitivity to Aeromonas hydrophila ATCC7966 and Streptococcus agalactiae. Potential active compounds were separated from fermentation broth by activity tracking and identified in structure by spectrum. The results showed that this fungus had common characteristics as Basidiomycota in morphology. According to 18S rDNA and internal transcribed space (ITS) DNA sequencing, this fungus was identified as Bjerkandera adusta in family Meruliaceae. Two active compounds viz., veratric acid and erythro-1-(3, 5-dichlone-4-methoxyphenyl)-1, 2-propylene glycol were identified by nuclear magnetic resonance spectrum and mass spectrum. Veratric acid was separated for the first time from any fungus, while erythro-1-(3, 5-dichlone-4-methoxyphenyl)-1, 2-propylene glycol was once reported in Bjerkandera. In addition, 3-chlone-4-methoxybenzoi acid and 4-chlone-2-methoxybenzoic acid were identified by GC-MS. In the non-active compounds, the metabolic intermediate, veratraldehyde was identified with spectrum. The results concluded that there were various antibacterial active compounds in the extractum of fermentation liquor, which provides reference for developing new preventive drug against aquatic pathological bacteria. (C) 2019 Friends Science Publishers</t>
  </si>
  <si>
    <t>[Cai, Chuner; Yu, Haobing; Liu, Xiaoyu; Jiao, Binghua] Naval Med Univ, Coll Basic Med, Dept Biochem &amp; Mol Biol, Shanghai, Peoples R China; [Cai, Chuner; Zhao, Huibin] Shanghai Ocean Univ, Coll Marine Ecol &amp; Environm, Shanghai 201306, Peoples R China; [Cai, Chuner] Coinnovat Ctr Jiangsu Marine Bioind Technol, Lianyungang 222005, Jiangsu, Peoples R China; [Chen, Bo] Polar Res Inst China, Shanghai 200136, Peoples R China</t>
  </si>
  <si>
    <t>Naval Medical University; Shanghai Ocean University; Polar Research Institute of China</t>
  </si>
  <si>
    <t>Liu, XY (corresponding author), Naval Med Univ, Coll Basic Med, Dept Biochem &amp; Mol Biol, Shanghai, Peoples R China.</t>
  </si>
  <si>
    <t>biolxy@163.com</t>
  </si>
  <si>
    <t>Liu, Xiaoyu/HJH-8805-2023</t>
  </si>
  <si>
    <t>Cai, Chuner/0000-0001-9265-6602</t>
  </si>
  <si>
    <t>National Key R&amp;D Program of China [2018YFC1406705]; China Postdoctoral Science Foundation [2015M572743]; Ocean Public Welfare Scientific Research Project, Guangdong Oceanic Administration [GD2012-D01-001]; Key Laboratory of Integrated Marine Monitoring and Applied Technologies for Harmful Algal Blooms, S.O.A. [MATHAB201817]</t>
  </si>
  <si>
    <t>National Key R&amp;D Program of China; China Postdoctoral Science Foundation(China Postdoctoral Science Foundation); Ocean Public Welfare Scientific Research Project, Guangdong Oceanic Administration; Key Laboratory of Integrated Marine Monitoring and Applied Technologies for Harmful Algal Blooms, S.O.A.</t>
  </si>
  <si>
    <t>This research work was financially supported by National Key R&amp;D Program of China (Grant No. 2018YFC1406705), General Financial Grant from the China Postdoctoral Science Foundation (Grant No. 2015M572743), Ocean Public Welfare Scientific Research Project, Guangdong Oceanic Administration (Grant No. GD2012-D01-001), and Key Laboratory of Integrated Marine Monitoring and Applied Technologies for Harmful Algal Blooms, S.O.A. (Grant No. MATHAB201817). The funders did not play a role in the study design, data collection and analysis, decision to publish, or manuscript preparation.</t>
  </si>
  <si>
    <t>FRIENDS SCIENCE PUBL</t>
  </si>
  <si>
    <t>FAISALABAD</t>
  </si>
  <si>
    <t>399-B, PEOPLES COLONY NO 1, FAISALABAD, 38090, PAKISTAN</t>
  </si>
  <si>
    <t>1560-8530</t>
  </si>
  <si>
    <t>1814-9596</t>
  </si>
  <si>
    <t>INT J AGRIC BIOL</t>
  </si>
  <si>
    <t>Int. J. Agric. Biol.</t>
  </si>
  <si>
    <t>10.17957/IJAB/15.1203</t>
  </si>
  <si>
    <t>Agriculture, Multidisciplinary; Biology</t>
  </si>
  <si>
    <t>Agriculture; Life Sciences &amp; Biomedicine - Other Topics</t>
  </si>
  <si>
    <t>JZ0UR</t>
  </si>
  <si>
    <t>WOS:000504820000009</t>
  </si>
  <si>
    <t>Rodríguez-Martínez, M; Perejón, A; Moreno-Eiris, E; Menéndez, S; Buggisch, W</t>
  </si>
  <si>
    <t>Rodriguez-Martinez, M.; Perejon, A.; Moreno-Eiris, E.; Menendez, S.; Buggisch, W.</t>
  </si>
  <si>
    <t>Calcimicrobial-archaeocyath-bearing clasts from marine slope deposits of the Cambrian Mount Wegener Formation, Coats Land, Shackleton Range, Antarctica</t>
  </si>
  <si>
    <t>ESTUDIOS GEOLOGICOS-MADRID</t>
  </si>
  <si>
    <t>Calcimicrobes; Archaeocyaths; Shackleton Range; Antarctica; Gondwana</t>
  </si>
  <si>
    <t>The carbonate clasts from the Mount Wegener Formation provide sedimentological, diagenetic and palaeontological evidences of the destruction and resedimentation of a hidden/unknown Cambrian carbonate shallow-water record at the Coats Land region of Antarctica. This incomplete mosaic could play a key role in comparisons and biostratigraphic correlations between the Cambrian record of the Transantarctic Mountains, Ellsworth-Whitmore block and Antarctic Peninsula at the Antarctica continent. Moreover, it represents a key record in future palaeobiogeographic reconstructions of South Gondwana based on archaeocyathan assemblages.</t>
  </si>
  <si>
    <t>[Rodriguez-Martinez, M.; Perejon, A.; Moreno-Eiris, E.] Univ Complutense Madrid, Dept Geodinam Estratig &amp; Paleontol, Madrid, Spain; [Menendez, S.] IGME, Museo Geominero, Rios Rosas 23, Madrid 28003, Spain; [Buggisch, W.] Friedrich Alexander Univ Erlangen Nurnberg FAU, GeoZentrum Nordbayern, Schlossgarten 5, D-91054 Erlangen, Germany</t>
  </si>
  <si>
    <t>Complutense University of Madrid; University of Erlangen Nuremberg</t>
  </si>
  <si>
    <t>Rodríguez-Martínez, M (corresponding author), Univ Complutense Madrid, Dept Geodinam Estratig &amp; Paleontol, Madrid, Spain.</t>
  </si>
  <si>
    <t>martarm@geo.ucm.es; aparqueo@ucm.es; eiris@geo.ucm.es; s.menendez@igme.es</t>
  </si>
  <si>
    <t>Rodríguez-Martínez, Marta/ABF-8774-2021; Perejon, Antonio/K-1165-2014</t>
  </si>
  <si>
    <t>Rodríguez-Martínez, Marta/0000-0002-4363-5562; Menendez, Silvia/0000-0001-6074-9601</t>
  </si>
  <si>
    <t>CONSEJO SUPERIOR INVESTIGACIONES CIENTIFICAS-CSIC</t>
  </si>
  <si>
    <t>MADRID</t>
  </si>
  <si>
    <t>VITRUVIO 8, 28006 MADRID, SPAIN</t>
  </si>
  <si>
    <t>0367-0449</t>
  </si>
  <si>
    <t>1988-3250</t>
  </si>
  <si>
    <t>ESTUD GEOL-MADRID</t>
  </si>
  <si>
    <t>Estud. Geol-Madrid.</t>
  </si>
  <si>
    <t>e112</t>
  </si>
  <si>
    <t>10.3989/egeol.43586.567</t>
  </si>
  <si>
    <t>Geology</t>
  </si>
  <si>
    <t>JY8CC</t>
  </si>
  <si>
    <t>Green Accepted, gold</t>
  </si>
  <si>
    <t>WOS:000504634900022</t>
  </si>
  <si>
    <t>Thom, A; Ricken, T</t>
  </si>
  <si>
    <t>Zingoni, A</t>
  </si>
  <si>
    <t>Thom, A.; Ricken, T.</t>
  </si>
  <si>
    <t>Development of a thermodynamically consistent model towards biogeochemical processes within Antarctic sea ice microstructure within the extended Theory of Porous Media (eTPM)</t>
  </si>
  <si>
    <t>ADVANCES IN ENGINEERING MATERIALS, STRUCTURES AND SYSTEMS: INNOVATIONS, MECHANICS AND APPLICATIONS</t>
  </si>
  <si>
    <t>7th International Conference on Structural Engineering, Mechanics and Computation (SEMC)</t>
  </si>
  <si>
    <t>SEP 02-04, 2019</t>
  </si>
  <si>
    <t>Cape Town, SOUTH AFRICA</t>
  </si>
  <si>
    <t>According to NASA (National Aeronautics and Space Administration), Antarctic sea ice reached its lowest extent ever recorded by satellites at the end of summer 2017 after decades of moderate sea ice expansion. Besides a strong influence on the global climate, linking the exchange of energy and gases between the atmosphere and the ocean, changes in sea ice also have a biological impact on the structure and function of the ecosystem. These effects are strongly related to the physical and mechanical properties of the sea ice structure. Seawater is trapped in so-called brine pockets during the growth of sea ice, providing a natural habitat for sea ice microorganisms. The microorganisms are supplied with nutrients they need for primary production from the seawater. A small-scale modeling of the porosity of the sea ice and its inclusions and the solid/brine multiphase microstructure, respectively, thermodynamics of air-sea interactions as well as sea ice-biological linkages is a necessary tool to better understand the heterogeneous nature of sea ice. Based on the extended Theory of Porous Media (eTPM), the development of a multiphasic, multi-component model which enables the continuum mechanical description of transport and phase transition phenomena in sea ice at a homogenized pore scale is developed. The foundation builds a biphasic (ice and brine) model, in which the brine is composed of freshwater and salt.</t>
  </si>
  <si>
    <t>[Thom, A.; Ricken, T.] Univ Stuttgart, Inst Mech Struct Anal &amp; Dynam Aerosp Engn, Stuttgart, Germany</t>
  </si>
  <si>
    <t>University of Stuttgart</t>
  </si>
  <si>
    <t>Thom, A (corresponding author), Univ Stuttgart, Inst Mech Struct Anal &amp; Dynam Aerosp Engn, Stuttgart, Germany.</t>
  </si>
  <si>
    <t>Ricken, Tim/G-2100-2012</t>
  </si>
  <si>
    <t>Ricken, Tim/0000-0001-8515-5009</t>
  </si>
  <si>
    <t>CRC PRESS-BALKEMA</t>
  </si>
  <si>
    <t>LEIDEN</t>
  </si>
  <si>
    <t>PO BOX 11320, LEIDEN, South Holland, NETHERLANDS</t>
  </si>
  <si>
    <t>978-0-429-42650-6; 978-1-138-38696-9</t>
  </si>
  <si>
    <t>Engineering, Civil; Materials Science, Multidisciplinary</t>
  </si>
  <si>
    <t>Engineering; Materials Science</t>
  </si>
  <si>
    <t>BO2AY</t>
  </si>
  <si>
    <t>WOS:000504648100050</t>
  </si>
  <si>
    <t>Marquart, R; Bogaers, A; Vichi, M; MacHutchon, K; Schröder, J; Skatulla, S</t>
  </si>
  <si>
    <t>Marquart, R.; Bogaers, A.; Vichi, M.; MacHutchon, K.; Schroeder, J.; Skatulla, S.</t>
  </si>
  <si>
    <t>Computational modelling of the dynamics of sea ice in the Antarctic marginal ice zone</t>
  </si>
  <si>
    <t>RHEOLOGY</t>
  </si>
  <si>
    <t>Sea ice plays a significant role in the global climate and covers approximately 10% of the earth's surface (Wilchinsky and Feltham, 2006). Understanding sea ice dynamics and thermodynamics results in better sea ice predictions and therefore a better comprehension of the Antarctic marginal ice zone (MIZ) (Herman, 2016). Large-scale sea ice models, such as Hibler's viscous-plastic sea ice model, which has been developed to operate successfully at length scales of 10 to 100 kilometer-domain size. The viscous-plastic model by (Hibler, 1979a, Hibler, 1979b) is largely recognised as the standard sea ice dynamics model, which has been widely applied in global climate models. Finer-scale models of sea ice dynamics are scarce (Dansereau et al., 2016), in particular with respect to the characteristic pancake ice found in the Antarctic MIZ. Therefore, the focus in this work is on small-scale modelling of pancake sea ice dynamics. (Hibler, 1979a, Hibler, 1979b) describes a sea ice model in which the internal ice stress and strain rate are related by means of a viscous-plastic sea ice rheology. A large sea ice area, consisting of a fractured surface with different floe sizes and heterogeneous characteristics, is modelled as an isotropic, continuous and homogeneous material (Hutchings et al., 2004). Hibler's model considers pack ice as a single homogenized material with constant ice density, where ice thickness, ice coverage and ice velocity are the main variables. An existing large-scale numerical model, based on Hibler's model, has been implemented in the computational fluid dynamics software OpenFOAM by (Bogaers et al., 2018). This paper reports on the modification to the large-scale OpenFOAM model to develop a more detailed small-scale sea ice model, considering a heterogeneous sea ice material composition consisting of separately pancake ice and frazil ice with distinct properties. The thermodynamics of sea ice is neglected, since only small time periods of a few minutes are modelled. Pancake-frazil and pancake-pancake ice interactions are analysed. More realistic atmospheric conditions are applied (Mehlmann and Richter, 2017), including wind, current and wave loading. Average stress, strain rate and viscosities are obtained.</t>
  </si>
  <si>
    <t>[Marquart, R.; MacHutchon, K.; Skatulla, S.] Univ Cape Town, Dept Civil Engn, Cape Town, South Africa; [Bogaers, A.] Ex Mente Technol, Pretoria, South Africa; [Bogaers, A.] Univ Witwatersrand, Sch Comp Sci &amp; Appl Math, Johannesburg, South Africa; [Vichi, M.] Univ Cape Town, Dept Oceanog, Cape Town, South Africa; [Schroeder, J.] Univ Duisburg Essen, Inst Mech, Duisburg, Germany</t>
  </si>
  <si>
    <t>University of Cape Town; University of Witwatersrand; University of Cape Town; University of Duisburg Essen</t>
  </si>
  <si>
    <t>Marquart, R (corresponding author), Univ Cape Town, Dept Civil Engn, Cape Town, South Africa.</t>
  </si>
  <si>
    <t>Skatulla, Sebastian/AAU-9706-2020; Vichi, Marcello/GLR-9823-2022; Schroder, Jorg/S-2315-2016</t>
  </si>
  <si>
    <t>Vichi, Marcello/0000-0002-0686-9634; Skatulla, Sebastian/0000-0003-1061-3356; Schroder, Jorg/0000-0001-7960-9553</t>
  </si>
  <si>
    <t>National Research Foundation (NRF) of South Africa [104839, 105858]</t>
  </si>
  <si>
    <t>National Research Foundation (NRF) of South Africa(National Research Foundation - South Africa)</t>
  </si>
  <si>
    <t>This paper, 'Computational modelling of the dynamics of sea ice in the Antarctic marginal ice zone', is part of a project for a doctoral degree in the field of Civil Engineering, which is carried out within the Polar Engineering Research Group at the University of Cape Town. This research has been supported by the National Research Foundation (NRF) of South Africa (Grant Numbers 104839 and 105858). Opinions expressed, and conclusions arrived at, are those of the author and are not necessarily to be attributed to the NRF.</t>
  </si>
  <si>
    <t>WOS:000504648100061</t>
  </si>
  <si>
    <t>Cook, AD; Skatulla, S; MacHutchon, K; Ricken, T; Schroder, J</t>
  </si>
  <si>
    <t>Cook, A. D.; Skatulla, S.; MacHutchon, K.; Ricken, T.; Schroder, J.</t>
  </si>
  <si>
    <t>A review on modelling of brine transport mechanisms in sea ice</t>
  </si>
  <si>
    <t>It is evident that the sea ice cycle, from its formation to its melt, is governed by a complex interaction of the ocean, atmosphere and surrounding continents. Once sea water begins to freeze, physical, biological and chemical processes have implications on the evolution of the sea ice morphology (Thomas, 2017). The distinguishing factor between fresh and sea water ice is brine inclusions that get trapped within the ice pores during freezing. Salt inclusions within frozen ice influence the salinity of the seawater as well as the physical properties of the sea ice (Hunke et al., 2010). These brine inclusions form part of a dynamic process within the ice characterized by the movement of brine and phase transition which are the foundation of many of its physical properties (Hunke et al., 2010). Brine removal subsequently begins to occur due to vertical gravity drainage into the underlying ocean water. This review article provides an overview of models that have attempted to describe this complex system. It also introduces a biphasic model being developed based on the Theory of Porous Media (TPM) which considers a solid phase for the pore structure of the ice matrix as well as a liquid phase for the brine inclusions, respectively. The TPM framework is able to describe and study the various desalination mechanisms that are significant in aiding the salt flux into the Southern Ocean. This will foster understanding of brine rejection and how it is linked to the porous microstructure of Antarctic sea ice.</t>
  </si>
  <si>
    <t>[Cook, A. D.] Univ Cape Town, Dept Civil Engn, Rondebosch, South Africa; [Skatulla, S.; MacHutchon, K.] Univ Cape Town, Dept Civil Engn, Computat Continuum Mech Grp, Rondebosch, South Africa; [Skatulla, S.; MacHutchon, K.] Univ Cape Town, Polar Engn Res Grp, Rondebosch, South Africa; [Ricken, T.] Stuttgart Univ, Inst Mech Struct Anal &amp; Dynam Aerosp Engn, Stuttgart, Germany; [Schroder, J.] Univ Duisburg Essen, Inst Mech, Duisburg, Germany</t>
  </si>
  <si>
    <t>University of Cape Town; University of Cape Town; University of Cape Town; University of Stuttgart; University of Duisburg Essen</t>
  </si>
  <si>
    <t>Cook, AD (corresponding author), Univ Cape Town, Dept Civil Engn, Rondebosch, South Africa.</t>
  </si>
  <si>
    <t>Ricken, Tim/G-2100-2012; Skatulla, Sebastian/AAU-9706-2020; Schroder, Jorg/S-2315-2016</t>
  </si>
  <si>
    <t>Ricken, Tim/0000-0001-8515-5009; Schroder, Jorg/0000-0001-7960-9553; Skatulla, Sebastian/0000-0003-1061-3356</t>
  </si>
  <si>
    <t>'A review on modelling of brine transport mechanisms in sea ice', forms part of my MSc research project in the field of Civil Engineering within the Polar Engineering Research Group (PERG) at the University of CapeTown. The contributions made to this study by all members of PERG is acknowledged. This research has been supported by the National Research Foundation (NRF) of South Africa (Grant Numbers 104839 and 105858). Opinions expressed and conclusions arrived at, are those of the author and are not necessarily to be attributed to the NRF.</t>
  </si>
  <si>
    <t>WOS:000504648100062</t>
  </si>
  <si>
    <t>Byomi, A; Zidan, S; Elkamshishi, M; Sakr, M; Elsify, A; Eissa, N; Hadad, G</t>
  </si>
  <si>
    <t>Byomi, Ahmed; Zidan, Sherif; Elkamshishi, Mohamed; Sakr, Moustafa; Elsify, Ahmed; Eissa, Nourhan; Hadad, Ghada</t>
  </si>
  <si>
    <t>Some associated risk factors with Coxiella burnetii in sheep, humans and ticks in Menoufiya governorate, Egypt</t>
  </si>
  <si>
    <t>BIOSCIENCE RESEARCH</t>
  </si>
  <si>
    <t>Coxiella burnetii; ELISA phase II IgG; humans; PCR; sheep and ticks</t>
  </si>
  <si>
    <t>RHIPICEPHALUS-SANGUINEUS TICKS; Q-FEVER EPIDEMIC; MOLECULAR-DETECTION; SMALL RUMINANTS; FARM-ANIMALS; SOUTHEAST; GOATS; PCR; SEROPREVALENCE; IDENTIFICATION</t>
  </si>
  <si>
    <t>Q fever is an emerging and re-emerging anthropozoonosis infecting humans, more than 30 species of domestic and wild animals, wild and domestic birds, reptiles, ticks and even marine mammals all over the world except in the Antarctic and New Zealand. The current study aimed to highlight the public health significance and risk factors of acquiring Q fever in sheep, humans and ticks in Menoufiya governorate. The seroprevalence of anti-C. burnetii phase II IgG antibodies was 61.96% (57/92) among sheep and 41.85% (77/184) among humans by using ELISA. A significant association was revealed between increasing C. burnetii seroprevalence rate and each of sheep male sex, sheep age, the warm climate during sampling of sheep and humans, human males, increasing human age, immuno compromised status of individuals, smoking behaviour and the history of contact with water bodies among patients. Furthermore, a significant association was revealed between increasing C. burnetii seroprevalence rate and presence of fever, cough, retrobulbar headache, anemia, thrombocytopenia, increased liver enzymes and absence of skin rash. C. burnetii DNA was found in 13.33% (4/30) of sheep samples, 6% (3/50) of human samples and 13.33% (8/60) of tick pools samples. A non-significant association was showed between PCR positivity and tick species, sex and the prevalent climatic condition during sampling of tick pools. In conclusion, the survival capability of C. burnetii for long periods in environment, spread by several ways and the asymptomatic nature of the disease with lack of cheap diagnostic tools enable Q fever to pass miss-diagnosed in Menoufiya governorate, Egypt.</t>
  </si>
  <si>
    <t>[Byomi, Ahmed; Zidan, Sherif; Eissa, Nourhan; Hadad, Ghada] Usc, Dept Anim Hyg &amp; Zoonoses, Fac Vet Med, Sadat City, Egypt; [Elkamshishi, Mohamed] Matrouh Univ, Fac Vet Med, Dept Anim Hyg &amp; Zoonoses, Mersa Matruh, Egypt; [Sakr, Moustafa] USC, GEBRI, Dept Mol Diagnost &amp; Theraput, Sadat City, Egypt; [Elsify, Ahmed] USC, Dept Anim Med &amp; Infect Dis, Fac Vet Med, Sadat City, Egypt</t>
  </si>
  <si>
    <t>Egyptian Knowledge Bank (EKB); University of Sadat City; Matrouh University; Egyptian Knowledge Bank (EKB); University of Sadat City; Egyptian Knowledge Bank (EKB); University of Sadat City</t>
  </si>
  <si>
    <t>Eissa, N (corresponding author), Usc, Dept Anim Hyg &amp; Zoonoses, Fac Vet Med, Sadat City, Egypt.</t>
  </si>
  <si>
    <t>vet_noura@yahoo.com</t>
  </si>
  <si>
    <t>ElSify, Ahmed/ABH-4969-2020; Sakr, Moustafa/E-9276-2017; Hadad, Ghada/AAO-4744-2020</t>
  </si>
  <si>
    <t>ElSify, Ahmed/0000-0003-0660-9071;</t>
  </si>
  <si>
    <t>INNOVATIVE SCIENTIFIC INFORMATION &amp; SERVICES NETWORK</t>
  </si>
  <si>
    <t>INNOVATIVE SCIENTIFIC INFORMATION &amp; SERVICES NETWORK, FAISALABAD, 00000, PAKISTAN</t>
  </si>
  <si>
    <t>1811-9506</t>
  </si>
  <si>
    <t>2218-3973</t>
  </si>
  <si>
    <t>BIOSCI RES</t>
  </si>
  <si>
    <t>Biosci. Res.</t>
  </si>
  <si>
    <t>Biology</t>
  </si>
  <si>
    <t>Life Sciences &amp; Biomedicine - Other Topics</t>
  </si>
  <si>
    <t>JZ1MU</t>
  </si>
  <si>
    <t>WOS:000504869700012</t>
  </si>
  <si>
    <t>Wang, SY; Jiang, ZQ; Mousavi, SE</t>
  </si>
  <si>
    <t>Wang, Shuangyao; Jiang, Zhiqiang; Mousavi, Seyed Ehsan</t>
  </si>
  <si>
    <t>Effect of seawater pH on selected blood biochemical parameters of juvenile turbot Scophthalmus maximus (Linnaeus, 1758)</t>
  </si>
  <si>
    <t>INDIAN JOURNAL OF FISHERIES</t>
  </si>
  <si>
    <t>Biomarkers; Blood physiology; pH; Recirculating aquaculture systems; Scophthalmus maximus</t>
  </si>
  <si>
    <t>OCEAN ACIDIFICATION; SALMO-TRUTTA; BROWN TROUT; MICRONUCLEI; FLOUNDER; GROWTH; FISH; TEMPERATURE; PERFORMANCE</t>
  </si>
  <si>
    <t>The effect of seawater pH on blood physiology in juvenile turbot Scophthalmus maximus (Linnaeus, 1758) reared in recirculating aquaculture systems (RAS) was examined. S. maximus (19.89 +/- 0.25 g) were exposed to six pH levels at 6.3 +/- 0.2, 6.8 +/- 0.2, 7.3 +/- 0.2, 7.8 +/- 0.2, 8.3 +/- 0.2 and 8.8 +/- 0.2. Haemoglobin content (HBC) at acidic conditions was higher compared to that under alkaline conditions. The frequency of total nuclear anomalies (FTNA) was high at pH levels below 7.3 or above 8.3. The relationship between FTNA and pH was well described using a quadratic equation. Alkaline phosphatase activity was significantly declined at pH above 8.3, while total superoxide dismutase activity (T-SOD) remained virtually unchanged among all treatments. This study demonstrated that HBC and FTNA can be used as reliable biomarkers to evaluate the effect of pH in aquatic ectotherms from physiological standpoints. Our findings suggest that environmental pH in RAS ranging from 6.8 to 7.8 is appropriate for juvenile turbot aquaculture.</t>
  </si>
  <si>
    <t>[Jiang, Zhiqiang] Dalian Ocean Univ, Minist Agr, Key Lab Mariculture &amp; Stock Enhancement North Chi, Dalian 116023, Liaoning, Peoples R China; [Wang, Shuangyao; Mousavi, Seyed Ehsan] Univ Tasmania, Inst Marine &amp; Antarctic Studies, Fisheries &amp; Aquaculture, Private Bag 49, Hobart, Tas 7001, Australia</t>
  </si>
  <si>
    <t>Ministry of Agriculture &amp; Rural Affairs; Dalian Ocean University; University of Tasmania</t>
  </si>
  <si>
    <t>Jiang, ZQ (corresponding author), Dalian Ocean Univ, Minist Agr, Key Lab Mariculture &amp; Stock Enhancement North Chi, Dalian 116023, Liaoning, Peoples R China.</t>
  </si>
  <si>
    <t>zhqjiang@dlou.edu.cn</t>
  </si>
  <si>
    <t>Wang, Shuangyao/JNT-4380-2023; Mousavi, Seyed Ehsan/AAG-3771-2021</t>
  </si>
  <si>
    <t>Wang, Shuangyao/0000-0003-1074-011X; Mousavi, Seyed Ehsan/0000-0002-7099-6355</t>
  </si>
  <si>
    <t>Marine Public Welfare Project of China [2012418025]</t>
  </si>
  <si>
    <t>Marine Public Welfare Project of China</t>
  </si>
  <si>
    <t>We thank the anonymous reviewers for their valuable input. We are thankful to Nicholas Hill for his help in the language editing. This work was supported by the Marine Public Welfare Project of China under Grant 2012418025.</t>
  </si>
  <si>
    <t>CENTRAL MARINE FISHERIES RESEARCH INST</t>
  </si>
  <si>
    <t>ERNAKULAM</t>
  </si>
  <si>
    <t>INDIAN COUNCIL AGRICULTURAL RES, DR. SALIM ALI RD, P B NO 1603, TATAPURAM P O, ERNAKULAM, COCHIN 682 014, INDIA</t>
  </si>
  <si>
    <t>0970-6011</t>
  </si>
  <si>
    <t>INDIAN J FISH</t>
  </si>
  <si>
    <t>Indian J. Fish.</t>
  </si>
  <si>
    <t>10.21077/ijf.2019.66.4.92173-10</t>
  </si>
  <si>
    <t>Fisheries</t>
  </si>
  <si>
    <t>JZ4BA</t>
  </si>
  <si>
    <t>WOS:000505044900010</t>
  </si>
  <si>
    <t>Baumann, B</t>
  </si>
  <si>
    <t>Baumann, Brian</t>
  </si>
  <si>
    <t>The White Old Man: Geluk-Mongolian Canopus Allegory and the Existence of God</t>
  </si>
  <si>
    <t>CENTRAL ASIATIC JOURNAL</t>
  </si>
  <si>
    <t>This article has the legendary Mongolian Gelug White Old Man at its centre, a phenomenon which also existed in all Asian regions which Tibetan Buddhism had penetrated, including Amdo and Kham in Tibet and the ORA, Buryat and Khalkha of Inner Mongolia, where the tradition of the White Old Man had become very common. Having been branded a vestige of the feudal past in the twentieth century, the tradition could only be taken up again in public from the late 1980s. Its dance routines were derived from Gelugpa ritual, combining solemn rite with joyful entertainment. Donning large masks and brilliant costumes, the White Old Man holds guard over the retribution being meted out over a sinful world, chasing all wrong and evil out of the minds of the common people. This article stipulates that the White Old Man represents an allegory of Canopus, the Antarctic star (known as Shouxing - Star of Longevity - in Chinese). Fables related to Canopus can be encountered in divergent civilisations across Eurasia. The various roles played by the White Old Man in the premodern period were characterised by their abstraction. Following the era of socialist reformation and scientific mass education, however, the White Old Man has become a personalised as a shaman, differing starkly from all ancient perceptions.</t>
  </si>
  <si>
    <t>[Baumann, Brian] Univ Calif Berkeley, Berkeley, CA 94720 USA</t>
  </si>
  <si>
    <t>University of California System; University of California Berkeley</t>
  </si>
  <si>
    <t>Baumann, B (corresponding author), Univ Calif Berkeley, Berkeley, CA 94720 USA.</t>
  </si>
  <si>
    <t>VERLAG OTTO HARRASSOWITZ</t>
  </si>
  <si>
    <t>WIESBADEN</t>
  </si>
  <si>
    <t>TAUMUSSTR 14,, 65183 WIESBADEN, GERMANY</t>
  </si>
  <si>
    <t>0008-9192</t>
  </si>
  <si>
    <t>CENT ASIATIC J</t>
  </si>
  <si>
    <t>Cent. Asiat. J.</t>
  </si>
  <si>
    <t>+</t>
  </si>
  <si>
    <t>10.13173/centasiaj.62.1.0035</t>
  </si>
  <si>
    <t>Asian Studies</t>
  </si>
  <si>
    <t>Arts &amp; Humanities Citation Index (A&amp;HCI)</t>
  </si>
  <si>
    <t>JX6FY</t>
  </si>
  <si>
    <t>WOS:000503829600006</t>
  </si>
  <si>
    <t>Zhang, JP; Witkowski, A; Tomczak, M; McCartney, K; He, GW; Zglobicka, I</t>
  </si>
  <si>
    <t>Zhang, Jinpeng; Witkowski, Andrzej; Tomczak, Michal; McCartney, Kevin; He, Gaowen; Zglobicka, Izabela</t>
  </si>
  <si>
    <t>Diatomaceous ooze in a sedimentary core from Mariana Trench: implications for paleoceanography</t>
  </si>
  <si>
    <t>ACTA GEOLOGICA POLONICA</t>
  </si>
  <si>
    <t>Diatomaceous ooze; Diatom; Ethmodiscus rex; Mariana Trench; Challenger Deep</t>
  </si>
  <si>
    <t>EASTERN EQUATORIAL ATLANTIC; SOUTHERN-OCEAN; WESTERN PACIFIC; BIOGENIC BLOOM; BOTTOM-WATER; MAT DEPOSITS; DATUM LEVELS; WORLD OCEAN; PLIOCENE; ETHMODISCUS</t>
  </si>
  <si>
    <t>Diatomaceous ooze sampled from near the Mariana Trench sediment surface by gravity corer (Core JL7KGC05) revealed a high sedimentary abundance of Ethmodiscus rex (Rattray, 1890) Wiseman and Hendey, 1953 fragments and tropical open ocean planktonic diatom taxa including Azpeitia nodulifem (Schmidt, 1878) Fryxell and Watkins in Fryxell, Sims and Watkins, 1986 and Alveus marinus (Grunow, 1880) Kaczmarska and Fryxell, 1996. Subsurficial sediments from the ooze are assigned a Marine Isotope Stage 2 age, approximately at the Last Glacial Maximum. The occurrence of Ethmodiscus ooze suggests massive late Pleistocene blooms in the Northwestern Pacific Ocean and provides a plausible link to paleoceanographic and paleoclimatic changes related to Antarctic Intermediate Water mass, which carried a high dissolved silica content as silicon leakage that reduced dissolution rate of diatom frustules. Northward flow of Antarctic Intermediate Water was probably related to surface current migration and southward shift of the Northwest Pacific Gyre to form oligotrophic conditions that triggered Ethmodiscus rex blooms under unusual nutrient recycling conditions within the ocean system. This bloom hypothesis may help explain differential silica dissolution during the last glacial stage.</t>
  </si>
  <si>
    <t>[Zhang, Jinpeng; He, Gaowen] China Geol Survey, Guangzhou Marine Geol Survey, Key Lab Marine Mineral Resources, Minist Nat Resources, 188 Guanghai Rd, Guangzhou 510760, Guangdong, Peoples R China; [Zhang, Jinpeng; Witkowski, Andrzej; Tomczak, Michal] Univ Szczecin, Fac Geosci, Inst Marine &amp; Environm Sci, Paleoceanog Unit, Mickiewicza 18, PL-70383 Szczecin, Poland; [Zhang, Jinpeng] Chinese Acad Sci, State Key Lab Palaeobiol &amp; Stratig, Nanjing Inst Geol &amp; Palaeontol, Beijingdong 39, Nanjing 210008, Jiangsu, Peoples R China; [Tomczak, Michal] Polish Geol Inst, Natl Res Inst, Pomeranian Branch, Wieniawskiego 20, PL-71130 Szczecin, Poland; [McCartney, Kevin] Univ Maine Presque Isle, Dept Environm Sci &amp; Sustainabil, Presque Isle, ME 04769 USA; [Zglobicka, Izabela] Bialystok Tech Univ, Fac Mech Engn, Wiejska 45C, PL-15352 Bialystok, Poland</t>
  </si>
  <si>
    <t>China Geological Survey; Guangzhou Marine Geological Survey; Ministry of Natural Resources of the People's Republic of China; University of Szczecin; Chinese Academy of Sciences; Polish Geological Institute - National Research Institute; University of Maine System; University of Maine Presque Isle; Bialystok University of Technology</t>
  </si>
  <si>
    <t>Zhang, JP (corresponding author), China Geol Survey, Guangzhou Marine Geol Survey, Key Lab Marine Mineral Resources, Minist Nat Resources, 188 Guanghai Rd, Guangzhou 510760, Guangdong, Peoples R China.;Zhang, JP (corresponding author), Univ Szczecin, Fac Geosci, Inst Marine &amp; Environm Sci, Paleoceanog Unit, Mickiewicza 18, PL-70383 Szczecin, Poland.;Zhang, JP (corresponding author), Chinese Acad Sci, State Key Lab Palaeobiol &amp; Stratig, Nanjing Inst Geol &amp; Palaeontol, Beijingdong 39, Nanjing 210008, Jiangsu, Peoples R China.</t>
  </si>
  <si>
    <t>jinpenggmgs@sina.com</t>
  </si>
  <si>
    <t>Tomczak, Michal/0000-0003-0437-0255; Witkowski, Andrzej/0000-0003-1714-218X</t>
  </si>
  <si>
    <t>China Ocean Mineral Resources RD Association [DY135-C1-1-01, GZH201500207]; Key Laboratory of Marine Mineral Resources, MNR, China [KLMMR-2013-A-006]; Polish National Science Center [DEC-2018/31/N/ST10/03869]; State Key Laboratory of Paleobiology and Stratigraphy (Nanjing Institute of Geology and Paleontology, CAS), China [183130]; Fulbright Fellowship; Kosciuszko Fellowship; Polish Ministry of Science and Higher Education</t>
  </si>
  <si>
    <t>China Ocean Mineral Resources RD Association; Key Laboratory of Marine Mineral Resources, MNR, China; Polish National Science Center; State Key Laboratory of Paleobiology and Stratigraphy (Nanjing Institute of Geology and Paleontology, CAS), China; Fulbright Fellowship; Kosciuszko Fellowship; Polish Ministry of Science and Higher Education(Ministry of Science and Higher Education, Poland)</t>
  </si>
  <si>
    <t>We sincerely thank the RV Haiyang Six cruise's Chief Scientist Shengxiong Yang and the crew for their work, and thank Huodai Zhang and Xiao Duan for laboratory helping with sub-sampling samples. The expedition and extended program were organized by the Guangzhou Marine Geological Survey, China Geological Survey and China Ocean Mineral Resources R&amp;D Association (No. DY135-C1-1-01, No. GZH201500207). This research was supported by the open founds of Key Laboratory of Marine Mineral Resources, MNR, China (No. KLMMR-2013-A-006), and was financed by the Polish National Science Center (decision No. DEC-2018/31/N/ST10/03869), partly supported by organizers of the 3rd International Workshop on Siliceous Microorganisms (Szczecin, Poland, 2014), and partly by State Key Laboratory of Paleobiology and Stratigraphy (Nanjing Institute of Geology and Paleontology, CAS), China (No. 183130). Indirect contribution has been provided within the frame of topical subsidy of the Polish Ministry of Science and Higher Education (to A.W.) and Fulbright and Kosciuszko Fellowships (to K.Mc.).</t>
  </si>
  <si>
    <t>POLSKA AKAD NAUK, POLISH ACAD SCIENCES, UNIV WARSAW, GEOLOGY DEPT</t>
  </si>
  <si>
    <t>0001-5709</t>
  </si>
  <si>
    <t>2300-1887</t>
  </si>
  <si>
    <t>ACTA GEOL POL</t>
  </si>
  <si>
    <t>Acta Geol. Pol.</t>
  </si>
  <si>
    <t>10.24425/agp.2019.126448</t>
  </si>
  <si>
    <t>JX6FK</t>
  </si>
  <si>
    <t>WOS:000503828200008</t>
  </si>
  <si>
    <t>Rayas-Estrada, A; Hernández-Camacho, CJ</t>
  </si>
  <si>
    <t>Rayas-Estrada, Andrea; Janetl Hernandez-Camacho, Claudia</t>
  </si>
  <si>
    <t>Fine-scale site fidelity in California sea lions, Zalophus californianus, in the colony at Los Islotes, La Paz Bay, Mexico</t>
  </si>
  <si>
    <t>CIENCIAS MARINAS</t>
  </si>
  <si>
    <t>philopatry; reproductive success; inbreeding; Gulf of California</t>
  </si>
  <si>
    <t>ANTARCTIC FUR SEALS; GULF-OF-CALIFORNIA; SAN-MIGUEL ISLAND; PHILOPATRY; SURVIVAL; BEHAVIOR; SYSTEMS; RATES; PUPS</t>
  </si>
  <si>
    <t>Fine-scale site fidelity in polygynous pinnipeds influences individual interactions, social stability, and gene flow; over time, demographic processes may be altered, and local extinction of some colonies may occur. The goal of this study was to evaluate fine-scale site fidelity as it relates to reproductive success of California sea lion, Zalophus californianus, adult females at 3 different reproductive sites in the Los Islotes rookery in La Paz Bay, Baja California Sur, Mexico. Reproductive history data for 5 cohorts of California sea lions marked as pups between 1980 and 1984 were used to estimate the individual fine-scale site fidelity index and the return rate. A Pearson correlation was used to evaluate whether there was a relationship between site fidelity and reproductive success (number of pups that a female had during the study period) during the 9-yr study period, and a chi-square test was used to compare reproductive success between sites. Adult female California sea lions showed high site fidelity to the colony, with the majority showing site fidelity values &gt;40%; sites A and B had high return rates, whereas site C was the least preferred. There was no significant difference in the relationship between the fine-scale site fidelity index and reproductive success, or in reproductive success between sites. The high degree of fine-scale site fidelity apparently has not had negative effects on this colony, as evidenced by the significant increase in population size over the last 3 decades and the relatively high reproductive rates.</t>
  </si>
  <si>
    <t>[Rayas-Estrada, Andrea] Univ Autonoma Baja California Sur, Dept Ciencias Marinas &amp; Costeras, Carretera Sur,Km 5-5, La Paz 23080, Baja California, Mexico; [Janetl Hernandez-Camacho, Claudia] Inst Politecn Nacl, Ctr Interdisciplinario Ciencias Marinas, Ave Inst Politecn Nacl S-N, La Paz 23096, Baja California, Mexico</t>
  </si>
  <si>
    <t>Universidad Autonoma de Baja California; Instituto Politecnico Nacional - Mexico</t>
  </si>
  <si>
    <t>Hernández-Camacho, CJ (corresponding author), Inst Politecn Nacl, Ctr Interdisciplinario Ciencias Marinas, Ave Inst Politecn Nacl S-N, La Paz 23096, Baja California, Mexico.</t>
  </si>
  <si>
    <t>cjhernandez78@gmail.com</t>
  </si>
  <si>
    <t>Hernandez-Camacho, Claudia J./Q-8914-2018</t>
  </si>
  <si>
    <t>Hernandez-Camacho, Claudia J./0000-0002-6309-9728</t>
  </si>
  <si>
    <t>National Commission for the Knowledge and Use of Biodiversity (Mexico) [H081]; National Polytechnic Institute (Administration System for Programs and Research Projects) [20030304]; Division of Postgraduate Studies and Research of the National Polytechnic Institute [968013]</t>
  </si>
  <si>
    <t>National Commission for the Knowledge and Use of Biodiversity (Mexico); National Polytechnic Institute (Administration System for Programs and Research Projects); Division of Postgraduate Studies and Research of the National Polytechnic Institute</t>
  </si>
  <si>
    <t>We are infinitely grateful for the funding provided by the National Commission for the Knowledge and Use of Biodiversity (Mexico, H081), the National Polytechnic Institute (Administration System for Programs and Research Projects 20030304), and the Division of Postgraduate Studies and Research of the National Polytechnic Institute (968013). This study was carried out under the following research permits granted by the Ministry of Environment and Natural Resources (Mexico): no. 240996-213-03, DOO 750.-4172/97, DOO 750.-4443/98, NUM/SGPA/DGVS 04311, 04160, 05325, and 03269. We thank Dr. Martha Patricia Rosas for statistical support and programming advice for the data analysis. We report no conflict of interest.</t>
  </si>
  <si>
    <t>INST INVESTIGACIONES OCEANOLOGICAS, U A B C</t>
  </si>
  <si>
    <t>BAJA CALIFORNIA</t>
  </si>
  <si>
    <t>APARTADO POSTAL 423, ENSENADA, BAJA CALIFORNIA 22800, MEXICO</t>
  </si>
  <si>
    <t>0185-3880</t>
  </si>
  <si>
    <t>CIENC MAR</t>
  </si>
  <si>
    <t>Cienc. Mar.</t>
  </si>
  <si>
    <t>10.7773/cm.v45i4.3019</t>
  </si>
  <si>
    <t>Marine &amp; Freshwater Biology</t>
  </si>
  <si>
    <t>JX6IE</t>
  </si>
  <si>
    <t>WOS:000503835400002</t>
  </si>
  <si>
    <t>Timaná, ME; Lebouvier, M; Rouhan, G</t>
  </si>
  <si>
    <t>Timana, Martin E.; Lebouvier, Marc; Rouhan, Germinal</t>
  </si>
  <si>
    <t>Sagina hookeri Timana, sp. nov. (Caryophyllaceae), a new endemic species for the flora of Ile Amsterdam (French Southern and Antarctic Lands)</t>
  </si>
  <si>
    <t>ADANSONIA</t>
  </si>
  <si>
    <t>Caryophyllaceae; Ile Saint-Paul; Ile Amsterdam; Southern Indian Ocean; French Southern and Antarctic Lands; new species</t>
  </si>
  <si>
    <t>A new endemic species of Sagina L., Sagina hookeri Timana, sp. nov. (Caryophyllaceae) is described for the flora of Ile Amsterdam, in the southern Indian Ocean (French Southern and Antarctic Lands). Differences between this taxon and S. diffusa (Hook.f.) Timana (endemic to the neighboring island of Saint-Paul) and S. procumbens L. (introduced in several circum-austral islands) are discussed, and an identification key to those three Sagina species occurring in Saint-Paul and Amsterdam islands is presented.</t>
  </si>
  <si>
    <t>[Timana, Martin E.] Pontifical Catholic Univ Peru, Geog &amp; Environm Sect, Lima, Peru; [Timana, Martin E.] Pontifical Catholic Univ Peru, Appl Geog Res Ctr CIGA PUCP, Lima, Peru; [Lebouvier, Marc] Univ Rennes 1, CNRS, UMR Ecobio 6553, Stn Biol, F-35380 Paimpont, France; [Rouhan, Germinal] EPHE, Sorbonne Univ, Museum Natl Hist Nat, Inst Syst Evolut Biodiversite ISYEB, 57 Rue Cuvier,Case Postale 39, F-75231 Paris 05, France</t>
  </si>
  <si>
    <t>Pontificia Universidad Catolica del Peru; Pontificia Universidad Catolica del Peru; Universite de Rennes; Centre National de la Recherche Scientifique (CNRS); Sorbonne Universite; Museum National d'Histoire Naturelle (MNHN); Universite PSL; Ecole Pratique des Hautes Etudes (EPHE)</t>
  </si>
  <si>
    <t>Timaná, ME (corresponding author), Pontifical Catholic Univ Peru, Geog &amp; Environm Sect, Lima, Peru.;Timaná, ME (corresponding author), Pontifical Catholic Univ Peru, Appl Geog Res Ctr CIGA PUCP, Lima, Peru.</t>
  </si>
  <si>
    <t>mtimana@pucp.edu.pe; marc.lebouvier@univ-rennes1.fr; rouhan@mnhn.fr</t>
  </si>
  <si>
    <t>Rouhan, Germinal/P-4717-2019</t>
  </si>
  <si>
    <t>Rouhan, Germinal/0000-0002-0751-5352; Timana, Martin/0000-0003-1559-4449</t>
  </si>
  <si>
    <t>Applied Geography Research Center (CIGA) at PUCP; French Polar Institute [IPEV 1167]; Section of Geography and the Environment</t>
  </si>
  <si>
    <t>Applied Geography Research Center (CIGA) at PUCP; French Polar Institute; Section of Geography and the Environment</t>
  </si>
  <si>
    <t>MET wishes to thank the Section of Geography and the Environment, and the Applied Geography Research Center (CIGA) at PUCP for providing research support and the Office of Research Internationalization (OII-PUCP) for travel support to visit the WU and W herbaria. Dr Beryl B. Simpson (TEX), Dr Richard K. Rabeler (MICH) and Dr Sabine von Mering (B) kindly reviewed and greatly improved the manuscript. Bart Van de Vijver and Damien Ertz are warmly thanked as members of the 2016 'BIODIV_AMS' field expedition, supported by the French Polar Institute (program IPEV 1167). We are grateful to Julien Mieusset and Corentin Ollive (National Nature Reserve of French Southern Territories) who took part in the Del Cano fieldwork. Dr Walter Till (WU) kindly facilitated the loan processing and examination of the P specimens in Vienna. We thank Dr Thierry Deroin and an anonymous reviewer for their helpful comments on the manuscript.</t>
  </si>
  <si>
    <t>PUBLICATIONS SCIENTIFIQUES DU MUSEUM, PARIS</t>
  </si>
  <si>
    <t>PARIS CEDEX 05</t>
  </si>
  <si>
    <t>CP 39-57, RUE CUVIER, F-75231 PARIS CEDEX 05, FRANCE</t>
  </si>
  <si>
    <t>1280-8571</t>
  </si>
  <si>
    <t>1639-4798</t>
  </si>
  <si>
    <t>Adansonia</t>
  </si>
  <si>
    <t>JAN</t>
  </si>
  <si>
    <t>10.5252/adansonia2019v41a2</t>
  </si>
  <si>
    <t>Plant Sciences</t>
  </si>
  <si>
    <t>JV8WZ</t>
  </si>
  <si>
    <t>WOS:000502642700002</t>
  </si>
  <si>
    <t>Marzocchetti, M; Lepidi, S; Francia, P; Cafarella, L; Di Mauro, D</t>
  </si>
  <si>
    <t>Marzocchetti, Martina; Lepidi, Stefania; Francia, Patrizia; Cafarella, Lili; Di Mauro, Domenico</t>
  </si>
  <si>
    <t>THE LONGITUDINAL POLAR CUSP DISPLACEMENT FROM GEOMAGNETIC MEASUREMENTS IN ANTARCTICA</t>
  </si>
  <si>
    <t>ANNALS OF GEOPHYSICS</t>
  </si>
  <si>
    <t>PROTON AURORA; ART.; IMF</t>
  </si>
  <si>
    <t>We used ULF geomagnetic field measurements in the Pc5 frequency range (1.7-7 mHz) at two Antarctic stations to statistically investigate the longitudinal location of the polar cusp. The two stations are located at the same geomagnetic latitude, similar to 80 degrees S (just poleward of the cusp), and are separated by one hour in magnetic local time. Since at each station the Pc5 power maximizes when the station approaches the cusp, the comparison between their Pc5 power allows to estimate the longitudinal position of the cusp and to examine its movements. We found that there is a displacement of the cusp depending on interplanetary conditions; in particular, the cusp shifts to later hours for negative values of the interplanetary magnetic field and solar wind velocity east-west components (B-y and V-y), while moves to earlier hours for positive values of V-y. Conversely, no dependence of the cusp longitudinal position on positive B-y values nor on the interplanetary magnetic field north-south component (B-z) emerges.</t>
  </si>
  <si>
    <t>[Marzocchetti, Martina; Lepidi, Stefania; Cafarella, Lili; Di Mauro, Domenico] Ist Nazl Geofis &amp; Vulcanol, Rome, Italy; [Francia, Patrizia] Univ Aquila, Laquila, Italy</t>
  </si>
  <si>
    <t>Istituto Nazionale Geofisica e Vulcanologia (INGV); University of L'Aquila</t>
  </si>
  <si>
    <t>Lepidi, S (corresponding author), Ist Nazl Geofis &amp; Vulcanol, Laquila, Italy.</t>
  </si>
  <si>
    <t>stefania.lepidi@ingv.it</t>
  </si>
  <si>
    <t>Di Mauro, Domenico/ABD-6663-2021; Lepidi, Stefania/HGU-5046-2022; Cafarella, Lili/HTO-5890-2023</t>
  </si>
  <si>
    <t>Di Mauro, Domenico/0000-0003-1757-9816;</t>
  </si>
  <si>
    <t>Italian PNRA (Programma Nazionale Ricerche in Antartide)</t>
  </si>
  <si>
    <t>The research activity at Mario Zucchelli station has been supported by the Italian PNRA (Programma Nazionale Ricerche in Antartide). The results presented in this paper rely on the data collected at Scott Base; we thank the Institute of Geological &amp; Nuclear Sciences Limited (New Zealand), for supporting its operation and INTERMAGNET for promoting high standards of magnetic observatory practice (http://www.intermagnet.org).</t>
  </si>
  <si>
    <t>IST NAZIONALE DI GEOFISICA E VULCANOLOGIA</t>
  </si>
  <si>
    <t>ROME</t>
  </si>
  <si>
    <t>VIA VIGNA MURATA 605, ROME, 00143, ITALY</t>
  </si>
  <si>
    <t>1593-5213</t>
  </si>
  <si>
    <t>2037-416X</t>
  </si>
  <si>
    <t>ANN GEOPHYS-ITALY</t>
  </si>
  <si>
    <t>Ann. Geophys.</t>
  </si>
  <si>
    <t>GM446</t>
  </si>
  <si>
    <t>10.4401/ag-7779</t>
  </si>
  <si>
    <t>Geochemistry &amp; Geophysics</t>
  </si>
  <si>
    <t>JV7KQ</t>
  </si>
  <si>
    <t>WOS:000502540500004</t>
  </si>
  <si>
    <t>Moiseeva, NA; Churilova, TY; Efimova, TV; Krivenko, OV; Matorin, DN</t>
  </si>
  <si>
    <t>Moiseeva, N. A.; Churilova, T. Ya.; Efimova, T. V.; Krivenko, O. V.; Matorin, D. N.</t>
  </si>
  <si>
    <t>Fluorescence of Chlorophyll a during Seasonal Water Stratification in the Black Sea</t>
  </si>
  <si>
    <t>PHYSICAL OCEANOGRAPHY</t>
  </si>
  <si>
    <t>chlorophyll a; fluorescence; light absorption; quantum yield; phytoplankton; the Black Sea</t>
  </si>
  <si>
    <t>LIGHT-ABSORPTION; NATURAL PHYTOPLANKTON; VARIABILITY; PHOTOSYNTHESIS; PIGMENTS</t>
  </si>
  <si>
    <t>Purpose. At present the express method of estimating the chlorophyll a concentration by its fluorescence is widely spread. The applied in calculations coupling coefficient between these two values is assumed to be constant (in time and space); but it does not correspond to reality. Therefore, the basic purpose of the paper consists in studying dependence of fluorescence on the chlorophyll a concentration in the deep part of the Black Sea in a warm period when seasonal water stratification is observed. Methods and Results. Relation between the light absorption by the phytoplankton pigments, and the chlorophyll a concentration and fluorescence is investigated. It is shown that the ratio between the chlorophyll a concentration and fluorescence was different in the quasi-isolated layers during the seasonal water stratification. Revealed is the vertical heterogeneity of fluorescence normalized for the chlorophyll a concentration in the euphotic layer. It is conditioned by change of the phytoplankton ability to absorb light quanta at the wavelength similar to 455 nm (fluorescence excitation) calculated for a unit of the chlorophyll a content. Comparison of the specific values of fluorescence and light absorption index on the wavelength similar to 455 nm showed their strong mutual correlation that testifies to insignificant variation of the values of the fluorescence quantum yield within the photosynthesis zone. Conclusions. The obtained dependences between the chlorophyll a concentration and fluorescence can be used to specify the algorithms applied at present for reconstructing the chlorophyll a concentration profiles based on the data of either the fluorescence submerged probes or the drifting floats of the international project Biogeochemical Argo.</t>
  </si>
  <si>
    <t>[Moiseeva, N. A.; Churilova, T. Ya.; Efimova, T. V.; Krivenko, O. V.] Russian Acad Sci, AO Kovalevsky Inst Biol Southern Seas, Sevastopol, Russia; [Matorin, D. N.] Lomonosov Moscow State Univ, Dept Biophys, 1 Leninskie Gory, Moscow 119991, Russia</t>
  </si>
  <si>
    <t>Russian Academy of Sciences; AO Kovalevsky Institute of Biology of the Southern Seas of RAS (IBSS); Lomonosov Moscow State University</t>
  </si>
  <si>
    <t>Moiseeva, NA (corresponding author), Russian Acad Sci, AO Kovalevsky Inst Biol Southern Seas, Sevastopol, Russia.</t>
  </si>
  <si>
    <t>nataliya-moiseeva@yandex.ru; tanya.churilova@gmail.com; tatyana-iefimova@yandex.ru; olkrivenko@gmail.com; matorin@biophys.msu.ru</t>
  </si>
  <si>
    <t>Churilova, Tanya Ya./O-8437-2016; Krivenko, Olga V/O-8541-2016; Matorin, Dmitry N/S-5443-2016; Efimova, Tatiana/X-1355-2019; Moiseeva, Nataliia/AAH-2819-2019</t>
  </si>
  <si>
    <t>Efimova, Tatiana/0000-0003-3908-4160;</t>
  </si>
  <si>
    <t>RFBR [17-05-00113, 18-45-920070]; [AAAA-A18118020790229-7]; [AAAA-A19-119061190081-9]</t>
  </si>
  <si>
    <t>RFBR(Russian Foundation for Basic Research (RFBR)); ;</t>
  </si>
  <si>
    <t>the research is carried out according to the state order No. AAAA-A18118020790229-7, theme Study of Spatial-Temporal Organization of Aquatic and Land Ecosystems Aimed at Development of Operational Monitoring System based on the Remote Sensing Data and GIS Technologies No. AAAA-A19-119061190081-9 and theme Comprehensive Studies of the Current State of the Ecosystem of the Atlantic Sector of the Antarctic as well as under the partial RFBR support, grants No. 17-05-00113 and 18-45-920070. The authors are very thankful to the expedition head A. S. Mikaelyan and to the group of hydrological research, S. A. Shutov and P. O. Shapovalov, for their arrangement of research.</t>
  </si>
  <si>
    <t>FEDERAL STATE BUDGET SCIENTIFIC INST, MARINE HYDROPHYSICAL INST</t>
  </si>
  <si>
    <t>SEVASTOPOL</t>
  </si>
  <si>
    <t>pitanskaya Str., 2, SEVASTOPOL, 299011, CRIMEA</t>
  </si>
  <si>
    <t>0928-5105</t>
  </si>
  <si>
    <t>1573-160X</t>
  </si>
  <si>
    <t>PHYS OCEANOGR</t>
  </si>
  <si>
    <t>Phys. Oceanogr.</t>
  </si>
  <si>
    <t>10.22449/1573-160X-2019-5-425-437</t>
  </si>
  <si>
    <t>Oceanography</t>
  </si>
  <si>
    <t>JV1RM</t>
  </si>
  <si>
    <t>WOS:000502146400006</t>
  </si>
  <si>
    <t>Shi, BY; Wang, XD; Wang, XM</t>
  </si>
  <si>
    <t>Shi, Boyuan; Wang, Xingdong; Wang, Xuemei</t>
  </si>
  <si>
    <t>TEMPORAL ANALYSIS OF CHANGES TO ANTARCTIC AND ANTARCTIC PENINSULA SNOWMELT FROM 1988-2017</t>
  </si>
  <si>
    <t>FRESENIUS ENVIRONMENTAL BULLETIN</t>
  </si>
  <si>
    <t>Antarctic; Antarctic Peninsula; Wavelet Transform; Temporal Analysis</t>
  </si>
  <si>
    <t>Antarctic snowmelt is an important indicator of global climate change. Changes in snowmelt in the Antarctic and Antarctic Peninsula were monitored using an improved wavelet transform and microwave radiometer SSM/I (special sensor microwave imager) and SSMIS (special sensor microwave imager sounder) data. By analysing the melt onset date, end date, and duration in the Antarctic and Antarctic Peninsula from 1988 to 2017, the following conclusions were drawn: the melt onset date in the Antarctic ranged from September to November and the average rate of change was 0.0892 d/a. The melt end date in the Antarctic ranged from December to February and the average rate of change was -0.0038 d/a. The melt duration in the Antarctic was approximately 62 days and the average rate of change was -0.036 d/a. The melt onset date in the Antarctic Peninsula ranged from October to December and the average rate of change was -0.366 d/a. The melt end date in the Antarctic Peninsula ranged from January to March and the average rate of change was -0.4534 d/a. The melt duration in the Antarctic Peninsula was approximately 68 days and the average rate of change was -0.2687 d/a.</t>
  </si>
  <si>
    <t>[Shi, Boyuan; Wang, Xingdong; Wang, Xuemei] Henan Univ Technol, Coll Informat Sci &amp; Engn, Zhengzhou 450001, Henan, Peoples R China; [Wang, Xingdong] Chinese Acad Sci, State Key Lab Remote Sensing Sci, Inst Remote Sensing &amp; Digital Earth, Beijing 100101, Peoples R China</t>
  </si>
  <si>
    <t>Henan University of Technology; Chinese Academy of Sciences; The Institute of Remote Sensing &amp; Digital Earth, CAS</t>
  </si>
  <si>
    <t>Wang, XD (corresponding author), Henan Univ Technol, Coll Informat Sci &amp; Engn, Zhengzhou 450001, Henan, Peoples R China.</t>
  </si>
  <si>
    <t>zkywxd@163.com</t>
  </si>
  <si>
    <t>Wang, Xuemei/GXF-3702-2022</t>
  </si>
  <si>
    <t>Natural Science Project of Science and Technology Department of Henan Province in China [182102210400]; Open Fund of Academician Workstation of Anshun University [(2016) 5602, 1]; Open Fund of State Key Laboratory of Remote Sensing Science [OFSLRSS201810]; Natural Science Project of Henan Education Department [15A120007]</t>
  </si>
  <si>
    <t>Natural Science Project of Science and Technology Department of Henan Province in China; Open Fund of Academician Workstation of Anshun University; Open Fund of State Key Laboratory of Remote Sensing Science; Natural Science Project of Henan Education Department</t>
  </si>
  <si>
    <t>This work was supported by the Natural Science Project of Science and Technology Department of Henan Province in China (182102210400), the Open Fund of Academician Workstation of Anshun University ((2016) 5602-No.1), the Open Fund of State Key Laboratory of Remote Sensing Science (Grant No. OFSLRSS201810) and the Natural Science Project of Henan Education Department (15A120007).</t>
  </si>
  <si>
    <t>PARLAR SCIENTIFIC PUBLICATIONS (P S P)</t>
  </si>
  <si>
    <t>FREISING</t>
  </si>
  <si>
    <t>ANGERSTR. 12, 85354 FREISING, GERMANY</t>
  </si>
  <si>
    <t>1018-4619</t>
  </si>
  <si>
    <t>1610-2304</t>
  </si>
  <si>
    <t>FRESEN ENVIRON BULL</t>
  </si>
  <si>
    <t>Fresenius Environ. Bull.</t>
  </si>
  <si>
    <t>12A</t>
  </si>
  <si>
    <t>Environmental Sciences</t>
  </si>
  <si>
    <t>Environmental Sciences &amp; Ecology</t>
  </si>
  <si>
    <t>JU8RG</t>
  </si>
  <si>
    <t>WOS:000501936600048</t>
  </si>
  <si>
    <t>Simon, JLE; Rodrigues, RR</t>
  </si>
  <si>
    <t>Simon, Joao L. E.; Rodrigues, Regina R.</t>
  </si>
  <si>
    <t>The variability of the subantarctic front and the Southern Hemisphere atmospheric jet</t>
  </si>
  <si>
    <t>BRAZILIAN JOURNAL OF OCEANOGRAPHY</t>
  </si>
  <si>
    <t>Subantarctic front; Atmospheric jet; Southern hemisphere</t>
  </si>
  <si>
    <t>CIRCUMPOLAR CURRENT; STORM TRACKS; CIRCULATION; TRANSPORT; DRIVEN; CLIMATOLOGY; AUSTRALIA; VIEW</t>
  </si>
  <si>
    <t>The latitudinal variations of the Subantarctic Front (SAF) and Southern Hemisphere atmospheric jet were investigated for the period of 1993-2016. Zonal wind velocity, sea surface height and temperature data were used to identify these features over the South Atlantic, South Pacific and Indian Oceans individually. During this period, the atmospheric jet migrated poleward 0.34 degrees S decade(-1) in the Atlantic, 0.28 degrees S decade(-1) in the Pacific and 0.14 degrees S decade(-1) in the Indian oceans. Previous works have shown that the poleward trend is due to the expansion of the tropical belt as a consequence of greenhouse gas increase and cooling of polar stratosphere due to ozone depletion. In addition the atmospheric jet strengthen in all three basins. The SAF represents the Antarctic Circumpolar Current northern boundary and was observed in average at 46.3 degrees S (+/- 0.5 degrees) in the Atlantic, 54.3 degrees S (+/- 0.3 degrees) in the Pacific and 46.6 degrees S (+/- 0.5 degrees) in Indian Oceans. The SAF shows a poleward migration of 0.46 degrees S decade(-1) in the Atlantic, 0.20 degrees S decade(-1) in the Pacific and 0.27 degrees S decade(-1) in the Indian Oceans, which is attributed to the sea level increasing in the Southern Hemisphere due to thermal expansion. The SAF poleward trend is consistent with the positive trend of the Southern Annular Mode during the studied period. Moreover, the jet position is statistically significant correlated to the SAF position in each ocean basin. However, the coefficients are weak: +0.22 for the Atlantic, +0.17 for the Pacific and +0.21 for the Indian oceans. The latitudinal displacement of the SAF in the Pacific is inversely proportional to the El Nino-Southern Oscillations (ENSO). During El Nino years the SAF tend to be more poleward and during La Nina years more equatorward, with maximum correlation of 0.56, with ENSO leading by three months.</t>
  </si>
  <si>
    <t>[Simon, Joao L. E.; Rodrigues, Regina R.] Univ Fed Santa Catarina, Dept Oceanog, R Joao Pio Duarte Silva 241, BR-88037000 Florianopolis, SC, Brazil</t>
  </si>
  <si>
    <t>Universidade Federal de Santa Catarina (UFSC)</t>
  </si>
  <si>
    <t>Simon, JLE (corresponding author), Univ Fed Santa Catarina, Dept Oceanog, R Joao Pio Duarte Silva 241, BR-88037000 Florianopolis, SC, Brazil.</t>
  </si>
  <si>
    <t>jl.simon@hotmail.com</t>
  </si>
  <si>
    <t>Rodrigues, Regina R./AAU-4018-2020</t>
  </si>
  <si>
    <t>Rodrigues, Regina R./0000-0001-8010-4018; Eberl Simon, Joao Lucas/0000-0003-4651-8350</t>
  </si>
  <si>
    <t>Instituto Nacional de Ciencias e Tecnologia para Mudancas Climaticas (INCTMC Fase II) [465501/2014-1]; Coordenacao de Aperfeicoamento de Pessoal de Nivel Superior (CAPES) [88887.136402/2017-00]</t>
  </si>
  <si>
    <t>Instituto Nacional de Ciencias e Tecnologia para Mudancas Climaticas (INCTMC Fase II); Coordenacao de Aperfeicoamento de Pessoal de Nivel Superior (CAPES)(Coordenacao de Aperfeicoamento de Pessoal de Nivel Superior (CAPES))</t>
  </si>
  <si>
    <t>This work was supported by Instituto Nacional de Ciencias e Tecnologia para Mudancas Climaticas (INCTMC Fase II) Grant#465501/2014-1 and by Coordenacao de Aperfeicoamento de Pessoal de Nivel Superior (CAPES) Grant#88887.136402/2017-00. This work is also part of the Programa de Pos Graduacao em Oceanografia (PPGOceano) - UFSC.</t>
  </si>
  <si>
    <t>INST OCEANOGRAFICO, UNIV SAO PAULO</t>
  </si>
  <si>
    <t>SAO PAULO</t>
  </si>
  <si>
    <t>PRACA DO OCEANOGRAFICO, 191, CIDADE UNIVERSITARIA, SAO PAULO, SP 00000, BRAZIL</t>
  </si>
  <si>
    <t>1679-8759</t>
  </si>
  <si>
    <t>1982-436X</t>
  </si>
  <si>
    <t>BRAZ J OCEANOGR</t>
  </si>
  <si>
    <t>Braz. J. Oceanogr.</t>
  </si>
  <si>
    <t>e19256</t>
  </si>
  <si>
    <t>10.1590/S1679-87592019025606712</t>
  </si>
  <si>
    <t>Marine &amp; Freshwater Biology; Oceanography</t>
  </si>
  <si>
    <t>JU2IE</t>
  </si>
  <si>
    <t>WOS:000501499000001</t>
  </si>
  <si>
    <t>Kellner, AWA; Rodrigues, T; Costa, FR; Weinschütz, LC; Figueiredo, RG; De Souza, GA; Brum, AS; Eleutério, LHS; Mueller, CW; Sayao, JM</t>
  </si>
  <si>
    <t>Kellner, Alexander W. A.; Rodrigues, Taissa; Costa, Fabiana R.; Weinschutz, Luiz C.; Figueiredo, Rodrigo G.; De Souza, Geovane A.; Brum, Arthur S.; Eleuterio, Lucia H. S.; Mueller, Carsten W.; Sayao, Juliana M.</t>
  </si>
  <si>
    <t>Pterodactyloid pterosaur bones from Cretaceous deposits of the Antarctic Peninsula</t>
  </si>
  <si>
    <t>ANAIS DA ACADEMIA BRASILEIRA DE CIENCIAS</t>
  </si>
  <si>
    <t>Antarctica; Antarctic Peninsula; Pterosauria; PALEOANTAR; Cretaceous</t>
  </si>
  <si>
    <t>JAMES-ROSS-BASIN; MARAMBIO SEYMOUR ISLAND; DETERMINATE GROWTH; STRATIGRAPHY; DINOSAURS; EVOLUTION; REPTILIA; PALEOHISTOLOGY; ORNITHISCHIA; HISTOLOGY</t>
  </si>
  <si>
    <t>Fossil vertebrates from Antarctica are considerably rare, hampering our understanding of the evolutionary history of the biota from that continent. For several austral summers, the PALEOANTAR project has been carrying out fieldwork in the Antarctic Peninsula in search for fossils, particularly Cretaceous vertebrates. Among the specimens recovered so far are two bones referable to Pterosauria, more specifically to the Pterodacyloidea, the first volant reptiles from Antarctica to be fully described. MN 7800-V (part and counterpart) was recovered from a moraine at the Abernathy Flats (Santa Marta Formation, Lachman Crags Member, Santonian-Campanian) on James Ross Island. It is interpreted as the distal articulation of a first phalanx of the wing finger, representing an animal with an estimated wingspan between 3 and 4 m. The second specimen (MN 7801-V) comes from Vega Island (Snow Hill Island Formation, Maastrichtian) and is identified as a wing metacarpal IV of an animal with an estimated wingspan from 4 to 5 m. These occurrences show that pterodactyloids inhabited the Antarctic Peninsula at least during the Upper Cretaceous and demonstrate that large pterosaurs were widespread through all parts of the planet during that period.</t>
  </si>
  <si>
    <t>[Kellner, Alexander W. A.; De Souza, Geovane A.; Brum, Arthur S.; Sayao, Juliana M.] Univ Fed Rio de Janeiro, Lab Systemat &amp; Taphon Fossil Vertebrates, Dept Geol &amp; Paleontol, Museu Nacl, Quinta Boa Vista S-N, BR-20940040 Rio De Janeiro, RJ, Brazil; [Rodrigues, Taissa] Univ Fed Espirito Santo, Lab Paleontol, Dept Ciencias Biol, Ctr Ciencias Humanas &amp; Nat, Ave Fernando Ferrari 514, BR-29075910 Vitoria, ES, Brazil; [Costa, Fabiana R.] Univ Fed ABC, CCNH, Lab Paleontol Vertebrados &amp; Comportamento Anim LA, Rua Sao Paulo S-N, BR-09606045 Sao Bernardo Do Campo, SP, Brazil; [Weinschutz, Luiz C.] Univ Contested, CENPALEO Ctr Paleontol, BR-89306076 Mafra, SC, Brazil; [Figueiredo, Rodrigo G.] Univ Fed Espirito Santo, Dept Biol, Alto Univ S-N, BR-29500000 Alegre, ES, Brazil; [Eleuterio, Lucia H. S.; Sayao, Juliana M.] Univ Fed Pernambuco, Ctr Acad Vitoria, Lab Paleobiol &amp; Microestruturas, Rua Alto Reservatorio S-N, BR-55608680 Vitoria Do Santo Antao, PE, Brazil; [Eleuterio, Lucia H. S.] Univ Fed Pernambuco UFPE, Programa Posgrad Geociencias, Ctr Tecnol &amp; Geociencias, Av Arquitetura S-N, BR-50740550 Recife, PE, Brazil; [Mueller, Carsten W.] Tech Univ Munich, Chair Soil Sci, Emil Ramann Str 2, D-85354 Freising Weihenstephan, Germany</t>
  </si>
  <si>
    <t>Universidade Federal do Rio de Janeiro; Universidade Federal do Espirito Santo; Universidade Federal do Espirito Santo; Universidade Federal de Pernambuco; Universidade Federal de Pernambuco; Technical University of Munich</t>
  </si>
  <si>
    <t>Kellner, AWA (corresponding author), Univ Fed Rio de Janeiro, Lab Systemat &amp; Taphon Fossil Vertebrates, Dept Geol &amp; Paleontol, Museu Nacl, Quinta Boa Vista S-N, BR-20940040 Rio De Janeiro, RJ, Brazil.</t>
  </si>
  <si>
    <t>kellner@mn.ufrj.br</t>
  </si>
  <si>
    <t>Souza, Geovane Alves de/HTN-7985-2023; Costa, Fabiana/AAC-3125-2020; Alves, Geovane/ABA-2121-2020; Rodrigues, Taissa/H-1220-2012; Brum, Arthur Souza/ABB-9735-2020; Costa, Fabiana/AFU-7785-2022; Kellner, Alexander/ABE-9591-2020; Mueller, Carsten W/C-2679-2012</t>
  </si>
  <si>
    <t>Souza, Geovane Alves de/0000-0003-0979-1526; Alves, Geovane/0000-0003-0979-1526; Rodrigues, Taissa/0000-0001-7918-1358; Costa, Fabiana/0000-0003-3596-0143; Kellner, Alexander/0000-0001-7174-9447; Mueller, Carsten W/0000-0003-4119-0544; Figueiredo, Rodrigo/0000-0002-4304-6434; da Costa, Arthur Souza Brum/0000-0003-3927-0318</t>
  </si>
  <si>
    <t>Programa Antartico Brasileiro (PROANTAR) through the Conselho Nacional de Desenvolvimento Cientifico e Tecnologico (CNPq) [407670/2013-0, 442677/2018-9]; Fundacao de Desenvolvimento Carlos Chagas Filho de Amparo a Pesquisa do Estado do Rio de Janeiro (FAPERJ) [E-26/202.905/2018]; Conselho Nacional de Desenvolvimento Cientifico e Tecnologico (CNPq) [420687/2016-5, 313461/2018-0, 312360/2018-5, 311715/2017-6]; Fundacao de Apoio a Pesquisa do Estado de Pernambuco (FACEPE) [0419-9.05/16]; DFG Priority Programme 1158 Antarctic Research with Comparable Investigations in Arctic Sea Ice Areas [MU 3021/8-1]; Coordenacao de Aperfeicoamento de Pessoal de Nivel Superior (CAPES) [88887.336584/2019-00, 88887.371713/2019-00]</t>
  </si>
  <si>
    <t>Programa Antartico Brasileiro (PROANTAR) through the Conselho Nacional de Desenvolvimento Cientifico e Tecnologico (CNPq)(Conselho Nacional de Desenvolvimento Cientifico e Tecnologico (CNPQ)); Fundacao de Desenvolvimento Carlos Chagas Filho de Amparo a Pesquisa do Estado do Rio de Janeiro (FAPERJ)(Fundacao Carlos Chagas Filho de Amparo a Pesquisa do Estado do Rio De Janeiro (FAPERJ)); Conselho Nacional de Desenvolvimento Cientifico e Tecnologico (CNPq)(Conselho Nacional de Desenvolvimento Cientifico e Tecnologico (CNPQ)); Fundacao de Apoio a Pesquisa do Estado de Pernambuco (FACEPE)(Fundacao de Amparo a Ciencia e Tecnologia do Estado de Pernambuco (FACEPE)); DFG Priority Programme 1158 Antarctic Research with Comparable Investigations in Arctic Sea Ice Areas; Coordenacao de Aperfeicoamento de Pessoal de Nivel Superior (CAPES)(Coordenacao de Aperfeicoamento de Pessoal de Nivel Superior (CAPES))</t>
  </si>
  <si>
    <t>This study was supported by the Programa Antartico Brasileiro (PROANTAR) through the Conselho Nacional de Desenvolvimento Cientifico e Tecnologico (CNPq #407670/2013-0 and #442677/2018-9 to AWAK). The team of the PALEOANTAR Project wishes to thank all the NApOc Ary Rongel military group and the pilots of the HU-1 helicopter squadron for their logistic support during fieldwork in the Antarctic Peninsula, as well as the alpinists Edson Vandeira, Ricardo Leizer and Renato Dias from the Clube Alpino Paulista that organized the camping activities during the field seasons where the specimens studied here were collected. We would like to express our gratitude to Carlos Schaeffer, Maiara Daher, Eduardo Senra and Lars-Arne Meier of the TERRANTAR Project that camped with the PALEONTAR team at James Ross Island during the 2015/2016 field season. We are particularly indebted to Carlos Schaeffer (coordinator of the TERRANTAR Project) for providing access to members of the PALEOANTAR Project to join the 2017/2018 fieldwork in Vega Island. Guilherme Resende Correa, Rafael Gomes, Thales Nunes da Silva and Douglas Goncalves are thanked for the fieldwork in Vega Island. Our special thanks to the team of the Museu Nacional/UFRJ in charge of the rescuing activities inside the Palace of the Quinta da Boa Vista park that is being coordinated by Claudia Rodrigues Carvalho and Luciana Carvalho, particularly Helder de Paula Silva, who recovered the Vega Island specimen (MN 78001-V) from the debris. Renan Bantim and Fabio Portugal are thanked for the pterosaur outline of Figure 8.; Besides PROANTAR, this study was partially funded by the Fundacao de Desenvolvimento Carlos Chagas Filho de Amparo a Pesquisa do Estado do Rio de Janeiro (FAPERJ #E-26/202.905/2018 to AWAK), Conselho Nacional de Desenvolvimento Cientifico e Tecnologico (CNPq #420687/2016-5 and #313461/2018-0 to AWAK; #312360/2018-5 to TR; #311715/2017-6 to JMS), Fundacao de Apoio a Pesquisa do Estado de Pernambuco (FACEPE, - IBPG #0419-9.05/16 to LHSE), DFG Priority Programme 1158 Antarctic Research with Comparable Investigations in Arctic Sea Ice Areas (#MU 3021/8-1 to CWA), Coordenacao de Aperfeicoamento de Pessoal de Nivel Superior (CAPES #88887.336584/2019-00 to ASB and #88887.371713/2019-00 to GAS). We would also like to thank two anonymous reviewers for their suggestions.</t>
  </si>
  <si>
    <t>ACAD BRASILEIRA DE CIENCIAS</t>
  </si>
  <si>
    <t>RIO JANEIRO</t>
  </si>
  <si>
    <t>RUA ANFILOFIO DE CARVALHO, 29, 3 ANDAR, 20030-060 RIO JANEIRO, BRAZIL</t>
  </si>
  <si>
    <t>0001-3765</t>
  </si>
  <si>
    <t>1678-2690</t>
  </si>
  <si>
    <t>AN ACAD BRAS CIENC</t>
  </si>
  <si>
    <t>An. Acad. Bras. Cienc.</t>
  </si>
  <si>
    <t>e20191300</t>
  </si>
  <si>
    <t>10.1590/0001-3765201920191300</t>
  </si>
  <si>
    <t>Multidisciplinary Sciences</t>
  </si>
  <si>
    <t>Science &amp; Technology - Other Topics</t>
  </si>
  <si>
    <t>JT4LS</t>
  </si>
  <si>
    <t>WOS:000500963400001</t>
  </si>
  <si>
    <t>Ekaykin, AA; Lipenkov, VY; Veres, AN; Kozachek, AV; Skakun, AA</t>
  </si>
  <si>
    <t>Ekaykin, A. A.; Lipenkov, V. Ya; Veres, A. N.; Kozachek, A., V; Skakun, A. A.</t>
  </si>
  <si>
    <t>On the possibility to restore the climatic signal in the disturbed record of stable water isotope content in the old (0.4-1.2 Ma) Vostok ice (Central Antarctica)</t>
  </si>
  <si>
    <t>LED I SNEG-ICE AND SNOW</t>
  </si>
  <si>
    <t>Russian</t>
  </si>
  <si>
    <t>Antarctica; ice cores; Mid-Pleistocene Transition; old ice; paleoclimate; stable water isotopes; Vostok station</t>
  </si>
  <si>
    <t>CORE; PART; VARIABILITY; CHRONOLOGY</t>
  </si>
  <si>
    <t>In this work we have presented new detailed (with the resolution of 10 cm) stable water isotope delta D and delta O-18) profile measured in the central Antarctic Vostok ice core section that contains old ice with the age from 0.4 to 1.2 million years. To interpret these data we have developed a model of molecular diffusion in ice and determined the value of so-called diffusion length. We have demonstrated that the climatic signal in this ice interval is disturbed by a combination of two processes, ice layer folding (that is accompanied by layer overturning and mixing) and molecular diffusion. The whole old ice interval can be divided in 5 zones that differ in terms of character and intensity of these two processes. In three of these zones the climatic signal is partly preserved and could be restored to some extent. However, in the most interesting and old zone 5 (0.75-1.2 Ma) the climatic signal is nearly completely erased and could hardly be reconstructed. At the same time, the isotopic records obtained from the Vostok old ice have preserved the information on the mean level of the isotopic content of ice in glacial and interglacial stages. This gives an opportunity to reveal and study long-term climatic trends with typical duration longer than main climatic cycles (40-100 ka).</t>
  </si>
  <si>
    <t>[Ekaykin, A. A.; Lipenkov, V. Ya; Veres, A. N.; Kozachek, A., V; Skakun, A. A.] Arctic &amp; Antarctic Res Inst, St Petersburg, Russia; [Ekaykin, A. A.; Veres, A. N.] St Petersburg State Univ, Inst Earth Sci, St Petersburg, Russia; [Skakun, A. A.] Cent Astron Pulkovo Observ, St Petersburg, Russia</t>
  </si>
  <si>
    <t>Arctic &amp; Antarctic Research Institute; Saint Petersburg State University; Russian Academy of Sciences; St. Petersburg Scientific Centre of the Russian Academy of Sciences; Pulkovo Observatory</t>
  </si>
  <si>
    <t>Ekaykin, AA (corresponding author), Arctic &amp; Antarctic Res Inst, St Petersburg, Russia.;Ekaykin, AA (corresponding author), St Petersburg State Univ, Inst Earth Sci, St Petersburg, Russia.</t>
  </si>
  <si>
    <t>ekaykin@aari.ru</t>
  </si>
  <si>
    <t>Veres, Arina/HJY-8317-2023; Kozachek, Anna V./JCE-4791-2023; Ekaykin, Alexey A./K-9894-2015; Kozachek, Anna V./Q-4543-2016; Skakun, Aleksandra/AAS-7787-2020</t>
  </si>
  <si>
    <t>Kozachek, Anna V./0000-0002-9704-8064;</t>
  </si>
  <si>
    <t>Russian Science Foundation [18-17-00110]; Russian Science Foundation [18-17-00110] Funding Source: Russian Science Foundation</t>
  </si>
  <si>
    <t>Russian Science Foundation(Russian Science Foundation (RSF)); Russian Science Foundation(Russian Science Foundation (RSF))</t>
  </si>
  <si>
    <t>The authors thank Russian Science Foundation for the financial support (grant 18-17-00110).</t>
  </si>
  <si>
    <t>INST GEOGRAPHY, RUSSIAN ACAD SCIENCES</t>
  </si>
  <si>
    <t>MOSCOW</t>
  </si>
  <si>
    <t>PROFSOYUZNAYA UL 90, MOSCOW, 117864, RUSSIA</t>
  </si>
  <si>
    <t>2076-6734</t>
  </si>
  <si>
    <t>2412-3765</t>
  </si>
  <si>
    <t>LED SNEG</t>
  </si>
  <si>
    <t>Led Sneg</t>
  </si>
  <si>
    <t>10.15356/2076-6734-2019-4-463</t>
  </si>
  <si>
    <t>Geosciences, Multidisciplinary</t>
  </si>
  <si>
    <t>JS7SC</t>
  </si>
  <si>
    <t>WOS:000500502800001</t>
  </si>
  <si>
    <t>Andreev, OM; Drabenko, DV; Vinogradov, RA; Orlova, EU</t>
  </si>
  <si>
    <t>Andreev, O. M.; Drabenko, D., V; Vinogradov, R. A.; Orlova, E. U.</t>
  </si>
  <si>
    <t>Influence of climate warming on the strength characteristics of ice in the Ob Bay</t>
  </si>
  <si>
    <t>Arctic; climate warming; gulf of Ob; ice strength characteristics; ice thickness</t>
  </si>
  <si>
    <t>The article presents results of investigation of the climate warming effects in the northern polar region of the Earth, in particular on some characteristics of ice in the northern part of the Ob Bay (the area of the most active economic activity of the Russian Federation in the last decade). It is determined that over the past 40 years, morphometric and strength characteristics of ice have significantly changed. Estimates of ice thickness obtained using simple empirical formulas (depending on the sum of the degree-days of frost) show that the ice thickness decreased here by an average of 10 15%. The strength characteristics of ice were analyzed for two periods: the maximum strength of ice (for this area it is March) and the maximum development of ice thickness (usually it is May). It was found that the strength properties of ice (bending and compression) for both periods decreased by 10-12%. Thus, in recent decades, under the influence of climate warming in the Ob Bay, the thickness and strength of the ice cover have significantly decreased. This circumstance will be favorable for further development of the considered water area by Russian oil and gas companies.</t>
  </si>
  <si>
    <t>[Andreev, O. M.; Drabenko, D., V; Vinogradov, R. A.; Orlova, E. U.] Arctic &amp; Antarctic Res Inst, St Petersburg, Russia</t>
  </si>
  <si>
    <t>Arctic &amp; Antarctic Research Institute</t>
  </si>
  <si>
    <t>Drabenko, DV (corresponding author), Arctic &amp; Antarctic Res Inst, St Petersburg, Russia.</t>
  </si>
  <si>
    <t>dimmnecro@mail.ru</t>
  </si>
  <si>
    <t>Andreev, Oleg M./ABE-6472-2022; Драбенко, Дмитрий/JKJ-1304-2023</t>
  </si>
  <si>
    <t>Andreev, Oleg M./0009-0007-8558-7945;</t>
  </si>
  <si>
    <t>10.15356/2076-6734-2019-4-409</t>
  </si>
  <si>
    <t>WOS:000500502800010</t>
  </si>
  <si>
    <t>Polyakov, VI; Chegodaeva, NA; Abakumov, EV</t>
  </si>
  <si>
    <t>Polyakov, Vyacheslav, I; Chegodaeva, Nadezhda A.; Abakumov, Evgeny, V</t>
  </si>
  <si>
    <t>Molecular and elemental composition of humic acids isolated from selected soils of the Russian Arctic</t>
  </si>
  <si>
    <t>VESTNIK TOMSKOGO GOSUDARSTVENNOGO UNIVERSITETA-BIOLOGIYA</t>
  </si>
  <si>
    <t>CP/MAS C-13-NMR; humic acids; organic matter; permafrost-affected soils; Cryosol</t>
  </si>
  <si>
    <t>LENA RIVER DELTA; ORGANIC-MATTER; TUNDRA SOILS; WESTERN SIBERIA; C-13 NMR; SUBSTANCES; CARBON; PERMAFROST; CLIMATE; POOLS</t>
  </si>
  <si>
    <t>Humic substances, isolated from selected soils of the Russian Arctic, were investigated in terms of molecular composition and stabilization rate. The degree of polar soil organic matter stabilization was assessed with the use of modern instrumental spectroscopy methods. The analysis of humic acid (HAs) preparations showed that aliphatic fragments prevail in the organic matter isolated in polar soils. The predominance of aliphatic fragments was revealed in HAs from soils located in the coastal zone, which could be caused by regular refreshment of organic matter during sin-lithogenic process and processes of hydrogenation in HAs. Breaking of the C-C bonds and formation of chains with a high hydrogen content, which leads to the formation of aliphatic fragments in HAs, were noted. Data on the calculated atomic ratios of the elements in HAs are given and graphs show the main regularities in the formation of HAs and their properties. The integrated indicators of the molecular composition of humic acids of soils of the Russian Arctic are presented.</t>
  </si>
  <si>
    <t>[Polyakov, Vyacheslav, I] St Petersburg State Univ, Dept Appl Ecol, Fac Biol, 13B Univ Skaya Emb, St Petersburg 199034, Russia; [Chegodaeva, Nadezhda A.; Abakumov, Evgeny, V] St Petersburg State Univ, Dept Appl Ecol, 13B Univ Skaya Emb, St Petersburg 199034, Russia; [Polyakov, Vyacheslav, I] St Petersburg State Agr Univ, Dept Soil Sci &amp; Agrochem, Fac Agr, 2 Petersburg Highway, Pushchino 196601, Russia; [Polyakov, Vyacheslav, I] Arctic &amp; Antarctic Res Inst, Dept Geog Polar Reg, 38 Bering Str, St Petersburg 199397, Russia</t>
  </si>
  <si>
    <t>Saint Petersburg State University; Saint Petersburg State University; Arctic &amp; Antarctic Research Institute</t>
  </si>
  <si>
    <t>Polyakov, VI (corresponding author), St Petersburg State Univ, Dept Appl Ecol, Fac Biol, 13B Univ Skaya Emb, St Petersburg 199034, Russia.;Polyakov, VI (corresponding author), St Petersburg State Agr Univ, Dept Soil Sci &amp; Agrochem, Fac Agr, 2 Petersburg Highway, Pushchino 196601, Russia.;Polyakov, VI (corresponding author), Arctic &amp; Antarctic Res Inst, Dept Geog Polar Reg, 38 Bering Str, St Petersburg 199397, Russia.</t>
  </si>
  <si>
    <t>salvon6985@gmail.com; nadenka9517@mail.ru; e_abakumov@mail.ru</t>
  </si>
  <si>
    <t>Abakumov, Evgeny/AAO-8580-2020; Abakumov, e_abakumov@mail.ru/ADJ-1297-2022; Polyakov, Vyacheslav/H-5483-2016</t>
  </si>
  <si>
    <t>Abakumov, Evgeny/0000-0002-5248-9018; Abakumov, e_abakumov@mail.ru/0000-0002-5248-9018; Polyakov, Vyacheslav/0000-0001-6171-3221</t>
  </si>
  <si>
    <t>Grant of Saint-Petersburg State University Urbanized ecosystems of the Russian Arctic: Dynamics, state and sustainable development</t>
  </si>
  <si>
    <t>This work was supported by the Grant of Saint-Petersburg State University Urbanized ecosystems of the Russian Arctic: Dynamics, state and sustainable development.</t>
  </si>
  <si>
    <t>TOMSKIJ GOSUDARSTVENNYI UNIV</t>
  </si>
  <si>
    <t>TOMSK</t>
  </si>
  <si>
    <t>BIOL INST, 36 LENINA ST, TOMSK, 634050, RUSSIA</t>
  </si>
  <si>
    <t>1998-8591</t>
  </si>
  <si>
    <t>2311-2077</t>
  </si>
  <si>
    <t>VESTN TOMSK GOS U BI</t>
  </si>
  <si>
    <t>Vestn. Tomsk. Gos. Univ. Biol.</t>
  </si>
  <si>
    <t>10.17223/19988591/47/1</t>
  </si>
  <si>
    <t>Biology; Ecology</t>
  </si>
  <si>
    <t>Life Sciences &amp; Biomedicine - Other Topics; Environmental Sciences &amp; Ecology</t>
  </si>
  <si>
    <t>JS9CV</t>
  </si>
  <si>
    <t>WOS:000500598800001</t>
  </si>
  <si>
    <t>Tretyakov, VY; Frolov, SV; Sarafanov, MI</t>
  </si>
  <si>
    <t>Tretyakov, V. Yu; Frolov, S., V; Sarafanov, M., I</t>
  </si>
  <si>
    <t>Analysis of the interannual variability of ice conditions along the route Sabetta - Murmansk for the period 1997-2018</t>
  </si>
  <si>
    <t>VESTNIK OF SAINT PETERSBURG UNIVERSITY EARTH SCIENCES</t>
  </si>
  <si>
    <t>ice conditions; variability; the Barents Sea; the Kara Sea; liquid gas transportation; Sabetta Harbor</t>
  </si>
  <si>
    <t>SEA</t>
  </si>
  <si>
    <t>The start-up of a plant for liquid gas production in the town of Sabetta (Russia, Yamal Peninsula) requires the creation of a marine transport system for gas shipment. The town is a significant cluster for gas processing and export from South-Tambey Field. The field stock is estimated at more than one trillion cubic meters of natural gas. Ice cover is a source of possible accidents with tankers. The accidents can lead to environment contamination. Here we consider analysis of the intra- and inter-annual variability of ice conditions on the navigation route Sabetta seaport - Kara Gate - Murmansk seaport for the period of 1997-2018. The route is a path for export of liquid gas. Electronic ice maps of the archives of the Arctic and Antarctic Research Institute (AARI) were processed. Maps of the archive were created by vectorization of satellite images. For 24 decades from November to June, we obtained the lengths of the route in close floating ice with presence of thick, medium, thin first-year ice, grey-white, grey and new ice, and with partial concentrations of thick and a sum of thick and medium first-year ice equal to five or more points. Tests of homogeneity of the lengths interannual series were carried out by means of the method of integral curves and nonparametric Wilcoxon-Mann-Whitney and Siegel-Tukey criteria. Improvement of ice conditions along the route is revealed.</t>
  </si>
  <si>
    <t>[Tretyakov, V. Yu; Sarafanov, M., I] St Petersburg State Univ, 7-9 Univ Skaya Nab, St Petersburg 199034, Russia; [Frolov, S., V] Russian Federat Arctic &amp; Antarctic Res Inst, State Sci Ctr, 38 Ul Beringa, St Petersburg 199397, Russia</t>
  </si>
  <si>
    <t>Saint Petersburg State University</t>
  </si>
  <si>
    <t>Tretyakov, VY (corresponding author), St Petersburg State Univ, 7-9 Univ Skaya Nab, St Petersburg 199034, Russia.</t>
  </si>
  <si>
    <t>v_yu_tretyakov@mail.ru; svf@aari.ru; mik_sar@mail.ru</t>
  </si>
  <si>
    <t>Sarafanov, Mikhail/AAJ-4438-2021; Tretyakov, Victor/K-5315-2013</t>
  </si>
  <si>
    <t>Sarafanov, Mikhail/0000-0002-2459-4486; Tretyakov, Victor/0000-0002-0947-5577</t>
  </si>
  <si>
    <t>ST PETERSBURG UNIV PRESS</t>
  </si>
  <si>
    <t>ST PETERSBURG</t>
  </si>
  <si>
    <t>6TH LINE VO, 11, ST PETERSBURG, 199004, RUSSIA</t>
  </si>
  <si>
    <t>2541-9668</t>
  </si>
  <si>
    <t>2587-585X</t>
  </si>
  <si>
    <t>VESTN ST PETER U-EAR</t>
  </si>
  <si>
    <t>Vestn. St. Petersb. Univ. Earth Sci.</t>
  </si>
  <si>
    <t>10.21638/spbu07.2019.307</t>
  </si>
  <si>
    <t>JS8DL</t>
  </si>
  <si>
    <t>Green Submitted, gold</t>
  </si>
  <si>
    <t>WOS:000500532400007</t>
  </si>
  <si>
    <t>Miao, K; Wang, ZY</t>
  </si>
  <si>
    <t>Miao, Kun; Wang, Ziyang</t>
  </si>
  <si>
    <t>Neighbor-Induction and Population-Dispersion in Differential Evolution Algorithm</t>
  </si>
  <si>
    <t>Neighbor-induced operator; dispersion strategy; krill herd algorithm; differential evolution algorithm; global optimization</t>
  </si>
  <si>
    <t>KRILL HERD ALGORITHM; DIRECTION INFORMATION; EUPHAUSIA-SUPERBA; ANTARCTIC KRILL; OPTIMIZATION; CROSSOVER; STRATEGY; BEHAVIOR</t>
  </si>
  <si>
    <t>The differential evolution (DE) optimization algorithm predominantly relies on elite individuals and random difference to direct evolution. Although the strategy is clear and easy to implement, identifying a suitable direction for the DE mutation strongly depends on the direction information provided beforehand. To address this, we present a neighbor-induced mutation operator that simulates the neighbor-induced movement of Antarctic krill to guide the evolution direction in a natural manner. Additionally, center dispersion is proposed to disperse the population and redistribute individual positions to escape search stagnation, inspired by the spreading out of krill around newly discovered food. Comprising the new operator and the center dispersion pattern, this paper proposes a neighbor-induced DE algorithm with dispersion pattern (NDEd). The results of the comparative experiments verify the effectiveness of the neighbor-induced mutation operator and the dispersion pattern. Further, experimental results from 28 test functions of CEC2013 demonstrate that NDEd performs better compared to the other classic DE algorithms.</t>
  </si>
  <si>
    <t>[Miao, Kun; Wang, Ziyang] Cent S Univ, Sch Civil Engn, Changsha 410075, Hunan, Peoples R China</t>
  </si>
  <si>
    <t>Central South University</t>
  </si>
  <si>
    <t>Wang, ZY (corresponding author), Cent S Univ, Sch Civil Engn, Changsha 410075, Hunan, Peoples R China.</t>
  </si>
  <si>
    <t>ziyang_wang@csu.edu.cn</t>
  </si>
  <si>
    <t>Miao, Kun/AGQ-3850-2022; MIAO, KUN/AAU-8516-2021</t>
  </si>
  <si>
    <t>Miao, Kun/0000-0002-2179-8467;</t>
  </si>
  <si>
    <t>National Natural Science Foundation of China [51478480]; Hunan Provincial Natural Science Foundation of China [12JJ3040]</t>
  </si>
  <si>
    <t>National Natural Science Foundation of China(National Natural Science Foundation of China (NSFC)); Hunan Provincial Natural Science Foundation of China(Natural Science Foundation of Hunan Province)</t>
  </si>
  <si>
    <t>This work was supported in part by the National Natural Science Foundation of China under Project 51478480, and in part by the Hunan Provincial Natural Science Foundation of China under Grant 12JJ3040.</t>
  </si>
  <si>
    <t>10.1109/ACCESS.2019.2945831</t>
  </si>
  <si>
    <t>JQ3BR</t>
  </si>
  <si>
    <t>WOS:000498824600002</t>
  </si>
  <si>
    <t>Pastor-Prieto, M; Ramos, R; Zajková, Z; Reyes-González, JM; Rivas, ML; Ryan, PG; González-Solís, J</t>
  </si>
  <si>
    <t>Pastor-Prieto, Marina; Ramos, Raul; Zajkova, Zuzana; Manuel Reyes-Gonzalez, Jose; Rivas, Manuel L.; Ryan, Peter G.; Gonzalez-Solis, Jacob</t>
  </si>
  <si>
    <t>Spatial ecology, phenological variability and moulting patterns of the Endangered Atlantic petrel Pterodroma incerta</t>
  </si>
  <si>
    <t>ENDANGERED SPECIES RESEARCH</t>
  </si>
  <si>
    <t>Atlantic petrel; Year-round movements; At-sea behaviour; Carry-over effects; Patagonian Shelf</t>
  </si>
  <si>
    <t>HABITAT PREFERENCES; ROUND DISTRIBUTION; SEASONAL INTERACTIONS; MIGRATION STRATEGIES; BURROWING PETRELS; STABLE-ISOTOPES; GOUGH ISLAND; SEABIRD; BEHAVIOR; CYCLE</t>
  </si>
  <si>
    <t>Insights into the year-round movements and behaviour of seabirds are essential to better understand their ecology and to evaluate possible threats at sea. The Atlantic petrel Pterodroma incerta is an Endangered gadfly petrel endemic to the South Atlantic Ocean, with virtually the entire population breeding on Gough Island (Tristan da Cunha archipelago). We describe adult phenology, habitat preferences and at-sea activity patterns for each phenological phase of the annual cycle and refine current knowledge about its distribution, by using light-level geolocators on 13 adults over 1-3 consecutive years. We also ascertained moulting pattern through stable isotope analysis (SIA) of nitrogen and carbon in feathers from 8 carcasses. On average, adults started their post-breeding migration on 25 December, taking 10 d to reach their non-breeding areas on the South American shelf slope. The pre-breeding migration started around 11 April and took 5 d. From phenological data, we found evidence of carry-over effects between successive breeding periods. The year-round distribution generally coincided with the potential distribution obtained from habitat modelling, except during the non-breeding and pre-laying exodus periods, when birds only used the western areas of the South Atlantic. Moulting occurred during the non-breeding period, when birds spent more time on the water, and results from SIA helped us to distinguish feathers grown around Gough Island from those grown in the non-breeding area. Overall, our results bring important new insights into the spatial ecology of this Endangered seabird, which should help improve conservation strategies in the South Atlantic Ocean.</t>
  </si>
  <si>
    <t>[Pastor-Prieto, Marina; Ramos, Raul; Zajkova, Zuzana; Manuel Reyes-Gonzalez, Jose; Rivas, Manuel L.; Gonzalez-Solis, Jacob] Univ Barcelona, Inst Recerca Biodiversitat IRBio, Barcelona 08028, Spain; [Pastor-Prieto, Marina; Ramos, Raul; Zajkova, Zuzana; Manuel Reyes-Gonzalez, Jose; Rivas, Manuel L.; Gonzalez-Solis, Jacob] Univ Barcelona, Dept Biol Evolutiva Ecol &amp; Ciencies Ambientals B, Barcelona 08028, Spain; [Zajkova, Zuzana] Ctr Adv Studies Blanes CEAB CSIC, Girona 17300, Spain; [Ryan, Peter G.] Univ Cape Town, DST NRF Ctr Excellence, FitzPatrick Inst African Ornithol, ZA-7701 Rondebosch, South Africa</t>
  </si>
  <si>
    <t>University of Barcelona; University of Barcelona; Consejo Superior de Investigaciones Cientificas (CSIC); CSIC - Centre d'Estudis Avancats de Blanes (CEAB); University of Cape Town; National Research Foundation - South Africa</t>
  </si>
  <si>
    <t>Pastor-Prieto, M (corresponding author), Univ Barcelona, Inst Recerca Biodiversitat IRBio, Barcelona 08028, Spain.;Pastor-Prieto, M (corresponding author), Univ Barcelona, Dept Biol Evolutiva Ecol &amp; Ciencies Ambientals B, Barcelona 08028, Spain.</t>
  </si>
  <si>
    <t>marina.pastor6@gmail.com</t>
  </si>
  <si>
    <t>Zajková, Zuzana/AAS-5094-2021; González-Solís, Jacob/AAB-1161-2019; Gonzalez-Solis, Jacob/C-3942-2008; Ramos, Raül/S-3112-2016; REYES-GONZALEZ, JOSE MANUEL/N-9182-2017</t>
  </si>
  <si>
    <t>Zajková, Zuzana/0000-0002-7540-3651; Gonzalez-Solis, Jacob/0000-0002-8691-9397; Ramos, Raül/0000-0002-0551-8605; REYES-GONZALEZ, JOSE MANUEL/0000-0001-8311-3235; Pastor, Marina/0000-0002-0098-7963</t>
  </si>
  <si>
    <t>Ministerio de Educacion y Ciencia; Ministerio de Ciencia e Innovacion from the Spanish Government [CGL2006- 01315/BOS, CGL2013-42585-P, CGL2009-11278/BOS]; South African Department of Environmental Affairs; National Research Foundation; Royal Society for the Protection of Birds; Spanish MINECO [JCI-2012-11848]; Universitat de Barcelona (UB) [APIF/2012]; Spanish MECD (FPU) [AP2009-2163]</t>
  </si>
  <si>
    <t>Ministerio de Educacion y Ciencia(Spanish Government); Ministerio de Ciencia e Innovacion from the Spanish Government(Spanish Government); South African Department of Environmental Affairs; National Research Foundation; Royal Society for the Protection of Birds; Spanish MINECO(Spanish Government); Universitat de Barcelona (UB); Spanish MECD (FPU)(German Research Foundation (DFG))</t>
  </si>
  <si>
    <t>The Ministerio de Educacion y Ciencia and Ministerio de Ciencia e Innovacion from the Spanish Government (Projects CGL2006-01315/BOS, CGL2013-42585-P, CGL2009-11278/BOS) financially supported this study. Logistical support and financial funding during field work was provided by the South African Department of Environmental Affairs and the National Research Foundation, through the South African National Antarctic Programme, with additional support from the Royal Society for the Protection of Birds. R.R., Z.Z. and J.M.R.G. were supported by Spanish MINECO (Juan de la Cierva postdoctoral programme, JCI-2012-11848), Universitat de Barcelona (UB, APIF/2012) and Spanish MECD (FPU, AP2009-2163), respectively. Permission to conduct research at Gough Island was granted by the Administrator and Island Council of Tristan da Cunha, through Tristan's Conservation Department. We thank R. Ronconi for his help during field work, and the many field assistants who deployed and recovered tags at Gough Island. We thank 3 anonymous referees for their comments to improve an earlier version of the manuscript.</t>
  </si>
  <si>
    <t>INTER-RESEARCH</t>
  </si>
  <si>
    <t>OLDENDORF LUHE</t>
  </si>
  <si>
    <t>NORDBUNTE 23, D-21385 OLDENDORF LUHE, GERMANY</t>
  </si>
  <si>
    <t>1863-5407</t>
  </si>
  <si>
    <t>1613-4796</t>
  </si>
  <si>
    <t>ENDANGER SPECIES RES</t>
  </si>
  <si>
    <t>Endanger. Species Res.</t>
  </si>
  <si>
    <t>10.3354/esr00991</t>
  </si>
  <si>
    <t>Biodiversity Conservation</t>
  </si>
  <si>
    <t>Biodiversity &amp; Conservation</t>
  </si>
  <si>
    <t>JQ3PB</t>
  </si>
  <si>
    <t>gold, Green Submitted, Green Published</t>
  </si>
  <si>
    <t>WOS:000498860000016</t>
  </si>
  <si>
    <t>Zhang, WQ; Zhang, YL</t>
  </si>
  <si>
    <t>Zhang, Wenqi; Zhang, Yanlin</t>
  </si>
  <si>
    <t>Oxygen isotope anomaly (Δ17O) in atmospheric nitrate: A review</t>
  </si>
  <si>
    <t>CHINESE SCIENCE BULLETIN-CHINESE</t>
  </si>
  <si>
    <t>Chinese</t>
  </si>
  <si>
    <t>Review</t>
  </si>
  <si>
    <t>atmospheric nitrate; oxygen isotope anomaly (Delta O-17); nitrate formation pathways; mass independent fractionation; atmospheric chemistry model</t>
  </si>
  <si>
    <t>EAST ANTARCTIC PLATEAU; OIL SANDS REGION; HETEROGENEOUS HYDROLYSIS; CHEMICAL CONVERSION; PHASE REACTION; FRESH-WATER; OZONE; RATIOS; NITROGEN; ORIGIN</t>
  </si>
  <si>
    <t>The nitrate is a significant component in atmospheric aerosol and has a great impact on the atmospheric chemistry, fine particulate formation, radiative balance and human health. The oxygen isotope anomaly (Delta O-17) is quantified as Delta O-17=delta O-17 similar to 0.52x delta O-18 and it represents the enrichment in O-17 relative to O-18 over the expected relationship (delta O-17 similar to 0.52x delta O-18) in mass dependent fractionation processes. The Delta O-17 values in atmospheric nitrate (Delta(NO3-)-N-17) depend on the mixing of oxygen sources (e.g. O-3, H2O and O-2) when NOx is photochemically converted into nitrate. In that case, the observation of Delta(NO3-)-N-17 coupled with photochemical modeling can be used to quantify the relative contribution of each pathway. Here, the recent research progresses of oxygen isotope anomaly of atmospheric nitrate are reviewed. Firstly, the preparation of the triple oxygen isotope (O-16, O-17, O-18) measurement of atmospheric nitrate are compared: (1) The precision of the pyrolysis technique is high (+/- 0.3 parts per thousand), but this method requires relatively large amount of nitrate (&gt;50 mu mol NO3-) and complicated preparations. (2) The size and purification limitations are largely overcomed by the denitrification method conducted with Pseudomonas aureofaciens bacteria. It is suitable for isotopic analysis of nanomolar amounts of nitrate with a precision in Delta O-17 of +/- 0.6 parts per thousand. (3) The reduction-azide technique also has the advantage of high precision (+/- 0.2 parts per thousand), low detection limit and sample preparation. But the utility of toxic substances (cadmium and azide) are unavoidable in the reduction. Secondly, the global characterization of Delta(NO3-)-N-17 are compared. Delta(NO3-)-N-17 tends to be higher in high latitudes than in mid-latitudes, whereas Delta(NO3-)-N-17 in cold seasons are higher than that in warm seasons. Thirdly, the possible formation pathways of atmospheric nitrate are summarized. NO can be converted to NO2 by O-3 or HO2/RO2 in NOx cycle, and then oxidized into nitrate via NO2+center dot OH, NO3+HC/DMS or N2O5 hydrolysis. Reactive halogen (e.g. BrO) and HNO4 photolysis can also play an important role in nitrate formation in polar regions. Nitrate oxidized by center dot OH have lower Delta(17) values, and higher Delta(NO3-)-N-17 normally suggests more O-3 oxidation. Fourthly, the Delta O-17 values of oxygen sources that contribute to nitrate are introduced. Among all the oxygen sources (O-3, center dot OH, HO2/RO2, O-2 and tropospheric water), only the Delta O-17 of ozone is exhibited with high value (25 parts per thousand-37 parts per thousand), other compounds are considered to have Delta O-17 similar to 0 parts per thousand. Therefore, the Delta(NO3-)-N-17 from each pathway can be presented based on these values. Next, the photochemical box model and other atmospheric chemical models simulating the Delta(NO3-)-N-17 on regional and global scale are summarized. The photochemical box model is limited for not considering the transport of atmospheric nitrate from neighboring regions. The 3-D model is more advanced than the box model for including vertical and horizontal transport, and incorporating spatial variations in surface fluxes of important primary pollutants such as NOx and VOCs. Finally, the future directions and the application of the researches on Delta(NO3-)-N-17 in the field of atmospheric chemistry are proposed: (1) The target areas of Delta(NO3-)-N-17 observation should be expanded to cover more different regions such as polluted urban and rural areas. (2) More studies are in need for decreasing the uncertainties in the simulation of Delta(NO3-)-N-17 (3) The nitrate formation mechanism under different atmospheric conditions in various regions still needs to be better understood. (4) The study of oxygen isotope anomaly should be coupled with other approaches in atmospheric research (e.g. air quality modeling and online observation of chemical composition in atmospheric aerosols).</t>
  </si>
  <si>
    <t>[Zhang, Wenqi; Zhang, Yanlin] Nanjing Univ Informat Sci &amp; Technol, Int Joint Lab Climate &amp; Environm Change ILCEC, Yale NUIST Ctr Atmospher Environm, Nanjing 210044, Jiangsu, Peoples R China; [Zhang, Wenqi; Zhang, Yanlin] Nanjing Univ Informat Sci &amp; Technol, Coll Appl Meteorol, Jiangsu Prov Key Lab Agr Meteorol, Nanjing 210044, Jiangsu, Peoples R China</t>
  </si>
  <si>
    <t>Nanjing University of Information Science &amp; Technology; Nanjing University of Information Science &amp; Technology</t>
  </si>
  <si>
    <t>Zhang, YL (corresponding author), Nanjing Univ Informat Sci &amp; Technol, Int Joint Lab Climate &amp; Environm Change ILCEC, Yale NUIST Ctr Atmospher Environm, Nanjing 210044, Jiangsu, Peoples R China.;Zhang, YL (corresponding author), Nanjing Univ Informat Sci &amp; Technol, Coll Appl Meteorol, Jiangsu Prov Key Lab Agr Meteorol, Nanjing 210044, Jiangsu, Peoples R China.</t>
  </si>
  <si>
    <t>dryanlinzhang@outlook.com</t>
  </si>
  <si>
    <t>Zhang, Yanlin/AAH-7770-2021</t>
  </si>
  <si>
    <t>Zhang, Yanlin/0000-0002-8722-8635</t>
  </si>
  <si>
    <t>SCIENCE PRESS</t>
  </si>
  <si>
    <t>EPHRATA</t>
  </si>
  <si>
    <t>300 WEST CHESNUT ST, EPHRATA, PA 17522 USA</t>
  </si>
  <si>
    <t>0023-074X</t>
  </si>
  <si>
    <t>2095-9419</t>
  </si>
  <si>
    <t>CHIN SCI B-CHIN</t>
  </si>
  <si>
    <t>Chin. Sci. Bull.-Chin.</t>
  </si>
  <si>
    <t>10.1360/N972018-01028</t>
  </si>
  <si>
    <t>JM8FM</t>
  </si>
  <si>
    <t>WOS:000496444000003</t>
  </si>
  <si>
    <t>Yu, X; Han, XQ; Tang, LM; Liu, JQ; Zhang, PP</t>
  </si>
  <si>
    <t>Yu, Xing; Han, Xiqiu; Tang, Limei; Liu, Jiqiang; Zhang, Pingping</t>
  </si>
  <si>
    <t>The geotectonic features of the Southeast Indian Ridge and its current research progress</t>
  </si>
  <si>
    <t>Southeast Indian Ridge; Amsterdam-St. Paul Plateau; Australia-Antarctic Discordance; Mid-ocean ridge basalt; geotectonic characteristics; geochemistry</t>
  </si>
  <si>
    <t>AUSTRALIAN-ANTARCTIC DISCORDANCE; ASTHENOSPHERIC FLOW BENEATH; RODRIGUEZ TRIPLE JUNCTION; LARGE IGNEOUS PROVINCE; ST PAUL HOTSPOT; KERGUELEN PLATEAU; NATURALISTE PLATEAU; NINETYEAST RIDGE; GRAVITY-ANOMALIES; CONTINENTAL-CRUST</t>
  </si>
  <si>
    <t>The Southeast Indian Ridge (SEIR) is the fastest spreading ridge in the Indian Ocean, with an average half spreading rate of 25-50 mm/a. The crust produced by the SEIR accounts for more than half of the total Indian oceanic crust. It represents a pivotal element in shaping the current tectonic settings of the Indian Ocean. Compared with the Southwest Indian Ridge (SWIR) and Northwest Indian Ridge (NWIR), the temporal and spatial evolution of the SEIR has been more complex, as reflected by the present-day tectonic and geomorphological diversity of its segmentation pattern. In this study, we integrate the topographic and geomorphological features, the gravimetric and geomagnetic signatures, and the MORB geochemical characteristics from the SEIR and the adjacent areas, in order to define the segmentation of the ridge, to trace its evolution through time, to characterize the heterogeneity degree of the mantle source beneath the ridge and to explore potential genetic links between regional intraplate volcanisms and the spreading ridge. The study shows that the axial bathymetry of SEIR undulates along the ridge, with the shallowest depth at the Amsterdam-St. Paul Plateau (ASP) and the deepest ones at the Australian-Antarctic Discordance (AAD). Using bathymetric, gravity and geomagnetic data, thirty-one first-order ridge segments can be distinguished. The boundaries of each segment coincide with transform faults. The eastern Indian Ocean expanded owing to three main successive phases of oceanic accretion each characterized by a distinct orientation: northwestward phase before 84 Ma, a north-south one between 84 and 38 Ma and a northeastward phase after 38 Ma. The mantle source of the SEIR is heterogeneous, especially in ASP and AAD regions. While the ASP results from a hotspot-ridge interaction, the AAD represents the isotopic boundary between Indian and the Pacific Ocean mantle domains. In the eastern Indian Ocean, there are many off-axis oceanic plateaux, such as the Kerguelen Plateau, Broken Ridge, Ninetyeast Ridge, Naturaliste Plateau and Wallaby-Cuvier Plateau. The buildings of these off-axis oceanic plateaux are either related to plume activity, and/or to presence of remnants of continental crust material embedded in the shallow mantle. The SEIR integrated with the NWIR at similar to 38 Ma, while the SWIR wedged into the NWIR-SEIR sometime after or before 38 Ma at the Rodrigues Triple Junction. The heavy isotopic compositions of SEIR are similar to NWIR and the northeast end of SWIR. Compared with Pacific-Antarctic Ridge, the Indian ridge systems show obvious Dupal anomaly, indicating the larger-scale mantle heterogeneities. This study can help better understand the evolution of the eastern Indian Ocean, the ridge systems and tectonic patterns of the entire Indian Ocean. It can also enhance our knowledge on Gondwana continent rifting and the evolution of Indian Ocean.</t>
  </si>
  <si>
    <t>[Yu, Xing; Han, Xiqiu; Tang, Limei; Liu, Jiqiang] Minist Nat Resources, Inst Oceanog 2, Hangzhou 310012, Zhejiang, Peoples R China; [Yu, Xing; Han, Xiqiu; Tang, Limei; Liu, Jiqiang] State Ocean Adm, Key Lab Submarine Geosci, Hangzhou 310012, Zhejiang, Peoples R China; [Zhang, Pingping] Zhejiang Univ, Ocean Coll, Zhoushan 316021, Peoples R China</t>
  </si>
  <si>
    <t>Ministry of Natural Resources of the People's Republic of China; Zhejiang University</t>
  </si>
  <si>
    <t>Yu, X (corresponding author), Minist Nat Resources, Inst Oceanog 2, Hangzhou 310012, Zhejiang, Peoples R China.;Yu, X (corresponding author), State Ocean Adm, Key Lab Submarine Geosci, Hangzhou 310012, Zhejiang, Peoples R China.</t>
  </si>
  <si>
    <t>yuxing@sio.org.cn</t>
  </si>
  <si>
    <t>Han, Xiqiu/AIB-2819-2022; Yu, xing/HKE-5151-2023; /G-9343-2011</t>
  </si>
  <si>
    <t>Han, Xiqiu/0000-0001-9285-0915; /0000-0003-1908-3726</t>
  </si>
  <si>
    <t>10.1360/N972018-01136</t>
  </si>
  <si>
    <t>JM8JN</t>
  </si>
  <si>
    <t>WOS:000496454500007</t>
  </si>
  <si>
    <t>Gao, J; Yao, TD; Cai, R; Zhang, TH; He, ZQ; Niu, XW; Xu, BQ; Wu, GJ</t>
  </si>
  <si>
    <t>Gao, Jing; Yao, Tandong; Cai, Rong; Zhang, Taihua; He, Zeqing; Niu, Xiaowei; Xu, Baiqing; Wu, Guangjian</t>
  </si>
  <si>
    <t>Observation of the atmospheric water vapor stable isotopes in three dimensions over the Tibetan Plateau</t>
  </si>
  <si>
    <t>Tibetan Plateau; moisture transport; atmospheric water vapor stable isotopes; three-dimension transport processes</t>
  </si>
  <si>
    <t>DEUTERIUM; PRECIPITATION; TROPOSPHERE; VALIDATION</t>
  </si>
  <si>
    <t>The Third Pole with an average of 4 km above sea level, centered on the Tibetan Plateau and covered the surrounding regions, has gained growing attention as the Arctic and Antarctic, due to the largest store of water in the low latitude regions. In the past half-century, the fast and gigantic glacier retreating has changed the water supply for billions of people and increased the hazards of flood. The change of water in the interior third pole also alters the regional water cycle and ecological system. Moisture transport is a crucial process within the water cycle over the Tibetan Plateau. Atmospheric water vapor stable isotopes is a state-of-the-art tool to understand the moisture transport processes and mechanisms. In this paper, we describe the techniques for measuring water vapor stable isotopes and review the past studies of in-situ vertical profile measurements. With the strong support of the Second Tibetan Plateau Scientific Expedition and Research (STEP) project, we combine water vapor stable isotopes observations from a network of ground stations across the Third Pole (the largest observation network of instruments including nine running sites) with cutting edge tethered balloon measurements. In order to fully resolve the moisture transport across the Tibetan Plateau, collaboration among multiple disciplines is strongly needed in this study, and the extended monitoring of atmospheric water vapor stable isotopes in three dimensions (horizontally and vertically) is necessary for better understanding the moisture transport to the Tibetan Plateau. A new Earth System model that is appropriate for the water cycle over the Tibetan Plateau must be developed, representing the atmosphere, cryosphere, hydrosphere and biosphere of this unique region, and their interactions, at very high resolution, including the representation of water stable isotopes, aerosols and biogeochemical cycles. Such model would be able to quantify changes in Tibetan water cycle and servicing the regional strategies for water security and management.</t>
  </si>
  <si>
    <t>[Gao, Jing; Yao, Tandong; Niu, Xiaowei; Xu, Baiqing; Wu, Guangjian] Chinese Acad Sci, Inst Tibetan Plateau Res, Key Lab Tibetan Environm Changes &amp; Land Surface P, Beijing 100101, Peoples R China; [Gao, Jing; Yao, Tandong; Xu, Baiqing; Wu, Guangjian] Chinese Acad Sci, Ctr Excellence Tibetan Plateau Earth Sci, Beijing 100101, Peoples R China; [Cai, Rong; Zhang, Taihua; He, Zeqing] Chinese Acad Sci, Acad Optoelect, Beijing 100094, Peoples R China; [Wu, Guangjian] South East Tibetan Plateau Stn Integrated Observ, Lhasa 860100, Peoples R China</t>
  </si>
  <si>
    <t>Chinese Academy of Sciences; Institute of Tibetan Plateau Research, CAS; Chinese Academy of Sciences; Chinese Academy of Sciences; Academy of Opto-Electronics, CAS</t>
  </si>
  <si>
    <t>Gao, J (corresponding author), Chinese Acad Sci, Inst Tibetan Plateau Res, Key Lab Tibetan Environm Changes &amp; Land Surface P, Beijing 100101, Peoples R China.;Gao, J (corresponding author), Chinese Acad Sci, Ctr Excellence Tibetan Plateau Earth Sci, Beijing 100101, Peoples R China.</t>
  </si>
  <si>
    <t>gaojing@itpcas.ac.cn</t>
  </si>
  <si>
    <t>10.1360/TB-2019-0125</t>
  </si>
  <si>
    <t>JM8ND</t>
  </si>
  <si>
    <t>WOS:000496463900008</t>
  </si>
  <si>
    <t>Xiong, C; Yao, RZ; Shi, JC; Lei, YH; Pan, JM</t>
  </si>
  <si>
    <t>Xiong, Chuan; Yao, Ruzhen; Shi, Jiancheng; Lei, Yonghui; Pan, Jinmei</t>
  </si>
  <si>
    <t>Change of snow and ice melting time in High Mountain Asia</t>
  </si>
  <si>
    <t>High Mountain Asia; snowmelt; ERA5 reanalysis; climate change; microwave radiometer</t>
  </si>
  <si>
    <t>RIVER-BASIN; SEA-ICE; MICROWAVE; ONSET; SHEET; PATTERNS</t>
  </si>
  <si>
    <t>High Mountain Asia (HMA) is very sensitive to climate changes. In HMA, air temperature and precipitation shifts or increases are reflected in the timing of snowmelt onset. In this study, a long-term series (1979-2018) of snow melt onset time is first derived using spaceborne microwave radiometer data, following which the long-term trend of snow and ice-melt time of Tienshan, Altay, Karakorom, Hindu Kush, and Pamir is analyzed. Previous studies proposed many algorithms for detecting snowmelt onset and freeze-up using microwave remote sensing. The previously proposed algorithms were extensively applied to polar regions (including the Antarctic, Siberia, Greenland, and sea ice surface), where the impact of topography or mixed pixel problem is relatively small. However, for high mountain regions, complex topography and a potential mixed pixel issue would result in a very complicated and noisy satellite-observed active and passive microwave remote sensing signal. This study thus proposes a recently developed snow and ice-melt detection algorithm in which, for passive microwave data, a median filter is first applied to the original signal (brightness temperature) to suppress random, small, or short-duration signal variations. The differential average derivative of a particular date is then calculated using the time series first-order derivative as the average first-order derivative of a specific count of observations after this particular date. Generally, the differential average derivative is an indicator of sudden changes in time series brightness temperature. Results show that the melt onset time in the majority of HMA occurs earlier, except in the case of the Karakorom Mountains and a part of the West Kunlun Mountains. Moreover, the melt onset time derived from satellite morning (6:00 local time) pass data shows that the melt onset time of Karakorom, the West Kulun Mountains, and southeast Tibet remains stable, or even occurs later. The trend of southeast Tibet is unique, with its earlier melt based on afternoon (18:00 local time) pass data and its later melt based on morning pass data. This suggests that the melt-refreeze period of southeast Tibet is increasing together with the increasing diurnal temperature difference. Then, a 2-m air temperature in ERA5 reanalysis data is used for comparison with melt onset time for validation and analysis. ERA5 is the latest climate reanalysis produced by ECMWF, providing hourly data on many atmospheric, land-surface, and sea-state parameters. A strong correlation exists between monthly average air temperatures and melt onset time, with the maximum linear fit R-2 of 0.76. This strong correlation indicates the good data quality of ERA5 reanalysis and melt onset time. The unique trend of southeast Tibet can also be explained using ERA5 reanalysis data, which show that the monthly mean daily maximum air temperature is increasing, but the monthly mean daily minimum air temperature is decreasing. This renders a slope of the linear fit of melt onset data in the period of 1988-2018 in the whole HMA region. Because the satellite overpasses time difference, data from only 1988 to 2018 is used for trend analysis. The analysis of the relationship between the melt onset time change rate and elevation shows that the areas with an earlier melt are almost all located in low-elevation regions, and the rate of melt time change is positively correlated with elevation. This suggests that low-elevation regions are more affected by climate changes. This study provides objective evidence of the impact of climate change on the cryospheric system in HMA.</t>
  </si>
  <si>
    <t>[Xiong, Chuan] Southwest Jiaotong Univ, Fac Geosci &amp; Environm Engn, Chengdu 611756, Sichuan, Peoples R China; [Yao, Ruzhen; Shi, Jiancheng; Lei, Yonghui; Pan, Jinmei] Chinese Acad Sci, Inst Remote Sensing &amp; Digital Earth, State Key Lab Remote Sensing Sci, Beijing 100101, Peoples R China; [Yao, Ruzhen] Univ Chinese Acad Sci, Beijing 100049, Peoples R China</t>
  </si>
  <si>
    <t>Southwest Jiaotong University; Chinese Academy of Sciences; The Institute of Remote Sensing &amp; Digital Earth, CAS; Chinese Academy of Sciences; University of Chinese Academy of Sciences, CAS</t>
  </si>
  <si>
    <t>Shi, JC (corresponding author), Chinese Acad Sci, Inst Remote Sensing &amp; Digital Earth, State Key Lab Remote Sensing Sci, Beijing 100101, Peoples R China.</t>
  </si>
  <si>
    <t>shijc@radi.ac.cn</t>
  </si>
  <si>
    <t>Shi, Jiancheng/HIU-0908-2022</t>
  </si>
  <si>
    <t>10.1360/TB-2019-0085</t>
  </si>
  <si>
    <t>WOS:000496463900014</t>
  </si>
  <si>
    <t>Leonardi, MS; D'Amico, VL; Márquez, ME; Rogers, TL; Negrete, J</t>
  </si>
  <si>
    <t>Soledad Leonardi, Maria; D'Amico, Veronica L.; Elba Marquez, Maria; Rogers, Tracey L.; Negrete, Javier</t>
  </si>
  <si>
    <t>Leukocyte counts in three sympatric pack-ice seal species from the western Antarctic Peninsula</t>
  </si>
  <si>
    <t>POLAR BIOLOGY</t>
  </si>
  <si>
    <t>Antarctica; Crabeater seal; Health status; Leopard seal; Leukocyte counts; Weddell seal</t>
  </si>
  <si>
    <t>CRAB-EATER SEALS; HYDRURGA-LEPTONYX; PRYDZ BAY; ENVIRONMENTAL-CHANGE; PHOCA-VITULINA; IMMUNE DEFENSE; BODY CONDITION; LEOPARD SEAL; HABITAT USE; HEMATOLOGY</t>
  </si>
  <si>
    <t>Global warming, and its consequences, constitute one of the main stressors for organisms worldwide, affecting different factors such as the geographic distribution and the abundance of parasites, which in turn can affect the immune system of their hosts, and vice versa. Therefore, it is important to have baseline information on immune parameters of organisms in order to make future comparisons within this changing ecological context. Here, we report on the leukocyte counts of the Antarctic pack ice seals, the crabeater (Lobodon carcinophaga), Weddell (Leptonychotes weddellii) and leopard (Hydrurga leptonyx) seals, sampled off the western Antarctic Peninsula. We captured and sampled seals in the pack ice off the Danco Coast, Antarctica in the austral summers, January to March, of 2015 and 2016. The leukocyte counts, along with the counts of each different leukocyte (e.g., basophil, neutrophil, eosinophil, lymphocyte and monocyte), were made from blood smears viewed under the light microscope. As a potential stress indicator, we examined whether seals with lice, so presumably under greater physiological stress, had changes in leukocyte counts, including higher ratios of neutrophil-to-lymphocytes (N/L ratio). Leukocyte counts were different among the seal species. While crabeater and Weddell seals had higher neutrophil counts, followed by lymphocyte counts, leopard seals had the reverse pattern. Basophil, eosinophil, and lymphocyte counts were higher in the leopard seal, while the N/L ratio, as well as the neutrophil counts, were higher for the crabeater seal. We show, for the Weddell seal, that the animals with lice were more likely to have higher N/L ratios. This suggests that future research into the potential of the N/L index as a stress indicator, that incorporates additional stress parameters including cortisol concentrations, oxidative damage, as well as other measures of immune function, is warranted for the pack ice seals. Our results are a first step towards establishing leukocyte count baselines for the Antarctic pack ice seals off the western Antarctic Peninsula.</t>
  </si>
  <si>
    <t>[Soledad Leonardi, Maria] CCT CONICET CENPAT, Inst Biol Organismos Marinos, Bvd Brown 2915, Puerto Madryn, Argentina; [D'Amico, Veronica L.] CCT CONICET CENPAT, Ctr Estudio Ecosistemas Marinos, Bvd Brown 2915, Puerto Madryn, Argentina; [Elba Marquez, Maria] UNSAM, Inst Antartico Argentino, Dept Biol Predadores Tope, Ave 25 Mayo, RA-1150 Gral San Martin, Argentina; [Rogers, Tracey L.; Negrete, Javier] Univ New South Wales, Evolut &amp; Ecol Res Ctr, Sch BEES, Sydney, NSW, Australia; [Negrete, Javier] Univ Nacl La Plata, Fac Ciencias Nat &amp; Museo, Ave 122 &amp; 60, La Plata, Buenos Aires, Argentina</t>
  </si>
  <si>
    <t>Centro Nacional Patagonico (CENPAT); Centro Nacional Patagonico (CENPAT); Instituto Antartico Argentino; University of New South Wales Sydney; National University of La Plata; Museo La Plata</t>
  </si>
  <si>
    <t>Leonardi, MS (corresponding author), CCT CONICET CENPAT, Inst Biol Organismos Marinos, Bvd Brown 2915, Puerto Madryn, Argentina.</t>
  </si>
  <si>
    <t>leonardi@cenpat-conicet.gob.ar</t>
  </si>
  <si>
    <t>Negrete, Javier/0000-0001-6853-8307; Leonardi, Maria Soledad/0000-0002-1736-7031; Rogers, Tracey/0000-0002-7141-4177</t>
  </si>
  <si>
    <t>Direccion Nacional del Antartico, Instituto Antartico Argentino [PICTA 01-2010]; Agencia de Promocion Cientifica y Tecnologica [PICT 2015-0082]; Lerner-Grey Fund for Marine Research</t>
  </si>
  <si>
    <t>Direccion Nacional del Antartico, Instituto Antartico Argentino; Agencia de Promocion Cientifica y Tecnologica(ANPCyT); Lerner-Grey Fund for Marine Research</t>
  </si>
  <si>
    <t>The study was financially and logistically supported by the Direccion Nacional del Antartico, Instituto Antartico Argentino. The permit for this work was granted by the Direccion Nacional del Antartico (Environmental Office). This research was funded by the Agencia de Promocion Cientifica y Tecnologica (PICT 2015-0082) and Lerner-Grey Fund for Marine Research. The authors express their support to the Argentinean scientific program, and thank the public politics during the period 2003-2015 that made possible this research. Field work was supported and funded by the Direccion Nacional del Antartico, Instituto Antartico Argentino PICTA 01-2010.</t>
  </si>
  <si>
    <t>SPRINGER</t>
  </si>
  <si>
    <t>NEW YORK</t>
  </si>
  <si>
    <t>233 SPRING ST, NEW YORK, NY 10013 USA</t>
  </si>
  <si>
    <t>0722-4060</t>
  </si>
  <si>
    <t>1432-2056</t>
  </si>
  <si>
    <t>POLAR BIOL</t>
  </si>
  <si>
    <t>Polar Biol.</t>
  </si>
  <si>
    <t>10.1007/s00300-019-02551-y</t>
  </si>
  <si>
    <t>Biodiversity Conservation; Ecology</t>
  </si>
  <si>
    <t>JL7IP</t>
  </si>
  <si>
    <t>Green Published</t>
  </si>
  <si>
    <t>WOS:000495702400002</t>
  </si>
  <si>
    <t>Molina-Montenegro, MA; Ballesteros, GI; Castro-Nallar, E; Meneses, C; Gallardo-Cerda, J; Torres-Díaz, C</t>
  </si>
  <si>
    <t>Molina-Montenegro, Marco A.; Ballesteros, Gabriel, I; Castro-Nallar, Eduardo; Meneses, Claudio; Gallardo-Cerda, Jorge; Torres-Diaz, Cristian</t>
  </si>
  <si>
    <t>A first insight into the structure and function of rhizosphere microbiota in Antarctic plants using shotgun metagenomic</t>
  </si>
  <si>
    <t>Functional symbiosis; Vascular antarctic plants; Rhizobiome; Gene ontology</t>
  </si>
  <si>
    <t>POSITIVE INTERACTIONS; VASCULAR PLANTS; SOIL; DIVERSITY; MICROORGANISMS; PERFORMANCE; SHIFTS</t>
  </si>
  <si>
    <t>Antarctic vascular plants such as Deschampsia antarctica (Da) could generate more suitable micro-environmental conditions for the establishment of other plants like Colobanthus quitensis (Cq). Although positive plant-plant interactions have been shown to contribute to plant performance and establishment, little is known about how microorganisms might modulate those interactions, particularly in stressful environmental conditions. Several reports have focused on the possible ecological roles of microorganisms on vascular plants, but if rhizospheric microorganisms can impact positive interactions among Antarctic plants has been seldom studied. Here, we assessed the physical-chemical characteristics of rhizospheric soils from Cq growing alone or associated with Da (Cq + Da). In addition, we compared the rhizosphere microbiomes associated with Cq, either growing alone or associated with Da (Cq + Da), using a shotgun metagenomic DNA sequencing approach and using eggNOG for comparative and functional metagenomics. Overall, there were no differences among rhizospheric soils in terms of physical-chemical characteristics. On the other hand, our results show significant differences in terms of taxonomic diversity between rhizospheric soils. Functional annotation and pathway analysis showed that microorganisms from rhizospheric soil samples also have significant differences in gene abundance associated with several functional categories related to environmental tolerance and in metabolic pathways linked to osmotic stress, among others. Overall, this study provides foundational information which will allow to explore the biological impact of the rhizobiome and its functional mechanisms and molecular pathways on plant performance and help explain the concerted strategy deployed by Cq to inhabit and cope with the harsh conditions prevailing in Antarctica.</t>
  </si>
  <si>
    <t>[Molina-Montenegro, Marco A.; Ballesteros, Gabriel, I; Gallardo-Cerda, Jorge] Univ Talca, Ctr Ecol Mol &amp; Func, Inst Ciencias Biol, Avda Lircay S-N, Talca, Chile; [Molina-Montenegro, Marco A.] Univ Catolica Norte, Fac Ciencias Mar, CEAZA, Coquimbo, Chile; [Molina-Montenegro, Marco A.] Univ Catolica Maule, Ctr Invest Estudios Avanzados Maule, Talca, Chile; [Castro-Nallar, Eduardo] Univ Andres Bello, Fac Ciencias Vida, Ctr Bioinformat &amp; Biol Integrat, Santiago, Chile; [Meneses, Claudio] Univ Andres Bello, Ctr Biotecnol Vegetal, Fac Ciencias Vida, Santiago, Chile; [Meneses, Claudio] FONDAP, Ctr Genome Regulat, Santiago, Chile; [Torres-Diaz, Cristian] Univ Bio Bio, Dept Ciencias Basicas, GBCG, Chillan, Chile</t>
  </si>
  <si>
    <t>Universidad de Talca; Universidad Catolica del Norte; Universidad Catolica del Maule; Universidad Andres Bello; Universidad Andres Bello; Universidad del Bio-Bio</t>
  </si>
  <si>
    <t>Molina-Montenegro, MA (corresponding author), Univ Talca, Ctr Ecol Mol &amp; Func, Inst Ciencias Biol, Avda Lircay S-N, Talca, Chile.;Molina-Montenegro, MA (corresponding author), Univ Catolica Norte, Fac Ciencias Mar, CEAZA, Coquimbo, Chile.;Molina-Montenegro, MA (corresponding author), Univ Catolica Maule, Ctr Invest Estudios Avanzados Maule, Talca, Chile.</t>
  </si>
  <si>
    <t>marco.molina@utalca.cl</t>
  </si>
  <si>
    <t>Ballesteros, Gabriel/IAN-7082-2023; Ballesteros, Gabriel/AAW-7032-2021; Castro-Nallar, Eduardo/I-5925-2019</t>
  </si>
  <si>
    <t>Ballesteros, Gabriel/0000-0002-3179-3168; Castro-Nallar, Eduardo/0000-0003-4384-8661; Meneses, Claudio/0000-0002-6452-8950; Torres Diaz, Cristian/0000-0002-5741-5288</t>
  </si>
  <si>
    <t>CONICYT-FONDECYT de iniciacion en la investigacion [11160905]; FONDECYT [1181034, PII20150126]</t>
  </si>
  <si>
    <t>CONICYT-FONDECYT de iniciacion en la investigacion; FONDECYT(Comision Nacional de Investigacion Cientifica y Tecnologica (CONICYT)CONICYT FONDECYT)</t>
  </si>
  <si>
    <t>We thank Instituto Antartico Chileno (INACH) and the Chilean Navy for logistics and field support. All sampling was performed in accordance to international permits and authorizations given by INACH. ECN was funded by CONICYT-FONDECYT de iniciacion en la investigacion 11160905. MAM-M was funded by FONDECYT 1181034 and PII20150126. We would like to thank The George Washington University's High-Performance Computing Facility, Colonial-One, for providing data storage, support, and computing power for genomic analyses (https://colonialone.gwu.edu).All supplementary material is available at https ://figshare.com/s/5d796 1c185 9f33067dab</t>
  </si>
  <si>
    <t>ONE NEW YORK PLAZA, SUITE 4600, NEW YORK, NY, UNITED STATES</t>
  </si>
  <si>
    <t>10.1007/s00300-019-02556-7</t>
  </si>
  <si>
    <t>WOS:000495702400004</t>
  </si>
  <si>
    <t>Heatwole, H; Miller, WR</t>
  </si>
  <si>
    <t>Heatwole, Harold; Miller, W. R.</t>
  </si>
  <si>
    <t>Structure of micrometazoan assemblages in the Larsemann Hills, Antarctica</t>
  </si>
  <si>
    <t>Lichens; Mosses; Nematodes; Rotifers; Soils; Tardigrades</t>
  </si>
  <si>
    <t>DRONNING-MAUD-LAND; VICTORIA LAND; DIVERSITY; SOUTH; ECOSYSTEMS; DISPERSAL; SOILS; WIND</t>
  </si>
  <si>
    <t>Assemblages of terrestrial biotas in Antarctica have low species-diversity, taxonomic breadth, and number of trophic links and may provide insights not only into adaptation to extreme environments, but also into an understanding of community structure and dynamics not readily achieved by studying more complex, less tractable, systems. To this end, we collected core-samples of soils and the Bryosystem in the Larsemann Hills, Antarctica, and extracted their contained micrometazoans (tardigrades, rotifers, and nematodes). All these undergo deep, sustained dormancy that enhances their survival under extreme polar conditions. Yields varied greatly (zero to &gt; 1000 per core); 38% of the cores lacked animals entirely and only 13% contained all three taxa together. There were greater abundances in mosses, especially at wet seepages, than in lichens or soils. All taxa occurred in mosses more often than expected from random distribution among habitats, and similar preferences were shown by tardigrades and rotifers for soil, nematodes for lichens and tardigrades for algae. Whereas tardigrades and rotifers both occur in soil less often than expected by chance, nevertheless are associated with each other there, suggesting that although soil is a relatively unfavorable habitat for both, they respond in similar ways to variation in edaphic conditions. The above scenario serves as a baseline for assessing increasing structural complexity of Antarctic terrestrial communities as the continent undergoes warming, accompanied by inevitable invasion by external species, including non-cryptobiotic taxa.</t>
  </si>
  <si>
    <t>[Heatwole, Harold] Univ New England, Dept Zool, Armidale, NSW 2351, Australia; [Heatwole, Harold] North Carolina State Univ, Dept Biol, Raleigh, NC 27695 USA; [Miller, W. R.] Baker Univ, Dept Biol &amp; Chem, Baldwin City, KS 66006 USA</t>
  </si>
  <si>
    <t>University of New England; North Carolina State University; Baker University</t>
  </si>
  <si>
    <t>Heatwole, H (corresponding author), Univ New England, Dept Zool, Armidale, NSW 2351, Australia.;Heatwole, H (corresponding author), North Carolina State Univ, Dept Biol, Raleigh, NC 27695 USA.</t>
  </si>
  <si>
    <t>hheatwo2@une.edu.au</t>
  </si>
  <si>
    <t>10.1007/s00300-019-02557-6</t>
  </si>
  <si>
    <t>WOS:000495702400005</t>
  </si>
  <si>
    <t>Mascioni, M; Almandoz, GO; Cefarelli, AO; Cusick, A; Ferrario, ME; Vernet, M</t>
  </si>
  <si>
    <t>Mascioni, Martina; Almandoz, Gaston O.; Cefarelli, Adrian O.; Cusick, Allison; Ferrario, Martha E.; Vernet, Maria</t>
  </si>
  <si>
    <t>Phytoplankton composition and bloom formation in unexplored nearshore waters of the western Antarctic Peninsula</t>
  </si>
  <si>
    <t>Western Antarctic Peninsula; Citizen Science; Diatoms; Cryptophyta; Pyramimonas sp.; Unarmored dinoflagellate bloom</t>
  </si>
  <si>
    <t>SP-NOV PRASINOPHYCEAE; NORTHERN MARGUERITE BAY; KING GEORGE ISLAND; ICE-ZONE WEST; SEA-ICE; CITIZEN SCIENCE; COMMUNITY COMPOSITION; COASTAL WATERS; PYRAMIMONAS; SUMMER</t>
  </si>
  <si>
    <t>The western Antarctic Peninsula (WAP) is one of the most productive regions in the Southern Ocean. However, little is known about the phytoplankton composition in nearshore waters, in fjords and channels between 63 degrees and 67 degrees S, where Antarctic krill and baleen whales are conspicuous. This study represents the first attempt to describe spatial and temporal composition of the phytoplankton community (species, cell concentration, phytoplankton biomass) in twelve relatively unexplored nearshore sites of the WAP. Sampling was carried out in the frame of a Citizen Science project during late summer of 2016 and during the spring-summer 2016-2017. Species identification and enumeration were performed by light and scanning electron microscopy and phytoplankton carbon biomass was estimated by using cell-volume conversion. The highest phytoplankton abundance and biomass values were found in December-January, and were mainly represented by nanophytoflagellates (2-20 mu m). Cryptophytes were more abundant in early summer and prasinophyceans in late summer. The abundance of large bloom-forming diatoms was unexpectedly low. Three blooming flagellated taxa were found during the sampling season, chronologically: Pyramimonas sp. in Neko Harbor (March 3, 2016, 1.4 x 10(6) cells L-1, and 327 mu gC L-1), cryptophytes in Wilhelmina Bay (December 14, 2016, 6.4 x 10(6) cells L-1, and 97.5 mu gC L-1) and unidentified unarmored dinoflagellates near Danco Island (December 18, 2016, 9.5 x 10(6) cells L-1, and 1597 mu gC L-1). The last one represents, as far as we know, the first record of a dinoflagellate bloom in the WAP. It is to note that blooming organisms, analyzed morphologically, do not coincide with previously described Antarctic species.</t>
  </si>
  <si>
    <t>[Mascioni, Martina; Almandoz, Gaston O.; Ferrario, Martha E.] Univ Nacl La Plata, Fac Ciencias Nat &amp; Museo, Div Ficol, Paseo Bosque S-N, RA-1900 La Plata, Buenos Aires, Argentina; [Mascioni, Martina; Almandoz, Gaston O.; Ferrario, Martha E.] Consejo Nacl Invest Cient &amp; Tecn, Godoy Cruz 2290,C1425FQB, Buenos Aires, DF, Argentina; [Cefarelli, Adrian O.] Univ Nacl Patagonia San Juan Bosco, Inst Desarrollo Costero, Ruta Prov 1 Km 4, RA-9005 Comodoro Rivadavia, Argentina; [Cefarelli, Adrian O.] Consejo Nacl Invest Cient &amp; Tecn, Ctr Invest &amp; Transferencia Golfo San Jorge, Ruta Prov 1 Km 4, RA-9005 Comodoro Rivadavia, Argentina; [Cusick, Allison; Vernet, Maria] Univ Calif San Diego, Scripps Inst Oceanog, Integrat Oceanog Div, La Jolla, CA 92093 USA</t>
  </si>
  <si>
    <t>National University of La Plata; Museo La Plata; Consejo Nacional de Investigaciones Cientificas y Tecnicas (CONICET); Universidad Nacional de la Patagonia San Juan Bosco; Consejo Nacional de Investigaciones Cientificas y Tecnicas (CONICET); University of California System; University of California San Diego; Scripps Institution of Oceanography</t>
  </si>
  <si>
    <t>Mascioni, M (corresponding author), Univ Nacl La Plata, Fac Ciencias Nat &amp; Museo, Div Ficol, Paseo Bosque S-N, RA-1900 La Plata, Buenos Aires, Argentina.;Mascioni, M (corresponding author), Consejo Nacl Invest Cient &amp; Tecn, Godoy Cruz 2290,C1425FQB, Buenos Aires, DF, Argentina.</t>
  </si>
  <si>
    <t>marmascioni@gmail.com</t>
  </si>
  <si>
    <t>Mascioni, Martina/ABE-4177-2020</t>
  </si>
  <si>
    <t>Mascioni, Martina/0000-0002-4994-5289; Cusick, Allison/0000-0002-1372-2016; Almandoz, Gaston O./0000-0001-7931-582X</t>
  </si>
  <si>
    <t>Consejo Nacional de Investigaciones Cientificas y Tecnicas (CONICET, Argentina) [PIP 0122]; CONICET; U.S. National Science Foundation (NSF) Public Participation in STEM (Science, Technology, Engineering, Math) Research (PPSR) award [PLR-1443705]</t>
  </si>
  <si>
    <t>Consejo Nacional de Investigaciones Cientificas y Tecnicas (CONICET, Argentina)(Consejo Nacional de Investigaciones Cientificas y Tecnicas (CONICET)); CONICET(Consejo Nacional de Investigaciones Cientificas y Tecnicas (CONICET)); U.S. National Science Foundation (NSF) Public Participation in STEM (Science, Technology, Engineering, Math) Research (PPSR) award(National Science Foundation (NSF))</t>
  </si>
  <si>
    <t>This study was supported by Grant PIP 0122 from Consejo Nacional de Investigaciones Cientificas y Tecnicas (CONICET, Argentina) to G.O.A, a doctoral fellowship from CONICET to M.M., and a U.S. National Science Foundation (NSF) Public Participation in STEM (Science, Technology, Engineering, Math) Research (PPSR) award PLR-1443705 to M.V. We would especially like to thank our partners with the International Association of Antarctica Tour Operators (IAATO), the participating passengers, the crew, and the science personnel on board Antarctic cruises MS Expedition operated by G Adventures and MS Hebridean Sky operated by Polar Latitudes for providing shiptime and samples in support of this research project during the 2016-2017 season. We also thank the reviewers for the comments, the manuscript has improved substantially.</t>
  </si>
  <si>
    <t>10.1007/s00300-019-02564-7</t>
  </si>
  <si>
    <t>WOS:000495702400007</t>
  </si>
  <si>
    <t>Pacoureau, N; Gaget, E; Delord, K; Barbraud, C</t>
  </si>
  <si>
    <t>Pacoureau, Nathan; Gaget, Elie; Delord, Karine; Barbraud, Christophe</t>
  </si>
  <si>
    <t>Prey remains of brown skua is evidence of the long-term decline in burrow occupancy of blue petrels and thin-billed prions at Mayes Island, Kerguelen</t>
  </si>
  <si>
    <t>Procellariidae; Predation; Diet; Catharacta lonnbergi; Halobaena caerulea; Pachyptila belcheri</t>
  </si>
  <si>
    <t>SUB-ANTARCTIC SKUAS; CATHARACTA-SKUA; BREEDING ECOLOGY; GREAT SKUAS; DIET; POPULATION; LONNBERGI; PREDATION; SEABIRDS; AVAILABILITY</t>
  </si>
  <si>
    <t>Skuas are top predator and scavenger seabirds in marine and terrestrial ecosystems and monitoring their diet can provide valuable insights on the abundance and distribution of prey. The diet of the brown skua was studied at Mayes Island, Kerguelen archipelago, by collection of prey remains during their breeding cycle in 2013. We investigated a potential diet shift by comparing our results to those obtained two decades ago at the same colony. Our results confirmed the high specialisation of this skua colony in active predation of two burrowing petrels: the blue petrel and the thin-billed prion. We observed a shift in the diet of the brown skua with the importance of the thin-billed prion dropping significantly by 15%. Concomitantly, we observed a decreasing trend of burrow occupancy of the two main preys, with a more severe decline for the thin-billed prion. We suspected a dietary shift of brown skuas at Mayes Island related to a change in the relative abundance of blue petrels and thin-billed prions. Diet of brown skuas appears to be a valuable indicator of the relative abundance of burrowing petrels when they constitute the main food resource during breeding.</t>
  </si>
  <si>
    <t>[Pacoureau, Nathan; Gaget, Elie; Delord, Karine; Barbraud, Christophe] CNRS, Ctr Etud Biol Chize, UMR 7372, F-79360 Beauvoir Sur Niort, France; [Pacoureau, Nathan; Gaget, Elie; Delord, Karine; Barbraud, Christophe] Univ La Rochelle, F-79360 Beauvoir Sur Niort, France; [Gaget, Elie] Inst Rech Conservat Zones Humides Mediterraneenne, F-13200 Arles, France; [Gaget, Elie] Museum Natl Hist Nat, Ctr Ecol &amp; Sci Conservat CESCO, UMR 7204, MNHN CNRS UPMC, 43 Rue Buffon, F-75005 Paris, France</t>
  </si>
  <si>
    <t>Centre National de la Recherche Scientifique (CNRS); CNRS - Institute of Ecology &amp; Environment (INEE); La Rochelle Universite; Sorbonne Universite; Museum National d'Histoire Naturelle (MNHN); Centre National de la Recherche Scientifique (CNRS); CNRS - Institute of Ecology &amp; Environment (INEE)</t>
  </si>
  <si>
    <t>Pacoureau, N (corresponding author), CNRS, Ctr Etud Biol Chize, UMR 7372, F-79360 Beauvoir Sur Niort, France.;Pacoureau, N (corresponding author), Univ La Rochelle, F-79360 Beauvoir Sur Niort, France.</t>
  </si>
  <si>
    <t>n.pacoureau@gmail.com</t>
  </si>
  <si>
    <t>Barbraud, Christophe/A-5870-2012</t>
  </si>
  <si>
    <t>Barbraud, Christophe/0000-0003-0146-212X; Gaget, Elie/0000-0003-3462-9686; Pacoureau, Nathan/0000-0002-8363-6332</t>
  </si>
  <si>
    <t>French Polar Institute IPEV [109]; Zone Atelier Antarctique (CNRS-INEE), Terres Australes et Antarctiques Francaises, Universite de La Rochelle</t>
  </si>
  <si>
    <t>French Polar Institute IPEV; Zone Atelier Antarctique (CNRS-INEE), Terres Australes et Antarctiques Francaises, Universite de La Rochelle</t>
  </si>
  <si>
    <t>We are particularly grateful to all the fieldworkers involved in the monitoring programs on blue petrels and thin-billed prions at Mayes Island since 1985, as well as A. Corbeau, C. De Francecshi, J.F. Laclavetine and H. Alcaras for their assistance on the field and F. Orgeret for his stimulating discussions. These long-term studies were supported financially and logistically by the French Polar Institute IPEV (program 109, resp. H. Weimerskirch), the Zone Atelier Antarctique (CNRS-INEE), Terres Australes et Antarctiques Francaises, Universite de La Rochelle (PhD Grant N. Pacoureau). Handling and manipulation of all animals were approved by the IPEV ethics committee. All animals in this study were cared for in accordance with its guidelines. We thank D. Besson for helping in the data management.</t>
  </si>
  <si>
    <t>10.1007/s00300-019-02567-4</t>
  </si>
  <si>
    <t>WOS:000495702400008</t>
  </si>
  <si>
    <t>Shaughnessy, PD; Jones, R</t>
  </si>
  <si>
    <t>Shaughnessy, Peter D.; Jones, Robert</t>
  </si>
  <si>
    <t>The size of Ross seal Ommatophoca rossii pups</t>
  </si>
  <si>
    <t>Ross seal; Newborn pup; East antarctica; Pack ice</t>
  </si>
  <si>
    <t>Ross seals Ommatophoca rossii breed in the Antarctic pack ice during November. There have been few studies of Ross seals during their breeding season because access in the pack ice is difficult then. The weight of Ross seal pups near birth has been reported rarely; estimates range from 16.8 to 27 kg. In November 1987, two pups were measured north of the Amery Ice Shelf near 65 degrees S, 75 degrees E, East Antarctica. One was considered to have been newborn because of its fleshy umbilicus, an after-birth on the ice floe and the absence of erupted teeth. It weighed 16.0 kg and had a standard length of 0.93 m. This is only the second report of a newborn Ross seal pup; both weights were between 16 and 17 kg.</t>
  </si>
  <si>
    <t>[Shaughnessy, Peter D.] South Australian Museum, North Terrace, Adelaide, SA 5000, Australia; [Shaughnessy, Peter D.] CSIRO Sustainable Ecosyst, Canberra, ACT, Australia; [Jones, Robert] Australian Antarctic Div, Channel Highway, Kingston, Tas 7050, Australia</t>
  </si>
  <si>
    <t>South Australian Museum; Commonwealth Scientific &amp; Industrial Research Organisation (CSIRO); Australian Antarctic Division</t>
  </si>
  <si>
    <t>Shaughnessy, PD (corresponding author), South Australian Museum, North Terrace, Adelaide, SA 5000, Australia.;Shaughnessy, PD (corresponding author), CSIRO Sustainable Ecosyst, Canberra, ACT, Australia.</t>
  </si>
  <si>
    <t>peter.shaughnessy@samuseum.sa.gov.au</t>
  </si>
  <si>
    <t>Shaughnessy, Peter/AAG-6689-2021</t>
  </si>
  <si>
    <t>AAS project [69]</t>
  </si>
  <si>
    <t>AAS project</t>
  </si>
  <si>
    <t>We thank the Director, Australian Antarctic Division for providing logistic support, and expeditioners who assisted in the field, particularly John Libke of CSIRO. This work was carried out under AAS project 69, undertaken under permits of the Commonwealth of Australia Antarctic Seals Conservation Regulations.</t>
  </si>
  <si>
    <t>10.1007/s00300-019-02558-5</t>
  </si>
  <si>
    <t>WOS:000495702400014</t>
  </si>
  <si>
    <t>Bester, MN; Ryan, PG</t>
  </si>
  <si>
    <t>Bester, M. N.; Ryan, P. G.</t>
  </si>
  <si>
    <t>Stalked barnacles on an adult male sub-Antarctic fur seal at Inaccessible Island, Tristan da Cunha</t>
  </si>
  <si>
    <t>Sub-Antarctic fur seal; Adult male; Goose barnacles; Inaccessible Island</t>
  </si>
  <si>
    <t>ARCTOCEPHALUS-TROPICALIS; GOOSE BARNACLES; REPRODUCTION; GAZELLA</t>
  </si>
  <si>
    <t>An adult male sub-Antarctic fur seal, Arctocephalus tropicalis, on Inaccessible Island in the Tristan da Cunha archipelago (TdC), was observed infested with goose barnacles, likely Lepas australis. Although adult females have been recorded to carry goose barnacles, this is the first record from an adult male at a breeding island. Males remain at sea throughout winter, so it is not clear why there are not more records of goose barnacles attached to their pelage.</t>
  </si>
  <si>
    <t>[Bester, M. N.] Univ Pretoria, Mammal Res Inst, Dept Zool &amp; Entomol, Private Bag X20, ZA-0028 Pretoria, South Africa; [Ryan, P. G.] Univ Cape Town, FitzPatrick Inst African Ornithol, DST NRF Ctr Excellence, ZA-7701 Rondebosch, South Africa</t>
  </si>
  <si>
    <t>University of Pretoria; University of Cape Town; National Research Foundation - South Africa</t>
  </si>
  <si>
    <t>Bester, MN (corresponding author), Univ Pretoria, Mammal Res Inst, Dept Zool &amp; Entomol, Private Bag X20, ZA-0028 Pretoria, South Africa.</t>
  </si>
  <si>
    <t>mnbester@zoology.up.ac.za</t>
  </si>
  <si>
    <t>10.1007/s00300-019-02560-x</t>
  </si>
  <si>
    <t>WOS:000495702400016</t>
  </si>
  <si>
    <t>Erbajeva, MA</t>
  </si>
  <si>
    <t>Bychkov, I; Voronin, V</t>
  </si>
  <si>
    <t>Erbajeva, M. A.</t>
  </si>
  <si>
    <t>Late Cenozoic Lagomorphs Diversity in Eurasia</t>
  </si>
  <si>
    <t>INFORMATION TECHNOLOGIES IN THE RESEARCH OF BIODIVERSITY</t>
  </si>
  <si>
    <t>Springer Proceedings in Earth and Environmental Sciences</t>
  </si>
  <si>
    <t>1st International Conference on Information Technologies in the Research of Biodiversity</t>
  </si>
  <si>
    <t>SEP 11-14, 2018</t>
  </si>
  <si>
    <t>Irkutsk, RUSSIA</t>
  </si>
  <si>
    <t>Lagomorpha; Biodiversity; Cenozoic; Eurasia</t>
  </si>
  <si>
    <t>AMPHILAGUS LAGOMORPHA; EARLY MIOCENE; VALLEY; LAKES; OLIGOCENE; MAMMALIA; GENUS</t>
  </si>
  <si>
    <t>Lagomorphs are an ancient group of mammals that originated in the Paleogene of Asia. During the time of evolution a high number of taxa can be traced. The stem group of lagomorphs inhabited Asia while tropical environmental conditions existed. Later, a gradual change towards more continental and arid climate was driven by the Antarctic glaciation. It resulted in significant reorganisations of paleoenvironmental and climatic conditions in Asia. Land-bridges between Asia and North America and Europe, respectively, allowed faunal exchanges, and diversification and speciation of lagomorphs occurred at the northern continents. The earliest lagomorphs were represented by archaic leporids and paleolagids which were gradually replaced by ochotonids, that flourished during the Miocene and Pliocene. The diversity and abundance of ochotonids decreased during the Pleistocene and only the genus Ochotona survived.</t>
  </si>
  <si>
    <t>[Erbajeva, M. A.] RAS, Geol Inst, Siberian Branch, Ulan Ude 670047, Russia; [Erbajeva, M. A.] RAS, Siberian Branch, Vinogradov Inst Geochem, Irkutsk 664033, Russia</t>
  </si>
  <si>
    <t>Russian Academy of Sciences; Institute of Geology, Siberian Branch of the RAS; Irkutsk Science Centre of the Russian Academy of Sciences; A.P. Vinogradov Institute of Geochemistry of the Siberian Branch of the RAS; Russian Academy of Sciences</t>
  </si>
  <si>
    <t>Erbajeva, MA (corresponding author), RAS, Geol Inst, Siberian Branch, Ulan Ude 670047, Russia.;Erbajeva, MA (corresponding author), RAS, Siberian Branch, Vinogradov Inst Geochem, Irkutsk 664033, Russia.</t>
  </si>
  <si>
    <t>erbajeva@ginst.ru</t>
  </si>
  <si>
    <t>Erbajeva, Margarita/JCE-0283-2023; Erbajeva, Margarita/J-6624-2018</t>
  </si>
  <si>
    <t>Erbajeva, Margarita/0000-0001-6408-1987</t>
  </si>
  <si>
    <t>RNF (Russian Science Foundation) [16-17-10079]; FWF (Austrian Science Foundation) [P-10505-GEO]</t>
  </si>
  <si>
    <t>RNF (Russian Science Foundation); FWF (Austrian Science Foundation)(Austrian Science Fund (FWF))</t>
  </si>
  <si>
    <t>The study was supported by grants RNF, Nr 16-17-10079 (Russian Science Foundation) and FWF, Nr P-10505-GEO (Austrian Science Foundation).</t>
  </si>
  <si>
    <t>SPRINGER INTERNATIONAL PUBLISHING AG</t>
  </si>
  <si>
    <t>CHAM</t>
  </si>
  <si>
    <t>GEWERBESTRASSE 11, CHAM, CH-6330, SWITZERLAND</t>
  </si>
  <si>
    <t>2524-342X</t>
  </si>
  <si>
    <t>2524-3438</t>
  </si>
  <si>
    <t>978-3-030-11720-7; 978-3-030-11719-1</t>
  </si>
  <si>
    <t>SP PROC EARTH ENV SC</t>
  </si>
  <si>
    <t>10.1007/978-3-030-11720-7_19</t>
  </si>
  <si>
    <t>Biodiversity Conservation; Computer Science, Information Systems</t>
  </si>
  <si>
    <t>Biodiversity &amp; Conservation; Computer Science</t>
  </si>
  <si>
    <t>BO0TS</t>
  </si>
  <si>
    <t>WOS:000493370700019</t>
  </si>
  <si>
    <t>Yamagata, H; Maki, T; Yoshida, H; Nogi, Y</t>
  </si>
  <si>
    <t>IEEE</t>
  </si>
  <si>
    <t>Yamagata, Hirokazu; Maki, Toshihiro; Yoshida, Hiroshi; Nogi, Yoshifumi</t>
  </si>
  <si>
    <t>Hardware Design of Variable and Compact AUV MONACA for Under-Ice Survey of Antarctica</t>
  </si>
  <si>
    <t>2019 IEEE UNDERWATER TECHNOLOGY (UT)</t>
  </si>
  <si>
    <t>IEEE Underwater Technology UT</t>
  </si>
  <si>
    <t>IEEE Underwater Technology (UT) Conference</t>
  </si>
  <si>
    <t>APR 16-19, 2019</t>
  </si>
  <si>
    <t>Natl Sun Yat Sen Univ, Kaohsiung, TAIWAN</t>
  </si>
  <si>
    <t>Natl Sun Yat Sen Univ</t>
  </si>
  <si>
    <t>AUV; Antarctic; Under-Ice Survey</t>
  </si>
  <si>
    <t>Autonomous Underwater Vehicles (AUVs) have a great potential for under ice explorations of both the Arctic and Antarctic Oceans. Most of the current under-ice AUVs are large and are used for long-distance survey. Survey results of these AUVs are extremely precise, but there is a trade-off between precision and running cost and/or risk of losing AUVs. In this paper, the authors propose a variable and compact AUV MONACA (Mobility Oriented Nadir AntarctiC Adventurer), which can offer the necessary and sufficient compositions for various survey needs by modular design. MONACA's range is smaller than conventional AUVs. However, the simple and compact AUV can reduce operation risk. Therefore, we are expecting MONACA to lower the hurdle of conducting challenging under-ice operations.</t>
  </si>
  <si>
    <t>[Yamagata, Hirokazu; Maki, Toshihiro] Univ Tokyo, Inst Ind Sci, Meguro Ku, Tokyo, Japan; [Yoshida, Hiroshi] JAMSTEC, Yokosuka, Kanagawa, Japan; [Nogi, Yoshifumi] Natl Inst Polar Res, Tachikawa, Tokyo, Japan</t>
  </si>
  <si>
    <t>University of Tokyo; Japan Agency for Marine-Earth Science &amp; Technology (JAMSTEC); Research Organization of Information &amp; Systems (ROIS); National Institute of Polar Research (NIPR) - Japan</t>
  </si>
  <si>
    <t>Yamagata, H (corresponding author), Univ Tokyo, Inst Ind Sci, Meguro Ku, Tokyo, Japan.</t>
  </si>
  <si>
    <t>yamagat@iis.u-tokyo.ac.jp; maki@iis.u-tokyo.ac.jp; yoshidah@jamstec.go.jp; nogi@nipr.ac.jp</t>
  </si>
  <si>
    <t>Nogi, Yoshifumi/0000-0001-8457-4244</t>
  </si>
  <si>
    <t>JSPS [4902]; Grants-in-Aid for Scientific Research [4902]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</si>
  <si>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</si>
  <si>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JSPS Grant in Aid for Scientific Research on Innovative Areas No.4902</t>
  </si>
  <si>
    <t>345 E 47TH ST, NEW YORK, NY 10017 USA</t>
  </si>
  <si>
    <t>2573-3788</t>
  </si>
  <si>
    <t>2573-3796</t>
  </si>
  <si>
    <t>978-1-5386-4188-0</t>
  </si>
  <si>
    <t>IEEE UNDERWATER TECH</t>
  </si>
  <si>
    <t>Engineering, Marine; Engineering, Electrical &amp; Electronic</t>
  </si>
  <si>
    <t>Engineering</t>
  </si>
  <si>
    <t>BO0LW</t>
  </si>
  <si>
    <t>WOS:000492031100046</t>
  </si>
  <si>
    <t>Paul, B; Patari, A; Kumar De, B; Guha, A</t>
  </si>
  <si>
    <t>Paul, Bapan; Patari, Arup; Kumar De, Barin; Guha, Anirban</t>
  </si>
  <si>
    <t>Ionospheric irregularities observed during the St. Patrick's Day 2015 severe geomagnetic storm over the southern high latitude polar cap region: a case study from Antarctic Circle</t>
  </si>
  <si>
    <t>2019 URSI ASIA-PACIFIC RADIO SCIENCE CONFERENCE (AP-RASC)</t>
  </si>
  <si>
    <t>URSI Asia-Pacific Radio Science Conference (AP-RASC)</t>
  </si>
  <si>
    <t>MAR 09-15, 2019</t>
  </si>
  <si>
    <t>New Delhi, INDIA</t>
  </si>
  <si>
    <t>[Paul, Bapan; Patari, Arup; Kumar De, Barin; Guha, Anirban] Tripura Univ, Dept Phys, Suryamaninagar 799022, Tripura, India</t>
  </si>
  <si>
    <t>Tripura University</t>
  </si>
  <si>
    <t>Paul, B (corresponding author), Tripura Univ, Dept Phys, Suryamaninagar 799022, Tripura, India.</t>
  </si>
  <si>
    <t>bapanpaul88rocks@gmail.com; aruppatari@gmail.com; barin_de@yahoo.com; ANIRBAN1001@yahoo.com</t>
  </si>
  <si>
    <t>Guha, Anirban/AAH-8004-2021; De, Barin Kumar/GRS-7957-2022</t>
  </si>
  <si>
    <t>Guha, Anirban/0000-0002-1952-7916; PAUL, Dr. BAPAN/0000-0001-7093-5459</t>
  </si>
  <si>
    <t>978-9-0825-9875-9</t>
  </si>
  <si>
    <t>Engineering, Electrical &amp; Electronic</t>
  </si>
  <si>
    <t>BO0IW</t>
  </si>
  <si>
    <t>WOS:000491262700115</t>
  </si>
  <si>
    <t>Sinha, S; Gokani, S; Rawat, R; Sinha, AK; Vichare, G</t>
  </si>
  <si>
    <t>Sinha, Shipra; Gokani, Sneha; Rawat, Rahul; Sinha, Ashwini K.; Vichare, Geeta</t>
  </si>
  <si>
    <t>Sub-auroral characteristics of super-substorms as observed from Indain Antarctic station Maitri</t>
  </si>
  <si>
    <t>[Sinha, Shipra; Rawat, Rahul; Sinha, Ashwini K.; Vichare, Geeta] Indian Inst Geomagnetism, Navi Mumbai, India; [Gokani, Sneha] Tongi Univ, Shanghai, Peoples R China</t>
  </si>
  <si>
    <t>Department of Science &amp; Technology (India); Indian Institute of Geomagnetism (IIG); Tongji University</t>
  </si>
  <si>
    <t>Sinha, S (corresponding author), Indian Inst Geomagnetism, Navi Mumbai, India.</t>
  </si>
  <si>
    <t>sinha.shipra62@gmail.com; gokanisneha@gmail.com; rrawat@iigs.iigm.res.in; sinha.ashwini@gmail.com; geeta@iigs.iigm.res.in</t>
  </si>
  <si>
    <t>Sinha, Ashwini Kumar/0000-0003-1329-6579</t>
  </si>
  <si>
    <t>WOS:000491262700058</t>
  </si>
  <si>
    <t>Upadhyay, A; Kakad, B; Kakad, A; Omura, Y; Sinha, AK</t>
  </si>
  <si>
    <t>Upadhyay, Aditi; Kakad, Bharati; Kakad, Amar; Omura, Yoshiharu; Sinha, Ashwini K.</t>
  </si>
  <si>
    <t>Characteristics of ElectroMagnetic Ion Cyclotron (EMIC) waves observed at Indian Antarctic station Maitri</t>
  </si>
  <si>
    <t>[Upadhyay, Aditi; Kakad, Bharati; Kakad, Amar; Sinha, Ashwini K.] Indian Inst Geomagnetism, Navi Mumbai, India; [Omura, Yoshiharu] Kyoto Univ, Res Inst Sustainable Humanosphere, Kyoto, Japan</t>
  </si>
  <si>
    <t>Department of Science &amp; Technology (India); Indian Institute of Geomagnetism (IIG); Kyoto University</t>
  </si>
  <si>
    <t>Upadhyay, A (corresponding author), Indian Inst Geomagnetism, Navi Mumbai, India.</t>
  </si>
  <si>
    <t>Kakad, Amar/K-3061-2017</t>
  </si>
  <si>
    <t>WOS:000491262700308</t>
  </si>
  <si>
    <t>Zalizovski, A; Dziak-Jankowska, B; Stanislawska, I; Yampolski, Y</t>
  </si>
  <si>
    <t>Zalizovski, Andriy; Dziak-Jankowska, Beata; Stanislawska, Iwona; Yampolski, Yuri</t>
  </si>
  <si>
    <t>Connection between sporadic E layers and geomagnetic field variations at the Antarctic Peninsula and Europe</t>
  </si>
  <si>
    <t>[Zalizovski, Andriy; Yampolski, Yuri] NASU, Inst Radio Astron, Kharkov, Ukraine; [Dziak-Jankowska, Beata; Stanislawska, Iwona] Polish Acad Sci, Space Res Ctr, Warsaw, Poland</t>
  </si>
  <si>
    <t>National Academy of Sciences Ukraine; Institute of Radio Astronomy of the National Academy of Sciences of Ukraine; Centrum Badan Kosmicznych, Polish Academy of Sciences; Polish Academy of Sciences; Space Research Centre of the Polish Academy of Sciences</t>
  </si>
  <si>
    <t>Zalizovski, A (corresponding author), NASU, Inst Radio Astron, Kharkov, Ukraine.</t>
  </si>
  <si>
    <t>zaliz@rian.kharkov.ua; stanis@cbk.waw.pl</t>
  </si>
  <si>
    <t>yampolskiy, yuriy m/ABA-8387-2020; Zalizovski, Andriy/HII-4602-2022; Zalizovski, Andriy/ABB-4475-2020; Yampolski, Yuri/AAU-3037-2021</t>
  </si>
  <si>
    <t>Zalizovski, Andriy/0000-0002-6271-0126; Zalizovski, Andriy/0000-0002-6271-0126; Yampolski, Yuri/0000-0002-6142-5753; Stanislawska, Iwona/0000-0002-2291-0342; Dziak-Jankowska, Beata/0000-0002-2043-8988</t>
  </si>
  <si>
    <t>[P667]</t>
  </si>
  <si>
    <t>This study has been carried out with he partial support of EOARD-STCU partner project P667.</t>
  </si>
  <si>
    <t>10.23919/ursiap-rasc.2019.8738614</t>
  </si>
  <si>
    <t>WOS:000491262700467</t>
  </si>
  <si>
    <t>Chown, SL; Brooks, CM</t>
  </si>
  <si>
    <t>Gadgil, A; Tomich, TP</t>
  </si>
  <si>
    <t>Chown, Steven L.; Brooks, Cassandra M.</t>
  </si>
  <si>
    <t>The State and Future of Antarctic Environments in a Global Context</t>
  </si>
  <si>
    <t>ANNUAL REVIEW OF ENVIRONMENT AND RESOURCES, VOL 44</t>
  </si>
  <si>
    <t>Annual Review of Environment and Resources</t>
  </si>
  <si>
    <t>Review; Book Chapter</t>
  </si>
  <si>
    <t>environmental management; biodiversity conservation; Southern Ocean; Antarctica; international agreements; resource use</t>
  </si>
  <si>
    <t>CLIMATE-CHANGE; ULTRAVIOLET-RADIATION; PENGUIN POPULATIONS; BIOLOGICAL INVASION; EMPEROR PENGUIN; LIFE-HISTORY; KING PENGUIN; CONSERVATION; OZONE; ECOSYSTEM</t>
  </si>
  <si>
    <t>Antarctica and the Southern Ocean comprise a critical part of the Earth System. Their environments are better understood than ever before, yet the region remains poorly considered among international agreements to improve the state of the global environment. In part the situation owes to isolated regional regulation within the Antarctic Treaty System, and in part to the dated notion that Antarctica and the Southern Ocean are well conserved and relatively free from human impact. Here we review growth in knowledge of Antarctic environments and anthropogenic pressures on them. We show that the region's unusual diversity is facing substantial local and globally mediated anthropogenic pressure, on a par with environments globally. Antarctic environmental management and regulation is being challenged to keep pace with the change. Much benefit can be derived from consideration of Antarctic environmental and resource management in the context of global agreements.</t>
  </si>
  <si>
    <t>[Chown, Steven L.] Monash Univ, Sch Biol Sci, Clayton, Vic 3800, Australia; [Brooks, Cassandra M.] Univ Colorado, Environm Studies Program, Boulder, CO 80309 USA</t>
  </si>
  <si>
    <t>Monash University; University of Colorado System; University of Colorado Boulder</t>
  </si>
  <si>
    <t>Chown, SL (corresponding author), Monash Univ, Sch Biol Sci, Clayton, Vic 3800, Australia.</t>
  </si>
  <si>
    <t>steven.chown@monash.edu; cassandra.brooks@colorado.edu</t>
  </si>
  <si>
    <t>Chown, Steven/ABD-7646-2021</t>
  </si>
  <si>
    <t>ANNUAL REVIEWS</t>
  </si>
  <si>
    <t>PALO ALTO</t>
  </si>
  <si>
    <t>4139 EL CAMINO WAY, PO BOX 10139, PALO ALTO, CA 94303-0897 USA</t>
  </si>
  <si>
    <t>1543-5938</t>
  </si>
  <si>
    <t>978-0-8243-2344-8</t>
  </si>
  <si>
    <t>ANNU REV ENV RESOUR</t>
  </si>
  <si>
    <t>Annu. Rev. Environ. Resour</t>
  </si>
  <si>
    <t>10.1146/annurev-environ-101718-033236</t>
  </si>
  <si>
    <t>Environmental Sciences; Environmental Studies</t>
  </si>
  <si>
    <t>Book Citation Index – Social Sciences &amp; Humanities (BKCI-SSH); Book Citation Index – Science (BKCI-S); Science Citation Index Expanded (SCI-EXPANDED); Social Science Citation Index (SSCI)</t>
  </si>
  <si>
    <t>BO0IS</t>
  </si>
  <si>
    <t>WOS:000491256100001</t>
  </si>
  <si>
    <t>Pfister, N; Weichwald, S; Bühlmann, P; Schölkopf, B</t>
  </si>
  <si>
    <t>Pfister, Niklas; Weichwald, Sebastian; Buhlmann, Peter; Schoelkopf, Bernhard</t>
  </si>
  <si>
    <t>Robustifying Independent Component Analysis by Adjusting for Group-Wise Stationary Noise</t>
  </si>
  <si>
    <t>JOURNAL OF MACHINE LEARNING RESEARCH</t>
  </si>
  <si>
    <t>blind source separation; causal inference; confounding noise; group analysis; heterogeneous data; independent component analysis; non-stationary signal; robustness</t>
  </si>
  <si>
    <t>BLIND SOURCE SEPARATION; JOINT DIAGONALIZATION; EEG; ARTIFACTS; ALGORITHM; MODELS</t>
  </si>
  <si>
    <t>We introduce coroICA, confounding-robust independent component analysis, a novel ICA algorithm which decomposes linearly mixed multivariate observations into independent components that are corrupted (and rendered dependent) by hidden group-wise stationary confounding. It extends the ordinary ICA model in a theoretically sound and explicit way to incorporate group-wise (or environment-wise) confounding. We show that our proposed general noise model allows to perform ICA in settings where other noisy ICA procedures fail. Additionally, it can be used for applications with grouped data by adjusting for different stationary noise within each group. Our proposed noise model has a natural relation to causality and we explain how it can be applied in the context of causal inference. In addition to our theoretical framework, we provide an efficient estimation procedure and prove identifiability of the unmixing matrix under mild assumptions. Finally, we illustrate the performance and robustness of our method on simulated data, provide audible and visual examples, and demonstrate the applicability to real-world scenarios by experiments on publicly available Antarctic ice core data as well as two EEG data sets.</t>
  </si>
  <si>
    <t>[Pfister, Niklas; Buhlmann, Peter] Swiss Fed Inst Technol, Seminar Stat, Ramisstr 101, CH-8092 Zurich, Switzerland; [Weichwald, Sebastian] Univ Copenhagen, Dept Math Sci, Univ Pk 5, DK-2100 Copenhagen, Denmark; [Schoelkopf, Bernhard] Max Planck Inst Intelligent Syst, Empir Inference Dept, Max Planck Ring 4, D-72076 Tubingen, Germany; [Weichwald, Sebastian] Max Planck Inst Intelligent Syst, Tubingen, Germany</t>
  </si>
  <si>
    <t>Swiss Federal Institutes of Technology Domain; ETH Zurich; University of Copenhagen; Max Planck Society; Max Planck Society</t>
  </si>
  <si>
    <t>Pfister, N (corresponding author), Swiss Fed Inst Technol, Seminar Stat, Ramisstr 101, CH-8092 Zurich, Switzerland.</t>
  </si>
  <si>
    <t>PFISTER@STST.MATH.ETHZ.CH; SWEICHWALD@MATH.UK.DK; BUHLMANN@STST.MATH.ETHZ.CH; BS@TUE.MPG.DE</t>
  </si>
  <si>
    <t>Schölkopf, Bernhard/A-7570-2013; Bühlmann, Peter/A-2107-2013</t>
  </si>
  <si>
    <t>Pfister, Niklas/0000-0001-6203-9777</t>
  </si>
  <si>
    <t>European Research Commission [786461 CausalStats - ERC-2017-ADG]</t>
  </si>
  <si>
    <t>European Research Commission(European Union (EU)European Commission Joint Research Centre)</t>
  </si>
  <si>
    <t>The authors thank Vinay Jayaram, Nicolai Meinshausen, Jonas Peters, Gian Thanei, the action editor Kenji Fukumizu, and anonymous reviewers for helpful discussions and constructive comments. NP and PB were partially supported by the European Research Commission grant 786461 CausalStats - ERC-2017-ADG.</t>
  </si>
  <si>
    <t>MICROTOME PUBL</t>
  </si>
  <si>
    <t>BROOKLINE</t>
  </si>
  <si>
    <t>31 GIBBS ST, BROOKLINE, MA 02446 USA</t>
  </si>
  <si>
    <t>1532-4435</t>
  </si>
  <si>
    <t>J MACH LEARN RES</t>
  </si>
  <si>
    <t>J. Mach. Learn. Res.</t>
  </si>
  <si>
    <t>Automation &amp; Control Systems; Computer Science, Artificial Intelligence</t>
  </si>
  <si>
    <t>Automation &amp; Control Systems; Computer Science</t>
  </si>
  <si>
    <t>JF1FE</t>
  </si>
  <si>
    <t>WOS:000491132200011</t>
  </si>
  <si>
    <t>Benedetti, A</t>
  </si>
  <si>
    <t>Benedetti, Andrea</t>
  </si>
  <si>
    <t>Benthic foraminiferal turnover at the Eocene-Oligocene transition in the Caltavuturo Formation cropping out near Santa Cristina Gela (Sicily)</t>
  </si>
  <si>
    <t>MICROPALEONTOLOGY</t>
  </si>
  <si>
    <t>Eocene-Oligocene; foraminifers; paleoclimate; paleoenvironment; Caltavuturo Formation</t>
  </si>
  <si>
    <t>DEEP-SEA; ANTARCTIC GLACIATION; GLOBAL CLIMATE; ICE GROWTH; BOUNDARY; RECORD</t>
  </si>
  <si>
    <t>A qualitative and quantitative study was carried out on the benthic foraminiferal assemblages from the upper Eocene to lower Oligocene of a section of the Caltavuturo Formation exposed near Piana degli Albanesi (northwestern Sicily). The recognized taxa are evaluated in terms of their ecology and bathymetric interpretation. Biostratigraphic constraints are defined combining both nannofossils and planktic foraminifers biozonations. The planktic-benthic foraminiferal ratio allowed the reconstruction of water depth variations. A total of 48 benthic foraminiferal taxa were extracted from the samples. The benthic assemblages and the P/(P+B) ratio indicate a lower to middle bathyal depositional depth, although an abrupt drop of sea level of about 140 m is recorded across the suspected Eocene-Oligocene transition. Calcium carbonate content decreases upsection, suggesting an increase in terrigenous supply in the lower-most Oligocene.</t>
  </si>
  <si>
    <t>[Benedetti, Andrea] Liceo Isabella dEste, GIRMM Informal Grp Micropaleontol &amp; Malacol Res, Largo Giovanna Baja 8, I-00019 Rome, Italy</t>
  </si>
  <si>
    <t>Benedetti, A (corresponding author), Liceo Isabella dEste, GIRMM Informal Grp Micropaleontol &amp; Malacol Res, Largo Giovanna Baja 8, I-00019 Rome, Italy.</t>
  </si>
  <si>
    <t>andrbenedetti@gmail.com</t>
  </si>
  <si>
    <t>Benedetti, Andrea/AGF-6943-2022</t>
  </si>
  <si>
    <t>Benedetti, Andrea/0000-0003-4300-8136</t>
  </si>
  <si>
    <t>MICRO PRESS</t>
  </si>
  <si>
    <t>FLUSHING</t>
  </si>
  <si>
    <t>6530 KISSENA BLVD, FLUSHING, NY 11367 USA</t>
  </si>
  <si>
    <t>0026-2803</t>
  </si>
  <si>
    <t>1937-2795</t>
  </si>
  <si>
    <t>Micropaleontology</t>
  </si>
  <si>
    <t>JF0KM</t>
  </si>
  <si>
    <t>WOS:000491076400003</t>
  </si>
  <si>
    <t>Chilvers, BL</t>
  </si>
  <si>
    <t>Chilvers, B. Louise</t>
  </si>
  <si>
    <t>Whisker stable isotope values indicate long-term foraging strategies for female New Zealand sea lions</t>
  </si>
  <si>
    <t>Phocarctos hookeri; Fisheries interactions; Diet; Foraging; Stable isotope</t>
  </si>
  <si>
    <t>ANTARCTIC FUR SEALS; PHOCARCTOS-HOOKERI; GEOGRAPHICAL VARIATION; POPULATION DECLINE; SITE FIDELITY; DIET; BEHAVIOR; SPECIALIZATION; PATTERNS; GROWTH</t>
  </si>
  <si>
    <t>Determining the foraging strategies for top marine predators is fundamental to understanding their role in the marine ecosystem and essential to gain insight into how species and populations may respond to environmental variability and human impacts. The long-term foraging strategies of individuals can be studied using stable isotope analysis of whiskers, which archive keratinous tissue. Here, stable isotope analysis (delta C-13 and delta N-15) along the length of whiskers from female New Zealand (NZ) sea lions Phocarctos hooked was used to investigate individuals' long-term foraging strategies. Previous telemetry studies showed that individual female NZ sea lions have one of 2 distinct foraging strategies that are habitual within and between years. Furthermore, past stable isotope research showed that these 2 distinct foraging strategies, i.e. benthic (foraging on the sea floor) or mesopelagic (foraging at various depths in the water column), can be identified through delta C-13 and delta(15) N stable isotope values from blood and whiskers. In the present study, chronological serial stable isotope sampling of female NZ sea lion whiskers confirmed long-term consistency of individual foraging strategies. Thirty-one of 35 individuals showed constant benthic (n = 13) or mesopelagic (n = 18) isotopic values along the length of their whiskers. The remaining 4 individuals showed mesopelagic foraging strategies but with slight oscillations. Serial stable isotope analysis of whiskers is a powerful tool for investigating the ecological niche of top marine predators throughout their adult life. This tool can be used within the Auckland Islands' NZ sea lion population to determine the proportion of the female population that are exposed to detrimental interactions with fisheries.</t>
  </si>
  <si>
    <t>[Chilvers, B. Louise] Massey Univ, Sch Vet Sci, Wildbase, Private Bag 11222, Palmerston North 4442, New Zealand</t>
  </si>
  <si>
    <t>Massey University</t>
  </si>
  <si>
    <t>Chilvers, BL (corresponding author), Massey Univ, Sch Vet Sci, Wildbase, Private Bag 11222, Palmerston North 4442, New Zealand.</t>
  </si>
  <si>
    <t>b.l.chilvers@massey.ac.nz</t>
  </si>
  <si>
    <t>Chilvers, B. Louise/AAV-1965-2021</t>
  </si>
  <si>
    <t>Chilvers, B. Louise/0000-0002-7657-4217</t>
  </si>
  <si>
    <t>NZ Department of Conservation (DOC)</t>
  </si>
  <si>
    <t>I thank Anjana Rajendram from the Waikato Stable Isotope Unit, Department of Biological Sciences, University of Waikato for the stable isotope analysis. Data presented in this paper were collected with funding from the NZ Department of Conservation (DOC), in parallel with fieldwork undertaken for the DOC Marine Conservation Services Programme (www.doc.govt.nz/mcs) project. Approval for all work was obtained from the DOC Animal Ethics Committee (Approvals AEC 200, 2 Nov 2009). Thanks to Bridey White and 2 anonymous reviewers, all of whom provided helpful, critical reviews of the manuscript, and last but by no means least, an enormous thank you to all the people who have worked in the field collecting these data.</t>
  </si>
  <si>
    <t>10.3354/esr00934</t>
  </si>
  <si>
    <t>IZ5KF</t>
  </si>
  <si>
    <t>WOS:000487121600003</t>
  </si>
  <si>
    <t>Cui, LL; Qian, JY; Zou, ZB; Wang, XL; Du, S</t>
  </si>
  <si>
    <t>Sun, J; Yang, C; Yang, Y</t>
  </si>
  <si>
    <t>Cui, Lilu; Qian, Jiangyu; Zou, Zhengbo; Wang, Xiaolong; Du, Shi</t>
  </si>
  <si>
    <t>The Algorithm for Cycle Slip Detection and Repair Based on Pseudo-phase and Ultra-wide Lane Carrier</t>
  </si>
  <si>
    <t>CHINA SATELLITE NAVIGATION CONFERENCE (CSNC) 2019 PROCEEDINGS, VOL II</t>
  </si>
  <si>
    <t>Lecture Notes in Electrical Engineering</t>
  </si>
  <si>
    <t>10th China Satellite Navigation Conference (CSNC)</t>
  </si>
  <si>
    <t>MAY 22-25, 2019</t>
  </si>
  <si>
    <t>Beijing, PEOPLES R CHINA</t>
  </si>
  <si>
    <t>Pseudo-phase; Cycle-slip test; Insensitive cycle-slip; Ultra-wide lane</t>
  </si>
  <si>
    <t>Aiming at the problem of cycle-slip detection and repair, the ultrawide lane combination is used to assist the pseudo-distance phase combination in order to detect and repair cycle-slip because of its characteristics of weak noise and weak ionosphere in this paper. In order to remove the influence of insensitivity cycle-slip, the optimal combination coefficient is obtained according the numerical analysis results and the ill-posed equation has been avoided by using the minimum 2-norm as condition. The BeiDou triple-frequency measured data has been processed by this algorithm. These results show that this algorithm can effectively detect and repair all cycle-slip including different sizes and insensitive ones.</t>
  </si>
  <si>
    <t>[Cui, Lilu; Qian, Jiangyu; Du, Shi] Chengdu Univ, Sch Architecture &amp; Civil Engn, Chengdu 610106, Sichuan, Peoples R China; [Zou, Zhengbo] China Earthquake Adm, Inst Seismol, Key Lab Earthquake Geodesy, Wuhan 430071, Hubei, Peoples R China; [Cui, Lilu; Wang, Xiaolong] Wuhan Univ, Sch Geodesy &amp; Geomat, Wuhan 430079, Hubei, Peoples R China</t>
  </si>
  <si>
    <t>Chengdu University; China Earthquake Administration; Wuhan University</t>
  </si>
  <si>
    <t>Zou, ZB (corresponding author), China Earthquake Adm, Inst Seismol, Key Lab Earthquake Geodesy, Wuhan 430071, Hubei, Peoples R China.</t>
  </si>
  <si>
    <t>lilucui@126.com; zouzb@126.com</t>
  </si>
  <si>
    <t>cui, lilu/IXL-0105-2023; zou, zb/GQR-1808-2022</t>
  </si>
  <si>
    <t>zou, zb/0000-0002-1422-7068</t>
  </si>
  <si>
    <t>National Natural Science Foundation of China [41431069]; Key Laboratory of Geospace Environment and Geodesy, Ministry of Education, Wuhan University [16-01-14]</t>
  </si>
  <si>
    <t>National Natural Science Foundation of China(National Natural Science Foundation of China (NSFC)); Key Laboratory of Geospace Environment and Geodesy, Ministry of Education, Wuhan University</t>
  </si>
  <si>
    <t>The work was supported by the National Natural Science Foundation of China (No. 41431069) and Key Laboratory of Geospace Environment and Geodesy, Ministry of Education, Wuhan University (16-01-14). The authors are very grateful to the reviewers for their insightful and professional suggestions to this paper, and we also would like to thank Chinese Antarctic Center of Surveying and Mapping in Wuhan University for providing to BDS data.</t>
  </si>
  <si>
    <t>SPRINGER-VERLAG SINGAPORE PTE LTD</t>
  </si>
  <si>
    <t>SINGAPORE</t>
  </si>
  <si>
    <t>152 BEACH ROAD, #21-01/04 GATEWAY EAST, SINGAPORE, 189721, SINGAPORE</t>
  </si>
  <si>
    <t>1876-1100</t>
  </si>
  <si>
    <t>1876-1119</t>
  </si>
  <si>
    <t>978-981-13-7759-4; 978-981-13-7758-7</t>
  </si>
  <si>
    <t>LECT NOTES ELECTR EN</t>
  </si>
  <si>
    <t>10.1007/978-981-13-7759-4_15</t>
  </si>
  <si>
    <t>Engineering, Aerospace</t>
  </si>
  <si>
    <t>BN9RI</t>
  </si>
  <si>
    <t>WOS:000489755400015</t>
  </si>
  <si>
    <t>Bischof, K; Convey, P; Duarte, P; Gattuso, JP; Granberg, M; Hop, H; Hoppe, C; Jiménez, C; Lisitsyn, L; Martinez, B; Roleda, MY; Thor, P; Wiktor, JM; Gabrielsen, GW</t>
  </si>
  <si>
    <t>Hop, H; Wiencke, C</t>
  </si>
  <si>
    <t>Bischof, Kai; Convey, Peter; Duarte, Pedro; Gattuso, Jean-Pierre; Granberg, Maria; Hop, Haakon; Hoppe, Clara; Jimenez, Carlos; Lisitsyn, Leonid; Martinez, Brezo; Roleda, Michael Y.; Thor, Peter; Wiktor, Jozef M.; Gabrielsen, Geir Wing</t>
  </si>
  <si>
    <t>Kongsfjorden as Harbinger of the Future Arctic: Knowns, Unknowns and Research Priorities</t>
  </si>
  <si>
    <t>ECOSYSTEM OF KONGSFJORDEN, SVALBARD</t>
  </si>
  <si>
    <t>Advances in Polar Ecology</t>
  </si>
  <si>
    <t>Flagship program; Monitoring; Land-sea-ocean-interaction; Indicator species; Pan-Arctic</t>
  </si>
  <si>
    <t>PERSISTENT ORGANIC POLLUTANTS; OCEAN ACIDIFICATION; FJORD KONGSFJORDEN; ZOOPLANKTON COMMUNITY; CLIMATE-CHANGE; SACCHARINA-LATISSIMA; TIDEWATER GLACIERS; FOOD-WEB; ECOSYSTEM; SVALBARD</t>
  </si>
  <si>
    <t>Due to its year-round accessibility and excellent on-site infrastructure, Kongsfjorden and the Ny-Alesund Research and Monitoring Facility have become established as a primary location to study the impact of environmental change on Arctic coastal ecosystems. Due to its location right at the interface of Arctic and Atlantic oceanic regimes, Kongsfjorden already experiences large amplitudes of variability in physico/ chemical conditions and might, thus, be considered as an early warning indicator of future changes, which can then be extrapolated in a pan-Arctic perspective. Already now, Kongsfjorden represents one of the best-studied Arctic fjord systems. However, research conducted to date has concentrated largely on small disciplinary projects, prompting the need for a higher level of integration of future research activities. This contribution, thus, aims at identifying gaps in knowledge and research priorities with respect to ecological and adaptive responses to Arctic ecosystem changes. By doing so we aim to provide a stimulus for the initiation of new international and interdisciplinary research initiatives.</t>
  </si>
  <si>
    <t>[Bischof, Kai] Univ Bremen, Fac Biol Chem, Marine Bot, Bremen, Germany; [Convey, Peter] British Antarctic Survey, NERC, Cambridge, England; [Duarte, Pedro; Thor, Peter; Gabrielsen, Geir Wing] Norwegian Polar Res Inst, Fram Ctr, Tromso, Norway; [Gattuso, Jean-Pierre] Sorbonne Univ, CNRS, Lab Oceanog Villefranche, Villefranche Sur Mer, France; [Gattuso, Jean-Pierre] Sci Po, Inst Sustainable Dev &amp; Int Relat, Paris, France; [Granberg, Maria] Sven Loven Ctr Marine Infrastruct, IVL Swedish Environm Res Inst, Dept Nat Resources &amp; Environm Effects, Kristineberg, Sweden; [Hop, Haakon] Norwegian Polar Res Inst, Tromso, Norway; [Hop, Haakon] UiT Arctic Univ Norway, Fac Biosci Fisheries &amp; Econ, Dept Arctic &amp; Marine Biol, Tromso, Norway; [Hoppe, Clara] Alfred Wegener Inst, Helmholtz Ctr Polar &amp; Marine Res, Bremerhaven, Germany; [Jimenez, Carlos] Univ Malaga, Dept Ecol &amp; Geol, Fac Sci, Malaga, Spain; [Lisitsyn, Leonid] Res Assoc Typhoon, North West Branch, St Petersburg, Russia; [Martinez, Brezo] Univ Rey Juan Carlos, Biodivers &amp; Conservat Unit, Madrid, Spain; [Roleda, Michael Y.] Univ Philippines Diliman, Inst Marine Sci, Coll Sci, Quezon City, Philippines; [Wiktor, Jozef M.] Polish Acad Sci, Inst Oceanol, Sopot, Poland; [Gabrielsen, Geir Wing] Univ Ctr Svalbard UNIS, Svalbard, Svalbard</t>
  </si>
  <si>
    <t>University of Bremen; UK Research &amp; Innovation (UKRI); Natural Environment Research Council (NERC); NERC British Antarctic Survey; Norwegian Polar Institute; Centre National de la Recherche Scientifique (CNRS); Sorbonne Universite; Institut d'Etudes Politiques Paris (Sciences Po); IVL Swedish Environmental Research Institute; Norwegian Polar Institute; UiT The Arctic University of Tromso; Helmholtz Association; Alfred Wegener Institute, Helmholtz Centre for Polar &amp; Marine Research; Universidad de Malaga; Universidad Rey Juan Carlos; University of the Philippines System; University of the Philippines Diliman; Polish Academy of Sciences; Institute of Oceanology of the Polish Academy of Sciences</t>
  </si>
  <si>
    <t>Bischof, K (corresponding author), Univ Bremen, Fac Biol Chem, Marine Bot, Bremen, Germany.</t>
  </si>
  <si>
    <t>kbischof@uni-bremen.de; Haakon.Hop@npolar.no</t>
  </si>
  <si>
    <t>Convey, Peter/AAV-5728-2020; Martínez, Brezo DC/K-6726-2014; Gabrielsen, Geir Wing/JDC-6415-2023; Gattuso, Jean-Pierre/AAG-8643-2019; Martínez, Brezo/AAE-9825-2019; Roleda, Michael Y./H-9645-2019; Thor, Peter/A-7522-2009; Duarte, Pedro/F-1247-2014; Hoppe, Clara Jule Marie/AFT-1558-2022; Wiktor, Jozef/F-5055-2011</t>
  </si>
  <si>
    <t>Convey, Peter/0000-0001-8497-9903; Martínez, Brezo DC/0000-0002-7501-7726; Gattuso, Jean-Pierre/0000-0002-4533-4114; Martínez, Brezo/0000-0002-7501-7726; Roleda, Michael Y./0000-0003-0568-9081; Thor, Peter/0000-0002-2603-2284; Duarte, Pedro/0000-0001-7461-605X; Hoppe, Clara Jule Marie/0000-0002-2509-0546; Wiktor, Jozef/0000-0002-2344-0047; Bischof, Kai/0000-0002-4497-1920; Granberg, Maria/0000-0002-6164-7006</t>
  </si>
  <si>
    <t>2468-5712</t>
  </si>
  <si>
    <t>978-3-319-46425-1; 978-3-319-46423-7</t>
  </si>
  <si>
    <t>ADV POL ECO</t>
  </si>
  <si>
    <t>10.1007/978-3-319-46425-1_14</t>
  </si>
  <si>
    <t>10.1007/978-3-319-46425-1</t>
  </si>
  <si>
    <t>Ecology; Environmental Sciences</t>
  </si>
  <si>
    <t>BN8LD</t>
  </si>
  <si>
    <t>WOS:000488059000014</t>
  </si>
  <si>
    <t>Nagel, R; Forcada, J; Hoffman, JI</t>
  </si>
  <si>
    <t>Nagel, Rebecca; Forcada, Jaume; Hoffman, Joseph I.</t>
  </si>
  <si>
    <t>Complete mitochondrial genome of the Antarctic fur seal (Arctocephalus gazella)</t>
  </si>
  <si>
    <t>MITOCHONDRIAL DNA PART B-RESOURCES</t>
  </si>
  <si>
    <t>Antarctic fur seal; Pinnipedia; Otariidae; Arctocephalus; mitogenome</t>
  </si>
  <si>
    <t>The Antarctic fur seal (Arctocephalus gazella) is an abundant Antarctic otariid. Here, we present the complete mitochondrial DNA sequence of this species, which includes 13 protein-coding genes, 22 transfer RNA genes, 2 ribosomal RNA genes, and the control region for a total length of 16,156 bp. A phylogenetic analysis including all 25 publically available pinniped mitogenomes nested the Antarctic fur seal within the Otariid clade, which was clearly resolved from the Phocidae and Odobenidae.</t>
  </si>
  <si>
    <t>[Nagel, Rebecca; Hoffman, Joseph I.] Bielefeld Univ, Dept Anim Behav, Postfach 100131, D-33501 Bielefeld, Germany; [Forcada, Jaume; Hoffman, Joseph I.] British Antarctic Survey, Cambridge, England</t>
  </si>
  <si>
    <t>University of Bielefeld; UK Research &amp; Innovation (UKRI); Natural Environment Research Council (NERC); NERC British Antarctic Survey</t>
  </si>
  <si>
    <t>Nagel, R (corresponding author), Bielefeld Univ, Dept Anim Behav, Postfach 100131, D-33501 Bielefeld, Germany.</t>
  </si>
  <si>
    <t>rebecca.nagel@uni-bielefeld.de</t>
  </si>
  <si>
    <t>Forcada, Jaume/GYU-0677-2022; Hoffman, Joseph/K-7725-2012</t>
  </si>
  <si>
    <t>Hoffman, Joseph/0000-0001-5895-8949; Nagel, Rebecca/0000-0002-2925-1028</t>
  </si>
  <si>
    <t>German Research Foundation (DFG) [SFB TRR 212, 316099922 - TRR 212]; DFG [HO 5122/3-1]; Natural Environment Research Council; NERC [bas0100035] Funding Source: UKRI</t>
  </si>
  <si>
    <t>German Research Foundation (DFG)(German Research Foundation (DFG)); DFG(German Research Foundation (DFG)); Natural Environment Research Council(UK Research &amp; Innovation (UKRI)Natural Environment Research Council (NERC)); NERC(UK Research &amp; Innovation (UKRI)Natural Environment Research Council (NERC))</t>
  </si>
  <si>
    <t>This project was funded by the German Research Foundation (DFG) as part of the SFB TRR 212 (NC3), project number 316099922 - TRR 212 as well as a DFG standard grant (HO 5122/3-1). It was also supported by core funding from the Natural Environment Research Council to the British Antarctic Survey's Ecosystems Program.</t>
  </si>
  <si>
    <t>2380-2359</t>
  </si>
  <si>
    <t>MITOCHONDRIAL DNA B</t>
  </si>
  <si>
    <t>Mitochondrial DNA Part B-Resour.</t>
  </si>
  <si>
    <t>10.1080/23802359.2019.1662751</t>
  </si>
  <si>
    <t>Genetics &amp; Heredity</t>
  </si>
  <si>
    <t>JB9AE</t>
  </si>
  <si>
    <t>WOS:000488872200025</t>
  </si>
  <si>
    <t>García, JL; Maldonado, A; de Porras, ME; Delaunay, AN; Reyes, O; Ebensperger, CA; Binnie, SA; Lüthgens, C; Méndez, C</t>
  </si>
  <si>
    <t>Garcia, Juan-Luis; Maldonado, Antonio; de Porras, Maria Eugenia; Delaunay, Amalia Nuevo; Reyes, Omar; Ebensperger, Claudia A.; Binnie, Steven A.; Luethgens, Christopher; Mendez, Cesar</t>
  </si>
  <si>
    <t>Early deglaciation and paleolake history of Rio Cisnes Glacier, Patagonian Ice Sheet (44°S)</t>
  </si>
  <si>
    <t>QUATERNARY RESEARCH</t>
  </si>
  <si>
    <t>last termination; last glacial-interglacial transition; last deglaciation; Patagonia; Patagonian ice sheet; paleolakes; glacial geomorphology; Be-10 dating; OSL dating; C-14 dating</t>
  </si>
  <si>
    <t>LAGO BUENOS-AIRES; SOUTHERNMOST SOUTH-AMERICA; CENTRAL CHILEAN PATAGONIA; NUCLIDE PRODUCTION-RATES; TORRES DEL PAINE; RADIOCARBON CHRONOLOGY; LATE PLEISTOCENE; POSTGLACIAL VEGETATION; EASTERN FLANK; EXPOSURE AGES</t>
  </si>
  <si>
    <t>The timing, structure, and landscape change during the Patagonian Ice Sheet deglaciation remains unresolved. In this article, we provide a geomorphic, stratigraphic, and geochronological deglacial record of Rio Cisnes Glacier at 44 degrees S and also from the nearby Rio Nirehuao and Rio El Toqui valleys (45 degrees S) in Chilean Patagonia. Our C-14, Be-10, and optically stimulated luminescence data indicate that after the last glacial maximum, Rio Cisnes Glacier experienced 100 km deglaciation between &gt;19.0 and 12.3 ka, accompanied by the formation of large glacial paleolakes. Deglaciation was interrupted by several ice readvances, and by 16.9 +/- 0.3 ka, Rio Cisnes Glacier extended only 40% of its full glacial extent. The deglaciation of Rio Cisnes Glacier and other sensitive Patagonian glaciers occurred at least 1 ka earlier than the ca. 17.8 ka normally assumed for the local termination, coincident with West Antarctic isotope records. This early deglaciation can be linked to an orbital forcing-driven decline of Southern Ocean sea ice associated with a distinct atmospheric warming that is apparent for West Antarctica through Patagonia.</t>
  </si>
  <si>
    <t>[Garcia, Juan-Luis; Ebensperger, Claudia A.] Pontificia Univ Catolica Chile, Inst Geog, Fac Hist Geog &amp; Ciencia Polit, Ave Vicuna Mackenna 4860, Santiago 7820436, Chile; [Maldonado, Antonio; de Porras, Maria Eugenia] Ctr Estudios Avanzados Zonas Aridas, La Serena 1700000, Chile; [Maldonado, Antonio] Univ La Serena, Inst Invest Multidisciplinario Ciencia &amp; Tecnol, La Serena 1700000, Chile; [Maldonado, Antonio] Univ Catolica Norte, Dept Biol Marina, Larrondo 1281, Coquimbo 1781421, Chile; [de Porras, Maria Eugenia] Consejo Nacl Invest Cient &amp; Tecn, CCT Mendoza, Inst Argentino Nivol Glaciol &amp; Ciencias Ambiental, Av Ruiz Leal S-N, RA-5500 Mendoza, Argentina; [Delaunay, Amalia Nuevo; Mendez, Cesar] Ctr Invest Ecosistemas Patagonia, Moraleda 16, Coyhaique 5951601, Chile; [Reyes, Omar] Univ Magallanes, Ctr Estudios Hombre Austral, Punta Arenas 6210427, Chile; [Binnie, Steven A.] Univ Cologne, Inst Geol &amp; Mineral, Zulpicher Str 49b, D-50674 Cologne, Germany; [Luethgens, Christopher] Univ Nat Resources &amp; Life Sci BOKU, Inst Appl Geol, A-1190 Vienna, Austria</t>
  </si>
  <si>
    <t>Pontificia Universidad Catolica de Chile; Universidad de La Serena; Universidad Catolica del Norte; Consejo Nacional de Investigaciones Cientificas y Tecnicas (CONICET); Universidad de Magallanes; University of Cologne; BOKU University</t>
  </si>
  <si>
    <t>García, JL (corresponding author), Pontificia Univ Catolica Chile, Inst Geog, Fac Hist Geog &amp; Ciencia Polit, Ave Vicuna Mackenna 4860, Santiago 7820436, Chile.</t>
  </si>
  <si>
    <t>jgarciab@uc.cl</t>
  </si>
  <si>
    <t>Nuevo-Delaunay, Amalia/P-5264-2019; Binnie, Steven/M-7507-2015; Delaunay, Amalia Nuevo/B-3325-2017; Maldonado, Antonio/D-7568-2013; Méndez, César/E-5830-2013; Garcia-Barriga, Juan-Luis/U-6381-2017</t>
  </si>
  <si>
    <t>Nuevo-Delaunay, Amalia/0000-0003-0501-4404; Binnie, Steven/0000-0003-0883-0212; Méndez, César/0000-0003-2735-7950; Luthgens, Christopher/0000-0003-3211-6318; Garcia-Barriga, Juan-Luis/0000-0002-9028-7572; Maldonado, Antonio/0000-0002-1748-6639</t>
  </si>
  <si>
    <t>FONDECYT [1161110, 1130128]; National Geographic Society [HJ-150R-17]; Programa Regional CONICYT [R17A10002]</t>
  </si>
  <si>
    <t>FONDECYT(Comision Nacional de Investigacion Cientifica y Tecnologica (CONICYT)CONICYT FONDECYT); National Geographic Society(National Geographic Society); Programa Regional CONICYT</t>
  </si>
  <si>
    <t>This research was funded by FONDECYT #1161110, FONDECYT #1130128, National Geographic Society #HJ-150R-17, Programa Regional CONICYT R17A10002 grants. We are very grateful to Stephanie Buckaert (Estancia Rio Cisnes), Bernd Von Malapert (Estancia Las Quemas), and Claudio Bariggi, Robinson Palma, and Freddy Boldt (Estancia Bano Nuevo) for permissions and support for fieldwork. We thank Tomas Rojo, Tomas Carmona and Constanza Maldonado for assistance during field campaigns. We thank Pilar Garcia for help with constructing Figure 2. We also want to thank associate editor Dr. Shulmeister and an anonymous reviewer for valuable comments.</t>
  </si>
  <si>
    <t>CAMBRIDGE UNIV PRESS</t>
  </si>
  <si>
    <t>32 AVENUE OF THE AMERICAS, NEW YORK, NY 10013-2473 USA</t>
  </si>
  <si>
    <t>0033-5894</t>
  </si>
  <si>
    <t>1096-0287</t>
  </si>
  <si>
    <t>QUATERNARY RES</t>
  </si>
  <si>
    <t>Quat. Res.</t>
  </si>
  <si>
    <t>10.1017/qua.2018.93</t>
  </si>
  <si>
    <t>Geography, Physical; Geosciences, Multidisciplinary</t>
  </si>
  <si>
    <t>Physical Geography; Geology</t>
  </si>
  <si>
    <t>JB8QE</t>
  </si>
  <si>
    <t>WOS:000488837500014</t>
  </si>
  <si>
    <t>Vogt, T; Clauer, N; Techer, I</t>
  </si>
  <si>
    <t>Vogt, Thea; Clauer, Norbert; Techer, Isabelle</t>
  </si>
  <si>
    <t>The glaciogenic origin of the Pleistocene calcareous dust in Argentina on the basis of field, mineralogical, textural, and geochemical analyses</t>
  </si>
  <si>
    <t>Calcareous dust; Cryogenic calcite; Pleistocene; Palaeoenvironments; Argentina</t>
  </si>
  <si>
    <t>LAST GLACIAL MAXIMUM; SEA-SURFACE TEMPERATURE; LOESS-PALEOSOL SEQUENCE; ANTARCTIC ICE-SHEET; TIERRA-DEL-FUEGO; LATE QUATERNARY; CALCIUM-CARBONATE; SOUTHERN PATAGONIA; SOUTHWESTERN AFRICA; EAST ANTARCTICA</t>
  </si>
  <si>
    <t>Calcareous dust occurs in Argentina as layers and pockets closely associated with Pleistocene deposits and periglacial features from southernmost Patagonia to at least the Mendoza Precordillera and has been traditionally interpreted as a soil horizon resulting from postdepositional pedogenesis during interglacials. Detailed field and microscopic observations and sedimentological and geochemical analyses of more than 100 samples collected from lower to upper Pleistocene deposits between 51 degrees S and 33 degrees S and from near sea level to 2800 m asl allow us to interpret the dust as synchronous with the host sediment. All observations and analyses lead us to conclude that: (1) the cryogenic morphology and the chemical signatures of the calcite component show that the dust is glaciogenic, (2) the dust was carried by southeasterly Antarctic winds, and (3) it was deposited over most of southern and central Argentina. Field observations, geomorphic evidence, and radiocarbon dates suggest that the dust was deposited during several Pleistocene glacial episodes.</t>
  </si>
  <si>
    <t>[Vogt, Thea] Friedrichstr 3, D-77694 Kehl, Germany; [Clauer, Norbert] Univ Strasbourg, Inst Phys Globe Strasbourg, F-67084 Strasbourg, France; [Techer, Isabelle] Univ Nimes, CHROME, Equipe Associee 7352, F-30021 Nimes, France</t>
  </si>
  <si>
    <t>Universites de Strasbourg Etablissements Associes; Universite de Strasbourg; Universite de Nimes</t>
  </si>
  <si>
    <t>Vogt, T (corresponding author), Friedrichstr 3, D-77694 Kehl, Germany.</t>
  </si>
  <si>
    <t>thea.vogt@gmail.com</t>
  </si>
  <si>
    <t>PII S0033589418000741</t>
  </si>
  <si>
    <t>10.1017/qua.2018.74</t>
  </si>
  <si>
    <t>WOS:000488837500015</t>
  </si>
  <si>
    <t>Nave, S; Lebreiro, S; Michel, E; Kissel, C; Figueiredo, MO; Guihou, A; Ferreira, A; Labeyrie, L; Alberto, A</t>
  </si>
  <si>
    <t>Nave, Silvia; Lebreiro, Susana; Michel, Elisabeth; Kissel, Catherine; Figueiredo, Maria Ondina; Guihou, Abel; Ferreira, Antonio; Labeyrie, Laurent; Alberto, Ana</t>
  </si>
  <si>
    <t>The Atlantic Meridional Overturning Circulation as productivity regulator of the North Atlantic Subtropical Gyre</t>
  </si>
  <si>
    <t>Tore Seamount; Productivity; Atlantic Meridional Overturning Circulation; Mesoscale eddies; MIS 5; Oligotrophic regions; Iberian margin; North Atlantic</t>
  </si>
  <si>
    <t>IBERIAN MARGIN; SORTABLE SILT; PLANKTONIC-FORAMINIFERA; BENTHIC FORAMINIFERA; CHRONOLOGY AICC2012; MILLENNIAL-SCALE; CLIMATE-CHANGE; ANTARCTIC ICE; GRAIN-SIZE; DEEP-OCEAN</t>
  </si>
  <si>
    <t>Spatially extensive and intense phytoplankton blooms observed off Iberia, in satellite pictures, are driven by significant nutrient supply by upper-ocean vertical mesoscale activity rather than by horizontal advection by coastal upwelling. Productivity of oligotrophic regions is still poorly depicted by discrete instrumental and model data sets. The paleoproductivity reconstructions of these areas represent the mean productivity over long periods, bringing new insights into the total biomass fluxes. Here, we present paleoproductivity records from the oceanic Tore Seamount region, covering the period from 140 to 60 ka. They show higher nutrient supplies during Termination II, Marine Oxygen Isotope Stage (MIS) 4, MIS 6, and warming transitions of the MIS 5 sub-stages. The highest nutrient content (higher productivity) in phase with tracers of bottom-water ventilation (benthic delta C-13,Pa-231/Th-230) establishes a strong linkage with variability of Southern Ocean-sourced waters. Low productivity and ventilation over warm sub-stages of MIS 5 respond instead to North Atlantic Deep Water. Assuming that the Tore Seamount is representative of oligotrophic regions, the glacial-interglacial relationship observed between paleoproductivity and Atlantic Meridional Overturning Circulation strength opens new insights into the importance of estimating the total biomass in these regions. The subtropical gyres might play a considerable role in the carbon cycle over (sub-)glacial-interglacial time scales than previously thought.</t>
  </si>
  <si>
    <t>[Nave, Silvia; Figueiredo, Maria Ondina; Alberto, Ana] IP LNEG, Estr Portela,Apt 7586, P-2610999 Amadora, Portugal; [Lebreiro, Susana] Inst Geol &amp; Minero Espana, Calle Rios Rosas 23, Madrid 28003, Spain; [Michel, Elisabeth; Kissel, Catherine; Guihou, Abel; Labeyrie, Laurent] Univ Paris Saclay, Lab Sci Climat &amp; Environm, CEA, IPSL,CNRS,UVSQ, Ave Terrasse, F-91198 Gif Sur Yvette, France; [Ferreira, Antonio] British Geol Survey, Environm Sci Ctr, Nottingham NG12 5GG, England</t>
  </si>
  <si>
    <t>Universite Paris Saclay; Universite Paris Cite; CEA; Centre National de la Recherche Scientifique (CNRS); UK Research &amp; Innovation (UKRI); Natural Environment Research Council (NERC); NERC British Geological Survey</t>
  </si>
  <si>
    <t>Nave, S (corresponding author), IP LNEG, Estr Portela,Apt 7586, P-2610999 Amadora, Portugal.</t>
  </si>
  <si>
    <t>silvia.nave@lneg.pt</t>
  </si>
  <si>
    <t>Labeyrie, Laurent Denis/AAV-8405-2021; Nave, Sílvia Osório/AAU-4670-2020; Catherine, Kissel/AAH-1647-2019; Lebreiro, Susana M./A-3649-2009</t>
  </si>
  <si>
    <t>Labeyrie, Laurent Denis/0000-0002-1554-2449; Nave, Sílvia Osório/0000-0003-0845-1044; Catherine, Kissel/0000-0002-2572-2742; Alberto, Ana/0009-0004-3637-1310; Lebreiro, Susana M./0000-0003-1478-2448; Ferreira, Antonio/0000-0002-0056-4477; Guihou, Abel/0000-0001-7347-378X; Michel, Elisabeth/0000-0001-7810-8888</t>
  </si>
  <si>
    <t>AMOCINT project (ESF-EUROCORES programme) [06-EuroMARC-FP-008, FCT EUROMARC/0002/2007]; NERC [bgs05018] Funding Source: UKRI</t>
  </si>
  <si>
    <t>AMOCINT project (ESF-EUROCORES programme); NERC(UK Research &amp; Innovation (UKRI)Natural Environment Research Council (NERC))</t>
  </si>
  <si>
    <t>This research was funded by AMOCINT project (ESF-EUROCORES programme, 06-EuroMARC-FP-008, through FCT EUROMARC/0002/2007). The British Ocean Sediment Core Repository (BOSCOR) is acknowledged for supplying the sediment samples, through G. Rothwell, and sampling help of L. de Abreu and B. Alker. F. Dewilde is acknowledged for performing the stable oxygen and carbon isotopic analyses and C. Wandres for helping with the measurements of the magnetic parameters. Laboratory technical assistance in the LNEG was done by L. Matos (opal), C. Monteiro and D. Ferreira (CHNS), and W. Soares (Sedigraph). R. Mortlock is acknowledged for the support in establishing the methodology for biogenic opal determination at LNEG laboratory and E. Salgueiro for the calculations of export production (gC.m-2.yr-1) on core D11957. We thank Dr. L. Bradtmiller, Prof. L. Owen, and two anonymous reviewers for their valuable contributions, which greatly improved the quality of the manuscript.</t>
  </si>
  <si>
    <t>PII S0033589418000881</t>
  </si>
  <si>
    <t>10.1017/qua.2018.88</t>
  </si>
  <si>
    <t>Green Accepted, Green Submitted</t>
  </si>
  <si>
    <t>WOS:000488837500026</t>
  </si>
  <si>
    <t>Hawes, I; Sumner, D; Jungblut, AD</t>
  </si>
  <si>
    <t>Hurst, CJ</t>
  </si>
  <si>
    <t>Hawes, Ian; Sumner, Dawn; Jungblut, Anne D.</t>
  </si>
  <si>
    <t>Complex Structure but Simple Function in Microbial Mats from Antarctic Lakes</t>
  </si>
  <si>
    <t>STRUCTURE AND FUNCTION OF AQUATIC MICROBIAL COMMUNITIES</t>
  </si>
  <si>
    <t>Advances in Environmental Microbiology</t>
  </si>
  <si>
    <t>DRONNING MAUD LAND; MCMURDO ICE SHELF; ENVIRONMENTAL-CHANGE; CYANOBACTERIAL MATS; ALGAL MATS; GROWTH; PHOTOSYNTHESIS; STROMATOLITES; IRRADIANCE; UNTERSEE</t>
  </si>
  <si>
    <t>Microbial mats growing under the permanent ice cover of Antarctic lakes occupy an exceptionally low-disturbance regime. Constant temperature, the absence of bioturbation or physical disturbance from wind action or ice formation allow mats to accumulate, as annual growth layers, over many decades or even centuries. In so doing they often assume decimetre scale, three-dimensional morphologies such as elaborate pinnacle structures and conical mounds. Here we combine existing and new information to describe microbial structures in three Antarctic lakes-simple prostrate mats in Lake Hoare, emergent cones in Lake Untersee and elaborate pinnacles in Lake Vanda. We attempt to determine whether structures emerge simply from uncoordinated organism-environment interactions or whether they represent an example of emergent complexity, within which some degree of self-organisation occurs to confer a holistic functional advantage to component organisms. While some holistic advantages were evident from the structures-the increase in surface area allows greater biomass and overall productivity and nutrient exchange with overlying water-the structures could also be understood in terms of potential interactions between individuals, their orientation and their environment. The data lack strong evidence of coordinated behaviour directed towards holistic advantages to the structure, though hints of coordinated behaviour are present as non-random distributions of structural elements. The great size of microbial structures in Antarctic lakes, and their relatively simple community composition, makes them excellent models for more focused research on microbial cooperation.</t>
  </si>
  <si>
    <t>[Hawes, Ian] Univ Waikato, Tauranga, New Zealand; [Sumner, Dawn] Univ Calif Davis, Dept Earth &amp; Planetary Sci, Davis, CA 95616 USA; [Jungblut, Anne D.] Nat Hist Museum, Dept Life Sci, London, England</t>
  </si>
  <si>
    <t>University of Waikato; University of California System; University of California Davis; Natural History Museum London</t>
  </si>
  <si>
    <t>Hawes, I (corresponding author), Univ Waikato, Tauranga, New Zealand.</t>
  </si>
  <si>
    <t>ian.hawes@waikato.ac.nz</t>
  </si>
  <si>
    <t>Sumner, Dawn/E-8744-2011</t>
  </si>
  <si>
    <t>Sumner, Dawn/0000-0002-7343-2061</t>
  </si>
  <si>
    <t>2366-3324</t>
  </si>
  <si>
    <t>978-3-030-16775-2; 978-3-030-16773-8</t>
  </si>
  <si>
    <t>ADV ENV MICROBIOLOGY</t>
  </si>
  <si>
    <t>10.1007/978-3-030-16775-2_4</t>
  </si>
  <si>
    <t>10.1007/978-3-030-16775-2</t>
  </si>
  <si>
    <t>Ecology; Marine &amp; Freshwater Biology; Microbiology</t>
  </si>
  <si>
    <t>Environmental Sciences &amp; Ecology; Marine &amp; Freshwater Biology; Microbiology</t>
  </si>
  <si>
    <t>BN8NO</t>
  </si>
  <si>
    <t>WOS:000488198100006</t>
  </si>
  <si>
    <t>Buchan, SJ; Gutierrez, L; Balcazar-Cabrera, N; Stafford, KM</t>
  </si>
  <si>
    <t>Buchan, Susannah J.; Gutierrez, Laura; Balcazar-Cabrera, Naysa; Stafford, Kathleen M.</t>
  </si>
  <si>
    <t>Seasonal occurrence of fin whale song off Juan Fernandez, Chile</t>
  </si>
  <si>
    <t>Fin whale; Balaenoptera physalus; Juan Fernandez; Chile; Southeast Pacific; Passive acoustic monitoring</t>
  </si>
  <si>
    <t>BALAENOPTERA-PHYSALUS; ACOUSTIC PRESENCE; BLUE WHALES; SOUNDS; GULF; VOCALIZATIONS; POPULATION; ANTARCTICA; CALIFORNIA; PULSES</t>
  </si>
  <si>
    <t>Fin whales Balaenoptera physalus were the species of baleen whale most widely caught by commercial whaling fleets off the Chilean coast and are globally classified as Endangered. However, very little is known about the present distribution and seasonal movements of fin whales off the coast of Chile. Passive acoustic data collected at the HA03 station of the Preparatory Commission for the Comprehensive Nuclear Test Ban Treaty Organization off the Juan Fernandez Archipelago (JFA) between 2007 and 2016 were analyzed. The temporal occurrence of fin whale song was examined using automatic detection via spectrogram cross-correlation of song notes and by calculating the average acoustic power in the frequency bands of fin whale song. Fin whale song off JFA was composed of regular 17 Hz notes associated with high-frequency components at 85 Hz, with singlet phrasing at a dominant primary inter-note interval of 14.4 s and a secondary interval of 30.8 s. There was a clear seasonal pattern in acoustic presence that was consistent across all years: low or no song during the austral summer and a peak in song occurrence in austral winter. A propagation loss model estimated the detection range at this site to be 186 km. Where the fin whales that are heard off JFA spend the summer months remains an open question. Possible locations include the Western Antarctic Peninsula and/or off northern-central mainland Chile. Further studies should be pursued to better understand the distribution and seasonal movements and to support the conservation of this Endangered species.</t>
  </si>
  <si>
    <t>[Buchan, Susannah J.; Balcazar-Cabrera, Naysa] Univ Concepcion, Ctr Oceanog Res COPAS Sur Austral, Casilla 160-C, Concepcion 4030000, Chile; [Buchan, Susannah J.] CEAZA, Ave Ossandon 877, Coquimbo 1781681, Chile; [Buchan, Susannah J.] Woods Hole Oceanog Inst, Biol Dept, Woods Hole, MA 02543 USA; [Gutierrez, Laura] Univ Valparaiso, Ctr Invest &amp; Gest Recursos Nat CIGREN, Gran Bretana 1111, Valparaiso 2340000, Chile; [Stafford, Kathleen M.] Univ Washington, Appl Phys Lab, Seattle, WA 98105 USA</t>
  </si>
  <si>
    <t>Universidad de Concepcion; Woods Hole Oceanographic Institution; Universidad de Valparaiso; University of Washington; University of Washington Seattle</t>
  </si>
  <si>
    <t>Buchan, SJ (corresponding author), Univ Concepcion, Ctr Oceanog Res COPAS Sur Austral, Casilla 160-C, Concepcion 4030000, Chile.;Buchan, SJ (corresponding author), CEAZA, Ave Ossandon 877, Coquimbo 1781681, Chile.;Buchan, SJ (corresponding author), Woods Hole Oceanog Inst, Biol Dept, Woods Hole, MA 02543 USA.</t>
  </si>
  <si>
    <t>sbuchan@udec.cl</t>
  </si>
  <si>
    <t>Buchan, Susannah J/E-7368-2015</t>
  </si>
  <si>
    <t>Gutierrez Cabello, Laura/0009-0003-1227-6610; Buchan, Susannah/0000-0003-2180-1432</t>
  </si>
  <si>
    <t>Center for Oceanographic Research COPAS Sur-Austral [CONICYT PIA PFB31]; Office of Naval Research Global [N62909-16-2214, N00014-17-2606]; [CONICYT R16A10003]</t>
  </si>
  <si>
    <t>Center for Oceanographic Research COPAS Sur-Austral; Office of Naval Research Global(Office of Naval Research);</t>
  </si>
  <si>
    <t>We thank the Preparatory Commission for the Comprehensive Nuclear Test Ban Treaty Organization and the Chilean Commission of Nuclear Energy for proving the data used in this study. S.J.B. and N.B.C. were supported by the Center for Oceanographic Research COPAS Sur-Austral, CONICYT PIA PFB31. S.J.B. was also supported during analysis and writing by the Office of Naval Research Global (awards N62909-16-2214 and N00014-17-2606), and a grant to the Centro de Estudios Avanzados en Zonas Aridas (CEAZA) 'Proyecto CEAZA, 3er Fortalecimiento de Centros Regionales, Programa Regional CONICYT R16A10003'. Our greatest thanks to John Hodgson MSc, Technical Director at Ocean Acoustic Developments and Adrian Brown of the Defence Science and Technology Laboratory (UK) for carrying out the propagation modelling free of charge. Many thanks to Rex Andrew for his help with PSD figure preparation in R. Thanks also go to Nathan Merchant for his kind help with PAMGuide. Many thanks to Michael Pitzrick for his guidance with XBAT. Many thanks to the members of the Southern Ocean Research Partnership Blue and Fin Whale Acoustic Trends Working group for useful discussions that improved the quality of this study.</t>
  </si>
  <si>
    <t>10.3354/esr00956</t>
  </si>
  <si>
    <t>IZ5KO</t>
  </si>
  <si>
    <t>gold, Green Submitted</t>
  </si>
  <si>
    <t>WOS:000487122600011</t>
  </si>
  <si>
    <t>Chizhova, YN; Mikhalenko, VN; Vasil'chuk, YK; Budantseva, NA; Kozachek, AV; Kutuzov, SS; Lavrentiev, II</t>
  </si>
  <si>
    <t>Chizhova, Yu. N.; Mikhalenko, V. N.; Vasil'chuk, Yu. K.; Budantseva, N. A.; Kozachek, A. V.; Kutuzov, S. S.; Lavrentiev, I. I.</t>
  </si>
  <si>
    <t>Isotopic composition of oxygen in snow-and-firn thickness on the Eastern peak of Elbrus, the Caucasus</t>
  </si>
  <si>
    <t>Elbrus; oxygen isotopes; seasonal variations; snow-firn thickness</t>
  </si>
  <si>
    <t>STABLE-ISOTOPES; WATER ISOTOPES; ICE-CORE; TEMPERATURE; RECONSTRUCTION; PRECIPITATION; VAPOR</t>
  </si>
  <si>
    <t>The isotopic composition of oxygen of the snow-and-firn and snow thickness on the Eastern peak of Elbrus had been studied. In 2006-2008, a number of snow samples were taken in the near-peak area of Elbrus to analyze the isotopic composition of them. The drilling was performed at the crater of the Eastern peak in 2006 (64 samples) while in 2017 the samples were taken from snow pit (25 samples). Another core to a depth of 23.8 m was extracted at the Western Plateau (118 samples) for the purpose to compare local delta O-18 values with samples from the Eastern peak. The delta O-18 values in the snow-and-firn thickness from the crater of the Eastern peak vary from -6.8 to -19.41 parts per thousand with the average value of -12.61 parts per thousand. It was revealed that snow layers with extremely low values of delta O-18 (down to -30 parts per thousand) found on the eastern slope were absent on the western plateau. The loss of part of the annual isotope precipitation signal due to the winter extra light horizons could be caused by two reasons: wind drift of the freshly deposited snow, as well as the absence of part of the winter snowfalls with isotope-light precipitation at altitudes higher 5300 m. Seasonal variations of delta O-18 values, equal to 12 parts per thousand and found in the snow-and-firn thickness on the Eastern peak, indicate that formation of the isotopic characteristics of snow is determined here by the equilibrium Rayleigh condensation and this is associated with the annual amplitude of the air temperature by a coefficient of 0.6 parts per thousand/degrees C. In the isotopic record obtained on the Western plateau of Elbrus, the relationship of values delta O-18 with the condensation temperature may be disturbed due to the frequent change of the main moisture-bearing air masses. This leads to significantly different delta O-18 values in precipitation at the same temperatures (the connection of seasonal delta O-18 values with the annual amplitude of air temperature varies from 0.3 to 1.12 parts per thousand/degrees C).</t>
  </si>
  <si>
    <t>[Chizhova, Yu. N.] Russian Acad Sci, Inst Geol Ore Deposits Petrog Mineral &amp; Geochem, Moscow, Russia; [Mikhalenko, V. N.; Kutuzov, S. S.; Lavrentiev, I. I.] Russian Acad Sci, Inst Geog, Moscow, Russia; [Vasil'chuk, Yu. K.; Budantseva, N. A.] Lomonosov Moscow State Univ, Moscow, Russia; [Kozachek, A. V.] Arctic &amp; Antarctic Res Inst, St Petersburg, Russia</t>
  </si>
  <si>
    <t>Russian Academy of Sciences; Institute of Geology of Ore Deposits, Petrography, Mineralogy &amp; Geochemistry; Russian Academy of Sciences; Institute of Geography, Russian Academy of Sciences; Lomonosov Moscow State University; Arctic &amp; Antarctic Research Institute</t>
  </si>
  <si>
    <t>Chizhova, YN (corresponding author), Russian Acad Sci, Inst Geol Ore Deposits Petrog Mineral &amp; Geochem, Moscow, Russia.</t>
  </si>
  <si>
    <t>eacentr@yandex.ru</t>
  </si>
  <si>
    <t>Kozachek, Anna V./Q-4543-2016; Kutuzov, Stanislav/A-2775-2013; Kozachek, Anna V./JCE-4791-2023; Mikhalenko, Vladimir N/A-4253-2014; Lavrentiev, Ivan/AAG-8519-2021</t>
  </si>
  <si>
    <t>Kozachek, Anna V./0000-0002-9704-8064; Kutuzov, Stanislav/0000-0003-2007-0922; Lavrentiev, Ivan/0000-0002-6902-7186; Mikhalenko, Vladimir/0000-0001-6097-9861</t>
  </si>
  <si>
    <t>Russian Foundation for Basic Research [19-05-00813, 18-05-60272]; Russian Science Foundation [17-17-01270]; Russian Science Foundation [17-17-01270] Funding Source: Russian Science Foundation</t>
  </si>
  <si>
    <t>Russian Foundation for Basic Research(Russian Foundation for Basic Research (RFBR)Spanish Government); Russian Science Foundation(Russian Science Foundation (RSF)); Russian Science Foundation(Russian Science Foundation (RSF))</t>
  </si>
  <si>
    <t>This work was supported by the Russian Foundation for Basic Research (Projects No 19-05-00813 and No 18-05-60272, isotope analysis and isotope interpretation) and Russian Science Foundation (project 17-17-01270 field work). The authors are grateful to O.V. Rototaeva for discussing and useful comments.</t>
  </si>
  <si>
    <t>10.15356/2076-6734-2019-3-426</t>
  </si>
  <si>
    <t>IZ7SO</t>
  </si>
  <si>
    <t>WOS:000487297900001</t>
  </si>
  <si>
    <t>Mironov, EU; Porubaev, VS</t>
  </si>
  <si>
    <t>Mironov, E. U.; Porubaev, V. S.</t>
  </si>
  <si>
    <t>Estimation of the age of ice hummocks in the freezing seas</t>
  </si>
  <si>
    <t>Arctic seas; consolidated layer; ice-covered seas; ice regime; ice ridges</t>
  </si>
  <si>
    <t>A method of estimating the ice ridge age proposed in the 1990s was analyzed and some disadvantages of this method were shown. Analysis of the ice thickness distribution in the ice ridges demonstrated that in many cases the average value of the thickness used in the above mentioned method did not correspond to the thickness of an ice floe of which the ice blocks were formed. The ice floe thickness is characterized by the modal value of the ice thicknesses. After the ice ridge has been formed the ice block thickness in its above-water part does not change while the thickness of the ice floe on which the ice ridge is located continues to increase. Our study has shown that the difference between thickness of the plane ice and the modal value of the ice block thickness may be used as a characteristic of the ice growth for the period of the ice ridge existence. This period can be determined by one of the calculation formulas at the known initial and final ice thickness. Calculation by formula of the ice growth thickness make possible to derive the date of ice ridge formation based on the average air temperatures. The updated method of estimating the time of ice ridge formation can be used for the ice-covered seas. Analysis of the estimated ice ridge ages showed a significant dependence of thickness of the minimal consolidated layer on the time of the ice ridge formation. A comparative analysis of (the) ages of ice ridges and the flexural strength of ice samples made it possible to determine important tendency - the increased ice strength in ice ridges of early formation. This allows us in further studies to derive a formula of relationship between an ice ridge age and a strength of its ice. In some cases the ice strength measurement in ice ridges can be replaced by a less laborious estimating of strength basing on data of the age.</t>
  </si>
  <si>
    <t>[Mironov, E. U.; Porubaev, V. S.] Arctic &amp; Antarctic Res Inst, St Petersburg, Russia</t>
  </si>
  <si>
    <t>Mironov, EU (corresponding author), Arctic &amp; Antarctic Res Inst, St Petersburg, Russia.</t>
  </si>
  <si>
    <t>mir@aari.ru</t>
  </si>
  <si>
    <t>Mironov, Yevgeny Uarovich/ADV-4713-2022; Porubaev, Viktor/AAQ-2169-2021</t>
  </si>
  <si>
    <t>Mironov, Yevgeny Uarovich/0000-0001-8390-8011;</t>
  </si>
  <si>
    <t>RFBR [18-05-6019/18]</t>
  </si>
  <si>
    <t>RFBR(Russian Foundation for Basic Research (RFBR))</t>
  </si>
  <si>
    <t>The reported study was funded by RFBR according to the research project No 18-05-6019/18.</t>
  </si>
  <si>
    <t>10.15356/2076-6734-2019-3-385</t>
  </si>
  <si>
    <t>WOS:000487297900006</t>
  </si>
  <si>
    <t>Kizyakov, AI; Streletskaya, ID; Savenko, AV; Kraynyukova, IA; Tokarev, IV</t>
  </si>
  <si>
    <t>Kizyakov, A. I.; Streletskaya, I. D.; Savenko, A. V.; Kraynyukova, I. A.; Tokarev, I. V.</t>
  </si>
  <si>
    <t>Chemical, isotopic and gas composition of the first-year sea ice in 2013-2015 from the data of cores taken at the BARNEO drifting stations</t>
  </si>
  <si>
    <t>Arctic; Arctic Ocean; chemical and gas composition; isotopic composition; sea ice</t>
  </si>
  <si>
    <t>SNOW</t>
  </si>
  <si>
    <t>As a result of the work performed at the BARNEO drifting stations (2013-2015 in the polar region of the Arctic ocean), a comprehensive testing was carried out and new data were obtained on the structure of one-year sea ice, its salinity, the distribution of ions of water-soluble salts, and the content of isotopes delta H-2 and delta O-18 within the ice thickness and snow falling on the ice surface. The composition of gas inclusions in the ice was also determined. The distribution of electrical conductivity across the ice thickness, determined by analysis of the cores with a length of 175-178 cm, is typical for such ice - it decreases from top to bottom with two maxima on the lower and upper boundaries of the ice. This is typical characteristic of the first-year sea-ice. Snow cover is characterized by a significant increase in electrical conductivity at the contact with the underlying ice. The chemical composition of the investigated ice-cores and the ratio between its components are similar to the composition of the sea water, although the concentrations of all components are lower than in the initial solution. The composition of gas inclusions in the ice does closely correspond to the atmospheric air, and it practically does not change in depth. The isotopic composition in the cores becomes heavier towards the bottom of the ice. This allows conclusion of a gradual decrease in the contribution of water with a light isotopic composition. The change in the isotopic composition along the ice depth, with the separation of zones with more light isotopes, reflects the changing temperature conditions of ice accumulation (with low isotopic fractionation at rapid freezing under the large temperature gradient) and regional features of the isotopic composition of sea waters in which the ice drift takes place. Salinization of the snow horizon lying on the ice surface provides a possibility of the sea salt transportation not only from surface of open water, but also from the surface of sea ice. This may be used for paleogeographic reconstructions in the Arctic using the analysis of the composition of massive vein ice.</t>
  </si>
  <si>
    <t>[Kizyakov, A. I.; Streletskaya, I. D.; Savenko, A. V.] Lomonosov Moscow State Univ, Moscow, Russia; [Kraynyukova, I. A.; Tokarev, I. V.] St Petersburg State Univ, Ctr Xray Diffract Studies, Res Pk, St Petersburg, Russia</t>
  </si>
  <si>
    <t>Lomonosov Moscow State University; Saint Petersburg State University</t>
  </si>
  <si>
    <t>Kizyakov, AI (corresponding author), Lomonosov Moscow State Univ, Moscow, Russia.</t>
  </si>
  <si>
    <t>akizyakov@mail.ru</t>
  </si>
  <si>
    <t>Savenko, Alla V./P-5860-2014; Streletskaya, Irina Dmitrievna/L-9207-2015; Tokarev, Igor Vladimirovich/ADR-9438-2022; Kizyakov, Alexander I/L-6727-2015</t>
  </si>
  <si>
    <t>Tokarev, Igor Vladimirovich/0000-0003-1095-0731; Kizyakov, Alexander I/0000-0003-4912-1850</t>
  </si>
  <si>
    <t>RFBR [18-05-60080, 16-05-00701]</t>
  </si>
  <si>
    <t>The authors are grateful to S.V. Pisarev, the head of the group of polar oceanology, leading researcher in P.P. Shirshov Institute of Oceanology RAS, to for the opportunity to participate in the work of scientific group on the BARNEO ice camp and the technical support of fieldwork. The processing of data on the sea ice structure was carried out within the framework of the RFBR grant No.18-05-60080 Dangerous nival-glacial and cryogenic processes and their influence on infrastructure in the Arctic and Research Program GM 1.5 The Earth cryosphere change under the influence of natural factors and technogenesis. Analysis of snow cover salinity data was carried out according to the RFBR grant No. 16-05-00701 The response of the snow cover in Antarctic to the recent climate change</t>
  </si>
  <si>
    <t>10.15356/2076-6734-2019-3-387</t>
  </si>
  <si>
    <t>WOS:000487297900007</t>
  </si>
  <si>
    <t>Bychkova, IA; Smirnov, VG</t>
  </si>
  <si>
    <t>Bychkova, I. A.; Smirnov, V. G.</t>
  </si>
  <si>
    <t>The iceberg drift study near Severnaya Zemlya in the spring of 2018 by remote sensing data</t>
  </si>
  <si>
    <t>Arctic seas; icebergs; iceberg drift; Severnaya Zemlya; space monitoring; visible spectral range</t>
  </si>
  <si>
    <t>The movement of icebergs in the Laptev Sea off the coast of the Severnaya Zemlya archipelago in spring of 2018 was analyzed using satellite observations in visible spectral band. As is shown in the article the data of radiometers installed on the Landsat-8 and Sentinel-2 satellites allow monitoring of iceberg drifting in spring period in the above Arctic region. Thus, in March-April 2018, the total amount of icebergs detected near the archipelago was 4917. 4161 icebergs were in the landfast ice, 722 ones were drifting with the ice fields, and the other 32 were aground in ice fields. The average length of the icebergs was equal to 88 m; the largest of the recognized icebergs was located in the landfast ice near the ice shelf of the Matusevich fjord and it was 1240 m in length. The maximum speed of drift of the icebergs, as determined by the satellite data, was equal to 29.5 km/day. This was estimated for the situation when the speed of the near-water (surface) wind reached 20 m/s and larger. The purpose of the work was to study drifting of icebergs in order to define more exactly dynamics of the iceberg movement in this poorly known area of the Arctic. It is found that in a case of the consolidated ice cover the drift speed of ice fields with the icebergs involved depends on the driving wind force and direction. According to mean speeds of movement all icebergs were separated into three groups: the icebergs of the coastal zone with velocities smaller 1 km/day; the icebergs of the transition zone at speeds of 1.3 to 1.6 km/day; and the icebergs of the transit zone with speeds larger 2 km/day. The characteristics of the iceberg drifts obtained on the basis of daily satellite monitoring can be used in regional iceberg drift models to ensure safe economic activity on the Arctic shelf. Also, they can find application in engineering calculations in the design of infrastructure facilities on the shelf of the Arctic seas.</t>
  </si>
  <si>
    <t>[Bychkova, I. A.; Smirnov, V. G.] Arctic &amp; Antarctic Res Inst, St Petersburg, Russia</t>
  </si>
  <si>
    <t>Bychkova, IA (corresponding author), Arctic &amp; Antarctic Res Inst, St Petersburg, Russia.</t>
  </si>
  <si>
    <t>bychkova@aari.ru</t>
  </si>
  <si>
    <t>Russian Foundation of Basic Research [18-05-60124, 18-05-60109]</t>
  </si>
  <si>
    <t>Russian Foundation of Basic Research(Russian Foundation for Basic Research (RFBR))</t>
  </si>
  <si>
    <t>The work was supported by Russian Foundation of Basic Research (grants No 18-05-60124, analysis of ice and wind conditions, and No 18-05-60109, detection of icebergs and study of their drift).</t>
  </si>
  <si>
    <t>10.15356/2076-6734-2019-3-411</t>
  </si>
  <si>
    <t>WOS:000487297900008</t>
  </si>
  <si>
    <t>Romero, E; Amenábar, CR; Zamaloa, MC; Concheyro, A</t>
  </si>
  <si>
    <t>Romero, Edgardo; Amenabar, Cecilia R.; Zamaloa, Maria C.; Concheyro, Andrea</t>
  </si>
  <si>
    <t>Nothofagus and the associated palynoflora from the Late Cretaceous of Vega Island, Antarctic Peninsula</t>
  </si>
  <si>
    <t>Antarctica; Vega Island; Cretaceous; Nothofagaceae leaves; palynology</t>
  </si>
  <si>
    <t>JAMES-ROSS-ISLAND; KING GEORGE ISLAND; CAPE LAMB; MARAMBIO GROUP; STRATIGRAPHY; PALEOECOLOGY; CLASSIFICATION; PALYNOLOGY; EVOLUTION; DINOSAUR</t>
  </si>
  <si>
    <t>Nothofagaceae fossil leaves and an associated palynoflora from Late Cretaceous sediments of Vega Island, eastern Antarctic Peninsula, are presented. The leaves are described as Nothofagus sp. 1 and Morphotype LDB 1, and come from the Snow Hill Island (late Campanian-early Maas-trichtian) and the Lopez de Bertodano (late Maastrichtian) formations, respectively. The palynoflora obtainexi from levels immediately above and below the Nothofagus sp. 1 and in the same horizon as the Morphotype LDB 1, included terrestrial and marine elements. In the palynoflora associated with Nothofagus sp. 1, conifers are dominant and pollen grains with Nothofagus affinity are represented by four species: Nothofagidites kaitangataensis (Te Punga) Romero 1973 and Nothofagidites senectus Dettmann and Playford 1968, which belong to the ancestral pollen type, as well as Nothofagidites dorotensis Romero 1973 and Nothofagidites sp. of the brassii-type. Cryptogamic spores, marine dinoflagellate cysts and algae, among others, are part of the assemblage. The palynoflora associated with the Morphotype 1 also contains abundant conifer and angiosperm pollen grains with N. dorotensis as the only Nothofagus species recorded. Marine dinoflagellate cysts are scarce while fungi and phytodebris are common elements. The joint presence of marine and non-marine palynomorphs supports a probable nearshore environment at time of deposition for both units. Pollen and spore evidence suggests a mixed conifer and angiosperm forest, with Podocarpaceae and Nothofagus as the main components, and ferns, lycopods, and mosses in the understory. This forest developed under temperate and moist conditions during the middle Campanian-Maastrichtian.</t>
  </si>
  <si>
    <t>[Romero, Edgardo] Museo Argentino Ciencias Nat Bernardino Rivadavia, Av A Gallardo 470,C1405DJR, Buenos Aires, DF, Argentina; [Amenabar, Cecilia R.; Concheyro, Andrea] Univ Buenos Aires, IDEAN Inst Estudios Andinos Don Pablo Groeber, CONICET, Fac Ciencias Exactas &amp; Nat, Intendente Guiraldes 2620,C1428EHA, Buenos Aires, DF, Argentina; [Amenabar, Cecilia R.; Concheyro, Andrea] Inst Antartico Argentine, 25 Mayo 1151,3 Piso, RA-1650 San Martin, Buenos Aires, Argentina; [Zamaloa, Maria C.] Univ Buenos Aires, Dept Ecol Genet &amp; Evoluc, Intendente Guiraldes 2620,C1428EHA, Buenos Aires, DF, Argentina</t>
  </si>
  <si>
    <t>Museo Argentino de Ciencias Naturales Bernardino Rivadavia (MACN); Consejo Nacional de Investigaciones Cientificas y Tecnicas (CONICET); University of Buenos Aires; Instituto Antartico Argentino; University of Buenos Aires</t>
  </si>
  <si>
    <t>Amenábar, CR (corresponding author), Univ Buenos Aires, IDEAN Inst Estudios Andinos Don Pablo Groeber, CONICET, Fac Ciencias Exactas &amp; Nat, Intendente Guiraldes 2620,C1428EHA, Buenos Aires, DF, Argentina.;Amenábar, CR (corresponding author), Inst Antartico Argentine, 25 Mayo 1151,3 Piso, RA-1650 San Martin, Buenos Aires, Argentina.</t>
  </si>
  <si>
    <t>ejromero@macn.gov.ar; amenabar@gl.fcen.uba.ar; mzamaloa@ege.fcen.uba.ar; andrea@gl.fcen.uba.ar</t>
  </si>
  <si>
    <t>[PICT 2433/2014]</t>
  </si>
  <si>
    <t>To Direccion Nacional del Antartico-Instituto Antartico Argentino and Fuerza Area Argentina for the logistic and scientific support. We are immensely grateful to Alfredo Ambrosio for collecting the fossil leaves. We also thank to Gustavo Holfeltz for the preparation of palynological samples and to Gaston Cornachione for his assistance in the field. We also acknowledge Rosemary Askin and an anonymous reviewer for their constructive comments that helped to improve the manuscript. This is the contribution R-269 of the Instituto de Estudios Andinos Don Pablo Groeber (IDEAN-CONICET). It was partially supported by grant PICT 2433/2014 to MCZ.</t>
  </si>
  <si>
    <t>10.24425/ppr.2019.129672</t>
  </si>
  <si>
    <t>JA0SD</t>
  </si>
  <si>
    <t>WOS:000487521100003</t>
  </si>
  <si>
    <t>Dulska, J; Wasilewski, J; Androsiuk, P; Kellmann-Sopyla, W; Glowacka, K; Górecki, R; Chwedorzewska, K; Gielwanowska, I</t>
  </si>
  <si>
    <t>Dulska, Justyna; Wasilewski, Janusz; Androsiuk, Piotr; Kellmann-Sopyla, Wioleta; Glowacka, Katarzyna; Gorecki, Ryszard; Chwedorzewska, Katarzyna; Gielwanowska, Irena</t>
  </si>
  <si>
    <t>The effect of sodium fluoride on seeds germination and morphophysiological changes in the seedlings of the Antarctic species Colobanthus quitensis (Kunth) Bartl. and the Subantarctic species Colobanthus apetalus (Labill.) Druce</t>
  </si>
  <si>
    <t>Antarctic; Colobanthus apetalus; Colobanthus quitensis; fluoride stress</t>
  </si>
  <si>
    <t>ULTRAVIOLET-B RADIATION; KING GEORGE ISLAND; DESCHAMPSIA-ANTARCTICA; POLAR CARYOPHYLLACEAE; GENERATIVE REPRODUCTION; FREE PROLINE; 2 ECOTYPES; GROWTH; SIZE; ULTRASTRUCTURE</t>
  </si>
  <si>
    <t>The phytotoxic effects of fluoride and its derivatives on the seeds and seedlings of the Colobanthus apetalus and Colobanthus quitensis were studied. This is a first study to evaluate the influence of sodium fluoride (NaF) on the morphophysiological and biochemical processes on two Colobanthus species. The influence of various concentrations of NaF (9 mM, 19 mM, 29 mM) on the germination capacity and germination rate of seeds, seedlings growth and the proline content of plant tissues was analyzed under laboratory conditions (20/10 degrees C, 12/12 h). The seeds of C. apetalus were collected from a greenhouse, whereas the seeds of C. quitensis were collected in Antarctica and in a greenhouse (Olsztyn, Poland). The tested concentrations of NaF did not suppress the germination of C. apetalus seeds, but the germination of C. quitensis seeds was inhibited. Sodium fluoride mainly inhibited root growth of C. apetalus and C. quitensis. In both analyzed species, the free proline content of seedlings increased significantly under exposure to NaF. The results of this study clearly indicate that C. apetalus and C. quitensis are highly resistant to NaF stress.</t>
  </si>
  <si>
    <t>[Dulska, Justyna; Androsiuk, Piotr; Kellmann-Sopyla, Wioleta; Glowacka, Katarzyna; Gorecki, Ryszard; Gielwanowska, Irena] Univ Warmia &amp; Mazury, Dept Plant Physiol Genet &amp; Biotechnol, Oczapowskiego 1A, PL-10719 Olsztyn, Poland; [Wasilewski, Janusz] Univ Warmia &amp; Mazury, Dept Biochem, Oczapowskiego 1A, PL-10719 Olsztyn, Poland; [Chwedorzewska, Katarzyna] Warsaw Univ Life Sci SGGW, Dept Agron, Nowoursynowska 159, PL-02766 Warsaw, Poland</t>
  </si>
  <si>
    <t>University of Warmia &amp; Mazury; University of Warmia &amp; Mazury; Warsaw University of Life Sciences</t>
  </si>
  <si>
    <t>Dulska, J (corresponding author), Univ Warmia &amp; Mazury, Dept Plant Physiol Genet &amp; Biotechnol, Oczapowskiego 1A, PL-10719 Olsztyn, Poland.</t>
  </si>
  <si>
    <t>justyna.koc@uwm.edu.pl</t>
  </si>
  <si>
    <t>Androsiuk, Piotr/M-6175-2019; Chwedorzewska, Katarzyna/M-9721-2019; Chwedorzewska, Katarzyna J/A-9480-2008</t>
  </si>
  <si>
    <t>Androsiuk, Piotr/0000-0002-1851-3192; Chwedorzewska, Katarzyna/0000-0001-6860-3666; Glowacka, Katarzyna/0000-0002-3649-4669; Gielwanowska, Irena/0000-0002-9001-1285</t>
  </si>
  <si>
    <t>Polish Ministry of Scientific Research and Higher Education [NN303796240]</t>
  </si>
  <si>
    <t>Polish Ministry of Scientific Research and Higher Education(Ministry of Science and Higher Education, Poland)</t>
  </si>
  <si>
    <t>Part of this research was supported by the Polish Ministry of Scientific Research and Higher Education grant NN303796240.</t>
  </si>
  <si>
    <t>10.24425/ppr.2019.129673</t>
  </si>
  <si>
    <t>WOS:000487521100004</t>
  </si>
  <si>
    <t>Yusof, NA; Wong, CMVL; Murad, AMA; Abu Bakar, FD; Mahadi, NM; Rahman, AYA; Zainuddin, N; Najimudin, MNM</t>
  </si>
  <si>
    <t>Yusof, Nur Athirah; Wong, Clemente Michael Vui Ling; Murad, Abdul Munir Abdul; Abu Bakar, Farah Diba; Mahadi, Nor Muhammad; Rahman, Ahmad Yamin Abdul; Zainuddin, Nursyafiqi; Najimudin, Mohd Nazalan Mohd</t>
  </si>
  <si>
    <t>Expression patterns of molecular chaperone genes in Antarctic psychrophilic yeast, Glaciozyma antarctica PI12 in response to heat stress</t>
  </si>
  <si>
    <t>Antarctic; psychrophile; molecular chaperone; heat-stress; transcriptome</t>
  </si>
  <si>
    <t>SHOCK TRANSCRIPTION FACTOR; HSP90 CHAPERONE; MITOCHONDRIAL MATRIX; PROTEIN-DEGRADATION; IN-VIVO; COMPLEX; HSP70; REQUIREMENT; MECHANISMS; CLONING</t>
  </si>
  <si>
    <t>Microbes living in the polar regions have some common and unique strategies to respond to thermal stress. Nevertheless, the amount of information available, especially at the molecular level is lacking for some organisms such as Antarctic psychrophilic yeast. For instance, it is not known whether molecular chaperones in Antarctic yeasts play similar roles to those from mesophilic yeasts when they are exposed to heat stress. Therefore, this project aimed to determine the gene expression patterns and roles of molecular chaperones in Antarctic psychrophilic Glaciozyma antarctica PI12 that was exposed to heat stress. G. antarctica PI12 was grown at its optimal growth temperature of 12 degrees C and later exposed to heat stresses at 16 degrees C and 20 degrees C for 6 hours. Transcriptomes of those cells were extracted, sequenced and analyzed. Thirty-three molecular chaperone genes demonstrated differential expression of which 23 were up-regulated while 10 were down-regulated. Functions of up-regulated molecular chaperone genes were related to protein binding, response to a stimulus, chaperone binding, cellular response to stress, oxidation, and reduction, ATP binding, DNA-damage response and regulation for cellular protein metabolic process. On the other hand, functions of down-regulated molecular chaperone genes were related to chaperone-mediated protein complex assembly, transcription, cellular macromolecule metabolic process, regulation of cell growth and ribosome biogenesis. The findings provided information on how molecular chaperones work together in a complex network to protect the cells under heat stress. It also highlights the evolutionary conserved protective role of molecular chaperones in psychrophilic yeast, G. antarctica, and mesophilic yeast, Saccharomyces cerevisiae.</t>
  </si>
  <si>
    <t>[Yusof, Nur Athirah; Wong, Clemente Michael Vui Ling] Univ Malaysia Sabah, Biotechnol Res Inst, Jalan UMS, Kota Kinabalu 88400, Sabah, Malaysia; [Murad, Abdul Munir Abdul; Abu Bakar, Farah Diba] Univ Kebangsaan Malaysia, Fac Sci &amp; Technol, Sch Biosci &amp; Biotechnol, Bangi 43600, Selangor, Malaysia; [Mahadi, Nor Muhammad] Malaysia Genome Inst, Jalan Bangi, Kajang 43000, Selangor Darul, Malaysia; [Rahman, Ahmad Yamin Abdul; Najimudin, Mohd Nazalan Mohd] Univ Sains Malaysia, Sch Biol Sci, George Town 11800, Malaysia</t>
  </si>
  <si>
    <t>Universiti Malaysia Sabah; Universiti Kebangsaan Malaysia; Universiti Sains Malaysia</t>
  </si>
  <si>
    <t>Wong, CMVL (corresponding author), Univ Malaysia Sabah, Biotechnol Res Inst, Jalan UMS, Kota Kinabalu 88400, Sabah, Malaysia.</t>
  </si>
  <si>
    <t>michaelw@ums.edu.my</t>
  </si>
  <si>
    <t>Najimudin, Nazalan/B-2952-2011; Abdul Murad, Abdul Munir/L-8575-2017; Wong, Clemente Michael Vui Ling/M-8372-2013; Yusof, Nur Athirah/ABD-6881-2021; Zainuddin, Nursyafiqi Bin/GSO-2156-2022; Murad, Abdul/CAG-9324-2022</t>
  </si>
  <si>
    <t>Abdul Murad, Abdul Munir/0000-0001-6402-7198; Wong, Clemente Michael Vui Ling/0000-0003-3431-8896; Yusof, Nur Athirah/0000-0002-9298-7425; Zainuddin, Nursyafiqi Bin/0000-0002-9312-0321;</t>
  </si>
  <si>
    <t>Ministry of Science, Technology, and Innovation (MOSTI), Malaysia [FP1213E036]; [08-05-MGI-GMB001]</t>
  </si>
  <si>
    <t>Ministry of Science, Technology, and Innovation (MOSTI), Malaysia(Ministry of Energy, Science, Technology, Environment and Climate Change (MESTECC), Malaysia);</t>
  </si>
  <si>
    <t>The funding supports from the Ministry of Science, Technology, and Innovation (MOSTI), Malaysia, under the Antarctica Flagship Programme (Sub-Project 1: FP1213E036), and Science Fund Project No: 08-05-MGI-GMB001 are gratefully acknowledged. We would like to thank Mr. Ahmad Faisal Mohamad and Ms. Nurohaida Ab Aziz for compiling the transcriptome data for analysis, those who are involved in the structural project of Glaciozyma antarctica in Malaysia Genome Institute and others who assisted for technical assistance and helpful discussions.</t>
  </si>
  <si>
    <t>10.24425/ppr.2019.129674</t>
  </si>
  <si>
    <t>WOS:000487521100005</t>
  </si>
  <si>
    <t>Raffi, ME; Olivero, EB; Milanese, FN</t>
  </si>
  <si>
    <t>Raffi, Maria E.; Olivero, Eduardo B.; Milanese, Florencia N.</t>
  </si>
  <si>
    <t>The gaudryceratid ammonoids from the Upper Cretaceous of the James Ross Basin, Antarctica</t>
  </si>
  <si>
    <t>ACTA PALAEONTOLOGICA POLONICA</t>
  </si>
  <si>
    <t>Ammonoidea; Phylloceratida; Gaudryceratinae; Lytoceratoidea; Cretaceous; Antarctica</t>
  </si>
  <si>
    <t>MARAMBIO GROUP; AMMONITES; HOKKAIDO; STRATIGRAPHY; ISLAND; AREA; MAGNETOSTRATIGRAPHY; PATTERNS; SYSTEM; TRENDS</t>
  </si>
  <si>
    <t>We describe new material of the subfamily Gaudryceratinae in Antarctica, including five new species: Gaudryceras submurdochi Raffi and Olivero sp. nov., Anagaudryceras calabozoi Raffi and Olivero sp. nov., Anagaudryceras subcompressum Raffi and Olivero sp. nov., Anagaudryceras sanctuarium Raffi and Olivero sp. nov., and Zelandites pujatoi Raffi and Olivero sp. nov., recorded in Santonian to Maastrichtian deposits of the James Ross Basin. The early to mid-Campanian A. calabozoi Raffi and Olivero sp. nov. exhibits a clear dimorphism, expressed by marked differences in the ornament of the adult body chamber. Contrary to the scarcity of representative members of the subfamily Gaudryceratinae in the Upper Cretaceous of other localities in the Southern Hemisphere, the Antarctic record reveals high abundance and diversity of 15 species and three genera in total. This highly diversified record of gaudryceratins is only comparable with the Santonian-Maastrichtian Gaudryceratinae of Hokkaido, Japan and Sakhalin, Russia, which yields a large number of species of Anagaudryceras, Gaudryceras, and Zelandites. The reasons for a similar, highly diversified record of the Gaudryceratinae in these distant and geographically nearly antipodal regions are not clear, but we argue that they probably reflect a similar paleoecological control.</t>
  </si>
  <si>
    <t>[Raffi, Maria E.; Olivero, Eduardo B.] Consejo Nacl Invest Cient &amp; Tecn, CADIC, Bernardo Houssay 200, RA-9410 Ushuaia, Argentina; [Raffi, Maria E.; Olivero, Eduardo B.] Univ Nacl Tierra del Fuego, Inst Ciencias Polares Ambiente &amp; Recursos Nat, Ushuaia, Argentina; [Milanese, Florencia N.] Univ Buenos Aires, Fac Ciencias Exactas &amp; Nat, Dept Cs Geol,CONICET, Inst Geociencias Basicas Aplicadas &amp; Ambientales, Buenos Aires, DF, Argentina</t>
  </si>
  <si>
    <t>Consejo Nacional de Investigaciones Cientificas y Tecnicas (CONICET); University of Buenos Aires; Consejo Nacional de Investigaciones Cientificas y Tecnicas (CONICET)</t>
  </si>
  <si>
    <t>Raffi, ME (corresponding author), Consejo Nacl Invest Cient &amp; Tecn, CADIC, Bernardo Houssay 200, RA-9410 Ushuaia, Argentina.;Raffi, ME (corresponding author), Univ Nacl Tierra del Fuego, Inst Ciencias Polares Ambiente &amp; Recursos Nat, Ushuaia, Argentina.</t>
  </si>
  <si>
    <t>eugeniaraff@gmail.com; emolivero@gmail.com; fnmilanese@gmail.com</t>
  </si>
  <si>
    <t>Raffi, Eugenia/HTP-1654-2023</t>
  </si>
  <si>
    <t>ANPCyT-DNA (Argentina); CONICET (Argentina); National University of Tierra del Fuego (PIDUNTdF-A); CONICET (PUE-CADIC 2016)</t>
  </si>
  <si>
    <t>ANPCyT-DNA (Argentina); CONICET (Argentina)(Consejo Nacional de Investigaciones Cientificas y Tecnicas (CONICET)); National University of Tierra del Fuego (PIDUNTdF-A); CONICET (PUE-CADIC 2016)</t>
  </si>
  <si>
    <t>We thank the Instituto Antartico Argentino and the logistic facilities of the Fuerza Aerea Argentina during Antarctic field seasons. Alvar Sobral (CITSE, CONICET), Matias Vaca (Universidad Nacional de Cordoba, Spain), Marcos Rodriguez (Universidad Nacional de Tierra del Fuego, Antartida e Islas del Atlantico Sur, Ushuaia, Argentina), Erika Bedoya (CADIC, CONICET), Steven Skinner and Ross Mitchell (both CALTECH), Tomas Luppo (Instituto de Geociencias Basicas, Aplicadas y Ambientales de Buenos Aires, Argentina, CONICET) helped in the fieldwork. We wish to acknowledge thorough but constructive reviews by Rene Hoffmann (Institute of Geology, Mineralogy and Geophysics, Ruhr-Universitat, Bochum, Germany) and Haruyoshi Maeda (The Kyushu University Museum, Fukuoka, Japan). This study was supported by previous grants by ANPCyT-DNA and CONICET (Argentina). The National University of Tierra del Fuego (PIDUNTdF-A) and CONICET (PUE-CADIC 2016) partially financed the study.</t>
  </si>
  <si>
    <t>INST PALEOBIOLOGII PAN</t>
  </si>
  <si>
    <t>WARSAW</t>
  </si>
  <si>
    <t>UL TWARDA 51/55, 00-818 WARSAW, POLAND</t>
  </si>
  <si>
    <t>0567-7920</t>
  </si>
  <si>
    <t>1732-2421</t>
  </si>
  <si>
    <t>ACTA PALAEONTOL POL</t>
  </si>
  <si>
    <t>Acta Palaeontol. Pol.</t>
  </si>
  <si>
    <t>10.4202/app.00560.2018</t>
  </si>
  <si>
    <t>IY7SR</t>
  </si>
  <si>
    <t>Green Submitted, Green Published, gold</t>
  </si>
  <si>
    <t>WOS:000486595900005</t>
  </si>
  <si>
    <t>Li, W; Dolhi-Binder, J; Cariani, ZE; Morgan-Kiss, RM</t>
  </si>
  <si>
    <t>Li, Wei; Dolhi-Binder, Jenna; Cariani, Zev E.; Morgan-Kiss, Rachael M.</t>
  </si>
  <si>
    <t>Drivers of protistan community autotrophy and heterotrophy in chemically stratified Antarctic lakes</t>
  </si>
  <si>
    <t>AQUATIC MICROBIAL ECOLOGY</t>
  </si>
  <si>
    <t>Aquatic protists; Autotrophy; Heterotrophy; beta-D-glucosaminidase; RubisCO; McMurdo Dry Valleys; Antarctic lakes</t>
  </si>
  <si>
    <t>MCMURDO DRY VALLEYS; MIXOTROPHIC CRYPTOPHYTES; OXIDIZING BACTERIA; POLAR NIGHT; ICE; DYNAMICS; MARINE; BONNEY; ECOLOGY; CLIMATE</t>
  </si>
  <si>
    <t>Single-celled, eukaryotic microorganisms, known as protists, are responsible for 2 important, yet opposing, metabolic activities within aquatic food webs. They are major primary producers and highly active predators in marine and fresh water systems. While genomics has accelerated in recent years for this taxonomically diverse group, our understanding of the metabolic capabilities of most protists remains limited. It is also poorly understood how protist trophic mode is affected by biotic and abiotic factors, and therefore it is difficult to predict how events such as global climate change will affect the balance between autotrophic and heterotrophic activities in protist communities. To address open questions regarding how protist metabolic versatility is influenced by their environment, we characterized the potential for carbon fixation versus organic carbon degradation using enzymatic assays (RubisCO and beta-D-glucosaminidase, respectively) within the water columns of ice-covered lakes in McMurdo Dry Valleys (MDV), Antarctica. Steep physical and chemical gradients in the water columns, microorganism domination and minimal allochthonous inputs makes the MDV lakes uniquely suited to investigate environment-microbe interactions. Spatial trends in RubisCO and beta-D-glucosaminidase activities were lake-specific and vertically stratified within the water columns. Moreover, bottom-up drivers controlling the activity of C-fixation vs. organic C-degradation among the MDV protist communities were distinct between the upper photic vs. the deep, aphotic zones. We conclude that differential controls over major C-cycling enzymes have important implications on the influence of environmental change on the carbon and nutrient cycles in the MDV lakes.</t>
  </si>
  <si>
    <t>[Li, Wei] Montana State Univ, Dept Land Resources &amp; Environm Sci, 334 Leon Johnson Hall, Bozeman, MT 59717 USA; [Dolhi-Binder, Jenna] Ashland Univ, Dept Biol &amp; Toxicol, Ashland, OH 44805 USA; [Cariani, Zev E.; Morgan-Kiss, Rachael M.] Miami Univ, Dept Microbiol, Oxford, OH 45056 USA</t>
  </si>
  <si>
    <t>Montana State University System; Montana State University Bozeman; University System of Ohio; Ashland University; University System of Ohio; Miami University</t>
  </si>
  <si>
    <t>Li, W (corresponding author), Montana State Univ, Dept Land Resources &amp; Environm Sci, 334 Leon Johnson Hall, Bozeman, MT 59717 USA.</t>
  </si>
  <si>
    <t>wei.li02@montana.edu</t>
  </si>
  <si>
    <t>NSF Office of Polar Programs [OPP-1056396, GEO-1637708]</t>
  </si>
  <si>
    <t>NSF Office of Polar Programs(National Science Foundation (NSF))</t>
  </si>
  <si>
    <t>The authors thank the McMurdo LTER program, Antarctic Support Contract and PHI helicopters for logistical assistance in the field. We also thank Mr. Mike Cloutier and the Polar Geospatial Center for providing maps of the research area. This work was supported by NSF Office of Polar Programs Grant OPP-1056396 and GEO-1637708.</t>
  </si>
  <si>
    <t>0948-3055</t>
  </si>
  <si>
    <t>1616-1564</t>
  </si>
  <si>
    <t>AQUAT MICROB ECOL</t>
  </si>
  <si>
    <t>Aquat. Microb. Ecol.</t>
  </si>
  <si>
    <t>10.3354/ame01891</t>
  </si>
  <si>
    <t>IZ5HO</t>
  </si>
  <si>
    <t>WOS:000487114000001</t>
  </si>
  <si>
    <t>Klibanova, YY; Mishin, VV; Mikhalev, AV; Tsegmed, B; Karavaev, YA; Kurikalova, MA</t>
  </si>
  <si>
    <t>Klibanova, Yu. Yu.; Mishin, V. V.; Mikhalev, A. V.; Tsegmed, B.; Karavaev, Yu. A.; Kurikalova, M. A.</t>
  </si>
  <si>
    <t>DYNAMICS FOR GEOMAGNETIC PULSATIONS, FIELD-ALIGNED CURRENTS, AND AIRGLOW AT MID-LATITUDES WITHIN SUBSTORM ACTIVATIONS DURING SUPERSTORMS</t>
  </si>
  <si>
    <t>GEODYNAMICS &amp; TECTONOPHYSICS</t>
  </si>
  <si>
    <t>geomagnetic pulsations; storm; substorm; airglow; mid-latitude aurora</t>
  </si>
  <si>
    <t>LARGE MAGNETIC STORM; NOVEMBER 20; DISTURBANCES; AURORAS; SATURATION</t>
  </si>
  <si>
    <t>Within substorm activations during two superstorms (2000 and 2003) from the observations at midlatitude geomagnetic observatories, we study short-period irregular geomagnetic pulsations and airglow in the 557.7 nm and 630.0 nm atomic oxygen emission lines, and in the 391.4 nm ionized nitrogen molecular band. Through the genuine magnetogram inversion technique, from the 1-minute data of the ground-based magnetometer global network, we investigate the distribution dynamics for field-aligned currents (FACs) in the ionosphere. The relation is shown between pulsation bursts and airglow disturbances in the post-midnight sector to precipitations of energetic electrons (similar to keV) and increase in the R2 upward FACs.</t>
  </si>
  <si>
    <t>[Klibanova, Yu. Yu.; Mishin, V. V.; Mikhalev, A. V.; Karavaev, Yu. A.; Kurikalova, M. A.] RAS, Siberian Branch, Inst Solar Terr Phys, 126A Lermontov St, Irkutsk 664033, Russia; [Klibanova, Yu. Yu.] AA Ezhevsky Irkutsk State Agr Univ, 1-1 Molodezhny Settlement, Irkutsk 664038, Russia; [Tsegmed, B.] MAS, Inst Astron &amp; Geophys, 42 J Lhagaasurengiin St, Ulaanbaatar 13343, Mongolia</t>
  </si>
  <si>
    <t>Irkutsk Science Centre of the Russian Academy of Sciences; Russian Academy of Sciences; Institute of Solar-Terrestrial Physics of the Siberian Branch of the Russian Academy of Sciences; Mongolian Academy of Sciences</t>
  </si>
  <si>
    <t>Klibanova, YY (corresponding author), RAS, Siberian Branch, Inst Solar Terr Phys, 126A Lermontov St, Irkutsk 664033, Russia.</t>
  </si>
  <si>
    <t>malozemova81@mail.ru; vladm@iszf.irk.ru; mikhalev@iszf.irk.ru; tseg@iszf.irk.ru; ykar@iszf.irk.ru; kurikalova@iszf.irk.ru</t>
  </si>
  <si>
    <t>Mishin, Vladimir Vilenovich/S-6119-2017; Kurikalova, Marina/AAD-5813-2020; Karavaev, Yuri/AAD-8705-2020; Klibanova, Yulia/AAE-2305-2022</t>
  </si>
  <si>
    <t>Mishin, Vladimir Vilenovich/0000-0002-2729-2862;</t>
  </si>
  <si>
    <t>Russian Foundation for Basic Research [16-05-00563, 18-0500437]; Federal Research Program II. 16; Ministry of Education, Science, and Sports of Mongolia [SHUSS-2017/65]</t>
  </si>
  <si>
    <t>Russian Foundation for Basic Research(Russian Foundation for Basic Research (RFBR)Spanish Government); Federal Research Program II. 16; Ministry of Education, Science, and Sports of Mongolia</t>
  </si>
  <si>
    <t>The experimental data were obtained by using the equipment of the ANGARA Multi-Access Center at (http://ckp-rf.ru/ckp/3056/).The solar wind parameters and geomagnetic indices AL, AU and SYM-H are obtained through (http://omniweb.gsfc.nasa.gov) and also through the Kyoto WDC Website, we are grateful to PIs of the CANOPUS, INTERMAGNET, GIMA, MACCS, IMAGE international projects; magnetic networks in Arctic and the Antarctic, the Shafer Institute of CosmoPhysical Research and Aeronomy SB RAS, Arctic and Antarctic Research Institute, and Danish Meteorological Institute; and individual magnetic observatories for providing magnetic data. The study was done with a support from the Russian Foundation for Basic Research, under grants No. 16-05-00563 and 18-0500437. The study has been conducted within the basic funding from Federal Research Program II. 16. B.T. was supported by grant SHUSS-2017/65 of the Ministry of Education, Science, and Sports of Mongolia.</t>
  </si>
  <si>
    <t>RUSSIAN ACAD SCIENCES, SIBERIAN BRANCH, INST EARTHS CRUST</t>
  </si>
  <si>
    <t>IRKUTSK</t>
  </si>
  <si>
    <t>UL LERMONTOVA 128, IRKUTSK, 664033, RUSSIA</t>
  </si>
  <si>
    <t>2078-502X</t>
  </si>
  <si>
    <t>GEODYN TECTONOPHYS</t>
  </si>
  <si>
    <t>Geeodyn. Tectonophys.</t>
  </si>
  <si>
    <t>10.5800/GT-2019-10-3-0434</t>
  </si>
  <si>
    <t>IY1GJ</t>
  </si>
  <si>
    <t>WOS:000486139400008</t>
  </si>
  <si>
    <t>Wu, JB; Wang, XD</t>
  </si>
  <si>
    <t>Wu, Jianbo; Wang, Xiaodan</t>
  </si>
  <si>
    <t>Stoichiometric homeostasis does not affect species dominance and stability in an alpine steppe, Tibetan Plateau</t>
  </si>
  <si>
    <t>Stoichiometric homeostasis; species dominance; species stability; different plant functions; alpine steppe</t>
  </si>
  <si>
    <t>ECOSYSTEM STABILITY; LEAF TRAITS; CLIMATE; PLANT; SOIL; NITROGEN; PHOSPHORUS; RESPONSES; ALTERS</t>
  </si>
  <si>
    <t>Studies of stoichiometric homeostasis in different types of plant species growing in alpine steppe environments are important in understanding the fitness and nutrient-use strategies of alpine plants in northern Tibet, which may be correlated with species dominance and stability. We used an N- and P-addition experiment to investigate the stoichiometric homeostasis N (H-N) in the foliage of different plant species in the Stipa purpurea steppe of the Tibetan Plateau from 2013 to 2016. The concentration of N in the foliage of different types of plants increased significantly with the amount of N added. We found that the H-N value of the foliage of alpine steppe plants was much lower than that of plants in temperate grasslands and grasslands with tall grass, suggesting that these alpine plants can absorb more nutrients when they are available. There was no difference in the H-N values for different alpine plant species, which is also different from previously reported results for other types of grasslands. Furthermore, the temporal stability and dominance of species was not significantly correlated with the foliage H-N value of the species. Our results suggest that the H-N value of plant foliage in an alpine steppe environment little affected the species dominance and stability seen in the control and N-addition plots at the species level, which is in conflict with the results from temperate grasslands. The different types of species in this alpine steppe environment show the same nutrient utilization strategies (low H-N value, about 2) for coping with a variable and limited supply of nutrients.</t>
  </si>
  <si>
    <t>[Wu, Jianbo; Wang, Xiaodan] Chinese Acad Sci, Inst Mt Hazard &amp; Environm, Key Lab Mt Environm Evolut &amp; Regulat, Chengdu, Sichuan, Peoples R China</t>
  </si>
  <si>
    <t>Chinese Academy of Sciences; Institute of Mountain Hazards &amp; Environment, CAS</t>
  </si>
  <si>
    <t>Wang, XD (corresponding author), Chinese Acad Sci, Inst Mt Hazard &amp; Environm, Key Lab Mt Environm Evolut &amp; Regulat, Chengdu, Sichuan, Peoples R China.</t>
  </si>
  <si>
    <t>wxd@imde.ac.cn</t>
  </si>
  <si>
    <t>Li, June/JEF-1173-2023; wang, xiao/HZI-9156-2023; Wu, Jianbo/ABR-0698-2022</t>
  </si>
  <si>
    <t>National Key Research and Development Program [2016YFC0502002]; National Natural Science Foundation of China [41401072]; Open Fund of the Key Laboratory of Mountain Surface Processes and Ecological Regulation, Chinese Academy of Sciences</t>
  </si>
  <si>
    <t>National Key Research and Development Program; National Natural Science Foundation of China(National Natural Science Foundation of China (NSFC)); Open Fund of the Key Laboratory of Mountain Surface Processes and Ecological Regulation, Chinese Academy of Sciences</t>
  </si>
  <si>
    <t>This study was financially supported by the National Key Research and Development Program (2016YFC0502002), the National Natural Science Foundation of China (41401072), and The Open Fund of the Key Laboratory of Mountain Surface Processes and Ecological Regulation, Chinese Academy of Sciences.</t>
  </si>
  <si>
    <t>10.1080/15230430.2018.1560112</t>
  </si>
  <si>
    <t>IY0TM</t>
  </si>
  <si>
    <t>WOS:000486105800001</t>
  </si>
  <si>
    <t>Arp, CD; Whitman, MS; Jones, BM; Nigro, DA; Alexeev, VA; Gädeke, A; Fritz, S; Daanen, R; Liljedahl, AK; Adams, FJ; Gaglioti, BV; Grosse, G; Heim, KC; Beaver, JR; Cai, L; Engram, M; Uher-Koch, HR</t>
  </si>
  <si>
    <t>Arp, Christopher D.; Whitman, Matthew S.; Jones, Benjamin M.; Nigro, D. A.; Alexeev, Vladimir A.; Gaedeke, Anne; Fritz, Stacey; Daanen, Ronald; Liljedahl, Anna K.; Adams, F. J.; Gaglioti, Benjamin V.; Grosse, Guido; Heim, Kurt C.; Beaver, John R.; Cai, Lei; Engram, Melanie; Uher-Koch, Hannah R.</t>
  </si>
  <si>
    <t>Ice roads through lake-rich Arctic watersheds: Integrating climate uncertainty and freshwater habitat responses into adaptive management</t>
  </si>
  <si>
    <t>Arctic watersheds; ice roads; freshwater habitat; climate change; petroleum development; adaptive management</t>
  </si>
  <si>
    <t>NORTH SLOPE; COASTAL-PLAIN; PACIFIC LOONS; ALASKA; PERMAFROST; IMPACTS; RADAR; INFRASTRUCTURE; RIVER; AVAILABILITY</t>
  </si>
  <si>
    <t>Vast mosaics of lakes, wetlands, and rivers on the Arctic Coastal Plain give the impression of water surplus. Yet long winters lock freshwater resources in ice, limiting freshwater habitats and water supply for human uses. Increasingly the petroleum industry relies on lakes to build temporary ice roads for winter oil exploration. Permitting water withdrawal for ice roads in Arctic Alaska is dependent on lake depth, ice thickness, and the fish species present. Recent winter warming suggests that more winter water will be available for ice-road construction, yet high interannual variability in ice thickness and summer precipitation complicates habitat impact assessments. To address these concerns, multidisciplinary researchers are working to understand how Arctic freshwater habitats are responding to changes in both climate and water use in northern Alaska. The dynamics of habitat availability and connectivity are being linked to how food webs support fish and waterbirds across diverse freshwater habitats. Moving toward watershed-scale habitat classification coupled with scenario analysis of climate extremes and water withdrawal is increasingly relevant to future resource management decisions in this region. Such progressive refinement in understanding responses to change provides an example of adaptive management focused on ensuring responsible resource development in the Arctic.</t>
  </si>
  <si>
    <t>[Arp, Christopher D.; Jones, Benjamin M.; Liljedahl, Anna K.; Engram, Melanie] Univ Alaska Fairbanks, Water &amp; Environm Res Ctr, Fairbanks, AK USA; [Whitman, Matthew S.; Nigro, D. A.; Fritz, Stacey] Bur Land Management, Arctic Dist Off, Fairbanks, AK USA; [Alexeev, Vladimir A.; Cai, Lei] Univ Alaska Fairbanks, Int Arctic Res Ctr, Fairbanks, AK USA; [Gaedeke, Anne] Potsdam Inst Climate Impact Res, Potsdam, Germany; [Daanen, Ronald] Alaska Dept Nat Resources, Div Geol &amp; Geophys, Fairbanks, AK USA; [Adams, F. J.] US Fish &amp; Wildlife Serv, Fairbanks Fish &amp; Wildlife Conservat Off, Fairbanks, AK USA; [Gaglioti, Benjamin V.] Columbia Univ, Lamont Doherty Earth Observ, Palisades, NY USA; [Grosse, Guido] Alfred Wegener Inst Polar &amp; Marine Res, Inst Earth &amp; Environm Sci, Potsdam, Germany; [Heim, Kurt C.] Montana State Univ, Dept Ecol, Bozeman, MT 59717 USA; [Beaver, John R.] BSA Environm Serv, Beachwood, OH USA; [Uher-Koch, Hannah R.] Univ Alaska Anchorage, Dept Geog &amp; Environm Studies, Anchorage, AK USA</t>
  </si>
  <si>
    <t>University of Alaska System; University of Alaska Fairbanks; University of Alaska System; University of Alaska Fairbanks; Potsdam Institut fur Klimafolgenforschung; United States Department of the Interior; US Fish &amp; Wildlife Service; Columbia University; University of Potsdam; Helmholtz Association; Alfred Wegener Institute, Helmholtz Centre for Polar &amp; Marine Research; Montana State University System; Montana State University Bozeman; University of Alaska System; University of Alaska Anchorage</t>
  </si>
  <si>
    <t>Arp, CD (corresponding author), 1790 Tanana Loop Rd,POB 755910, Fairbanks, AK 99775 USA.</t>
  </si>
  <si>
    <t>cdarp@alaska.edu</t>
  </si>
  <si>
    <t>Grosse, Guido/F-5018-2011; Gädeke, Anne/ABG-9630-2021; alexeev, vladimir/B-2234-2010</t>
  </si>
  <si>
    <t>Grosse, Guido/0000-0001-5895-2141; Gädeke, Anne/0000-0003-0514-2908; alexeev, vladimir/0000-0003-3519-2797; Gaglioti, Benjamin/0000-0003-0591-5253; Cai, Lei/0000-0002-9794-407X; Jones, Benjamin/0000-0002-1517-4711; Engram, Melanie/0000-0002-1144-1827; Arp, Christopher/0000-0002-6485-6225</t>
  </si>
  <si>
    <t>National Science Foundation [OIA-1208927, OPP1417300]; U.S. Fish and Wildlife Service [ALCC2013-02]</t>
  </si>
  <si>
    <t>National Science Foundation(National Science Foundation (NSF)); U.S. Fish and Wildlife Service(US Fish &amp; Wildlife Service)</t>
  </si>
  <si>
    <t>This work was supported by the National Science Foundation [OIA-1208927]; National Science Foundation [OPP1417300]; and U.S. Fish and Wildlife Service [ALCC2013-02].</t>
  </si>
  <si>
    <t>10.1080/15230430.2018.1560839</t>
  </si>
  <si>
    <t>WOS:000486105800002</t>
  </si>
  <si>
    <t>Vucic, JM; Cohen, RS; Gray, DK; Murdoch, AD; Shuvo, A; Sharma, S</t>
  </si>
  <si>
    <t>Vucic, Jasmina M.; Cohen, Rachel S.; Gray, Derek K.; Murdoch, Alyssa D.; Shuvo, Arnab; Sharma, Sapna</t>
  </si>
  <si>
    <t>Young gravel-pit lakes along Canada's Dempster Highway: How do they compare with natural lakes?</t>
  </si>
  <si>
    <t>Gravel pit; borrow pit; water chemistry; zooplankton; macroinvertebrates; Northwest Territories; Dempster Highway; Gwich'in Settlement Area</t>
  </si>
  <si>
    <t>BENTHIC MACROINVERTEBRATES; ZOOPLANKTON COMMUNITIES; SPECIES-DIVERSITY; WATER-QUALITY; COLONIZATION; PERMAFROST; DISPERSAL; PONDS; PHYTOPLANKTON; EXTRAPOLATION</t>
  </si>
  <si>
    <t>Gravel-pit lakes are a common feature of many human-modified landscapes throughout the world. In Canada's north, they are often formed when gravel is extracted to construct dams, bridges, and highways. Past studies suggest that gravel-pit lakes differ from natural lakes in terms of their morphometry, water quality, and biological communities. In this study, we compared gravel-pit and natural lakes by sampling lakes between Inuvik and Fort McPherson in the Northwest Territories. We collected lakemorphometry, water quality, and biological data (zooplankton, macroinvertebrates, and fish presence) from six gravel-pit lakes and fifteen natural lakes. In comparison to natural lakes, gravelpit lakes were four times deeper, two times clearer, and five times smaller in their surface area. In addition, important nutrients, including phosphorus and nitrogen, were significantly lower in gravelpit lakes. Despite the differences in morphometry and nutrients, pelagic zooplankton and littoral macroinvertebrate communities did not differ significantly between the two lake types. Therefore, we conclude that despite their recent formation and unnatural morphometry, gravel-pit lakes along the Dempster Highway can support invertebrate communities typical of natural lakes in the region.</t>
  </si>
  <si>
    <t>[Vucic, Jasmina M.; Cohen, Rachel S.; Gray, Derek K.] Wilfrid Laurier Univ, Dept Biol, Waterloo, ON N2L 3C5, Canada; [Murdoch, Alyssa D.; Shuvo, Arnab; Sharma, Sapna] York Univ, Dept Biol, Toronto, ON, Canada</t>
  </si>
  <si>
    <t>Wilfrid Laurier University; York University - Canada</t>
  </si>
  <si>
    <t>Gray, DK (corresponding author), Wilfrid Laurier Univ, Dept Biol, Waterloo, ON N2L 3C5, Canada.</t>
  </si>
  <si>
    <t>dgray@wlu.ca</t>
  </si>
  <si>
    <t>Sharma, Sapna/0000-0003-4571-2768; Murdoch, Alyssa/0000-0003-0582-6584</t>
  </si>
  <si>
    <t>Northwest Territories Cumulative Impacts Management Program [CIMP197]</t>
  </si>
  <si>
    <t>Northwest Territories Cumulative Impacts Management Program</t>
  </si>
  <si>
    <t>This work was supported by the Northwest Territories Cumulative Impacts Management Program [CIMP197].</t>
  </si>
  <si>
    <t>10.1080/15230430.2019.1565854</t>
  </si>
  <si>
    <t>WOS:000486105800003</t>
  </si>
  <si>
    <t>Wojcik, R; Palmtag, J; Hugelius, G; Weiss, N; Kuhry, P</t>
  </si>
  <si>
    <t>Wojcik, Robin; Palmtag, Juri; Hugelius, Gustaf; Weiss, Niels; Kuhry, Peter</t>
  </si>
  <si>
    <t>Land cover and landform-based upscaling of soil organic carbon stocks on the Brogger Peninsula, Svalbard</t>
  </si>
  <si>
    <t>Permafrost-carbon feedback; Soil organic carbon; Land cover upscaling; Landform upscaling; High Arctic</t>
  </si>
  <si>
    <t>PERMAFROST CARBON; NY-ALESUND; GLACIER FORELAND; VEGETATION; STORAGE; LANDSCAPE; DYNAMICS; ACCUMULATION; UNCERTAINTY; SPITSBERGEN</t>
  </si>
  <si>
    <t>In this study we assess the total storage, landscape distribution, and vertical partitioning of soil organic carbon (SOC) stocks on the Brogger Peninsula, Svalbard. This type of high Arctic area is underrepresented in SOC databases for the northern permafrost region. Physico-chemical, elemental, and radiocarbon (C-14) dating analyses were carried out on thirty-two soil profiles. Results were upscaled using both a land cover classification (LCC) and a landform classification (LFC). Both LCC and LFC approaches provide weighted mean SOC 0-100 cm estimates for the study area of 1.0 +/- 0.3 kg C m(-2) (95% confidence interval) and indicate that about 68 percent of the total SOC storage occurs in the upper 30 cm of the soil, and about 10 percent occurs in the surface organic layer. Furthermore, LCC and LFC upscaling approaches provide similar spatial SOC allocation estimates and emphasize the dominant role of vegetated area (4.2 +/- 1.6 kg C m(-2)) and solifluction slopes (6.7 +/- 3.6 kg C m(-2)) in SOC 0-100 cm storage. LCC and LFC approaches report different and complementary information on the dominant processes controlling the spatial and vertical distribution of SOC in the landscape. There is no evidence for any significant SOC storage in the permafrost layer. We hypothesize, therefore, that the Brogger Peninsula and similar areas of the high Arctic will become net carbon sinks, providing negative feedback on global warming in the future. The surface area that will have vegetation cover and incipient soil development will expand, whereas only small amounts of organic matter will experience increased decomposition due to active-layer deepening.</t>
  </si>
  <si>
    <t>[Wojcik, Robin; Palmtag, Juri; Hugelius, Gustaf; Weiss, Niels; Kuhry, Peter] Stockholm Univ, Dept Phys Geog, S-10691 Stockholm, Sweden; [Wojcik, Robin] GFZ, German Res Ctr Geosci, Sect Interface Geochem, Potsdam, Germany</t>
  </si>
  <si>
    <t>Stockholm University; Helmholtz Association; Helmholtz-Center Potsdam GFZ German Research Center for Geosciences</t>
  </si>
  <si>
    <t>Wojcik, R (corresponding author), Stockholm Univ, Dept Phys Geog, S-10691 Stockholm, Sweden.;Wojcik, R (corresponding author), GFZ, German Res Ctr Geosci, Sect Interface Geochem, Potsdam, Germany.</t>
  </si>
  <si>
    <t>robin.wojcik@gfz-potsdam.de</t>
  </si>
  <si>
    <t>Wojcik, Robin/A-1141-2019; Palmtag, Juri/AAE-4075-2022; Palmtag, Juri/AAA-2964-2019; Hugelius, Gustaf/C-9759-2011</t>
  </si>
  <si>
    <t>Palmtag, Juri/0000-0002-6921-5697; Palmtag, Juri/0000-0002-6921-5697; Hugelius, Gustaf/0000-0002-8096-1594; Weiss, Niels/0000-0001-8905-343X</t>
  </si>
  <si>
    <t>EU-FP7 PAGE21 project [282700]; Nordforsk Nordic Centre of Excellence DEFROST project [23001]; MicroArctic Innovative Training Network grant - European Commissions's Marie Sklodowska Curie Actions program [675546]</t>
  </si>
  <si>
    <t>EU-FP7 PAGE21 project(European Union (EU)); Nordforsk Nordic Centre of Excellence DEFROST project(NordForsk); MicroArctic Innovative Training Network grant - European Commissions's Marie Sklodowska Curie Actions program</t>
  </si>
  <si>
    <t>This work was funded by the EU-FP7 PAGE21 project (grant no 282700) as well as the Nordforsk Nordic Centre of Excellence DEFROST project (grant no 23001). This work was also funded by the MicroArctic Innovative Training Network grant supported by the European Commissions's Marie Sklodowska Curie Actions program under project number 675546. We thank Nikos Lampiris (Stockholm University) and Samuel Faucherre (University of Copenhagen), who participated in the Ny-Alesund fieldwork in 2013, as well as Julia Boike (AWI, Potsdam) and Sarah Chadburn (University of Exeter), who collected an additional soil profile in 2015.</t>
  </si>
  <si>
    <t>10.1080/15230430.2019.1570784</t>
  </si>
  <si>
    <t>WOS:000486105800004</t>
  </si>
  <si>
    <t>Strimbeck, GR; Graae, BJ; Lang, S; Sorensen, MV</t>
  </si>
  <si>
    <t>Strimbeck, G. Richard; Graae, Bente Jessen; Lang, Simone; Sorensen, Mia Vedel</t>
  </si>
  <si>
    <t>Functional group contributions to carbon fluxes in arctic-alpine ecosystems</t>
  </si>
  <si>
    <t>Plant functional groups; carbon sequestration; plant respiration; soil respiration; net ecosystem exchange</t>
  </si>
  <si>
    <t>LITTER DECOMPOSITION RATES; CO2 EXCHANGE; PLANT-GROWTH; DIOXIDE EXCHANGE; CLIMATE-CHANGE; TUNDRA; VEGETATION; SOIL; RESPONSES; RESPIRATION</t>
  </si>
  <si>
    <t>Ongoing responses to climate change in arctic-alpine ecosystems, including the increasing dominance of deciduous shrubs, involve major shifts in plant functional group composition. Because rates of photosynthesis and respiration and their responses to temperature may vary among plant functional groups, a better understanding of their contributions to carbon fluxes will help improve predictions of how ecosystem changes will affect carbon source-sink relations in globally important tundra regions. We used a sequential harvest method to estimate growing season functional group contributions to net ecosystem exchange (NEE), ecosystem respiration (ER), and gross photosynthesis (GP) in alpine heath-, meadow-, and Salix-dominated shrub communities. We also partitioned ER into aboveground and belowground components in all three communities. Belowground efflux was the dominant component of ER in the heath and meadow communities (63 percent and 88 percent of ER, respectively) but contributed only approximately 40 percent of ER in the shrub community. The dominant functional group in each community contributed most to aboveground exchanges. Estimates for cryptogams were uncertain, but indicated a minor role for bryophytes and lichens in overall exchange. The results of our novel method of partitioning gas-exchange measurements suggest strong differences in the relative proportions of soil versus aboveground respiration and in the contributions of different functional groups in the net carbon exchange of three important arctic-alpine community types, with implications for changes in carbon dynamics as these systems respond to environmental change.</t>
  </si>
  <si>
    <t>[Strimbeck, G. Richard; Graae, Bente Jessen; Sorensen, Mia Vedel] Norwegian Univ Sci &amp; Technol, NTNU, Dept Biol, Trondheim, Norway; [Lang, Simone] Univ Ctr Svalbard UNIS, Dept Arctic Biol, Longyearbyen, Norway</t>
  </si>
  <si>
    <t>Norwegian University of Science &amp; Technology (NTNU); University Centre Svalbard (UNIS)</t>
  </si>
  <si>
    <t>Strimbeck, GR (corresponding author), Norwegian Univ Sci &amp; Technol, Dept Biol, Hogskoleringen 5, N-7491 Trondheim, Norway.</t>
  </si>
  <si>
    <t>richard.strimbeck@ntnu.no</t>
  </si>
  <si>
    <t>Lang, Simone/AAE-5730-2020; Lang, Simone Iris/H-9244-2018</t>
  </si>
  <si>
    <t>Sorensen, Mia Vedel/0000-0002-2225-6117; Graae, Bente Jessen/0000-0002-5568-4759; Lang, Simone Iris/0000-0002-6812-2528</t>
  </si>
  <si>
    <t>Norwegian Research Council [230606/E10]</t>
  </si>
  <si>
    <t>Norwegian Research Council(Research Council of Norway)</t>
  </si>
  <si>
    <t>We thank the field team in ECOSHRUB (https://www.ntnu.edu/biology/research/ecology/graae-lab/ecoshrub) for assisting with sampling (Astrid Raunsgaard, Andreas Baele, Pieter de Frenne, Lisa Sandal, Montserrat Badia, Oystein Opedal, Thomas Vanneste) and the Norsk Villreinsenter for logistical support. We also thank Brian J. Enquist and his lab for useful discussions on methodology and The Norwegian Research Council, Norklima project No 230606/E10, for support. Finally, we thank two anonymous reviewers and the editor for valuable comments on the manuscript.</t>
  </si>
  <si>
    <t>10.1080/15230430.2019.1578163</t>
  </si>
  <si>
    <t>WOS:000486105800005</t>
  </si>
  <si>
    <t>Moore, PL; Nelson, LI; Groth, TMD</t>
  </si>
  <si>
    <t>Moore, Peter L.; Nelson, Leah I.; Groth, Theresa M. D.</t>
  </si>
  <si>
    <t>Debris properties and mass-balance impacts on adjacent debris-covered glaciers, Mount Rainier, USA</t>
  </si>
  <si>
    <t>Debris-covered glacier; glacier; mass balance; Mount Rainier; remote sensing</t>
  </si>
  <si>
    <t>SUPRAGLACIAL DEBRIS; BALTORO GLACIER; ICE MELT; THICKNESS; ABLATION; WASHINGTON; HIMALAYA; CLIMATE; FLUCTUATIONS; TERRESTRIAL</t>
  </si>
  <si>
    <t>The north and east slopes of Mount Rainier, Washington, are host to three of the largest glaciers in the contiguous United States: Carbon Glacier, Winthrop Glacier, and Emmons Glacier. Each has an extensive blanket of supraglacial debris on its terminus, but recent work indicates that each has responded to late twentieth-and early twenty-first-century climate changes in a different way. While Carbon Glacier has thinned and retreated since 1970, Winthrop Glacier has remained steady and Emmons Glacier has thickened and advanced. There are several possible climatic and dynamic factors that can account for some of these disparities, but differences in supraglacial debris properties and distribution have not been systematically evaluated. We combine field measurements and satellite remote sensing analysis from a 10-day period in the 2014 melt season to estimate both the debris thickness distribution and key debris thermal properties on Emmons Glacier. A simplified energy-balance model was then used with debris surface temperatures derived from Landsat 8 thermal infrared bands to estimate the distribution of debris across all three debris-covered termini. The results suggest that differences in summer balance among these glaciers can be partly explained by differences in the thermal resistance of their debris mantles.</t>
  </si>
  <si>
    <t>[Moore, Peter L.] Iowa State Univ, Dept Nat Resource Ecol &amp; Management, 339 Sci 2, Ames, IA 50011 USA; [Nelson, Leah I.] Carleton Coll, Geol Dept, Northfield, MN 55057 USA; [Groth, Theresa M. D.] Iowa State Univ, Dept Geol &amp; Atmospher Sci, Ames, IA USA; [Nelson, Leah I.] Univ Minnesota, Dept Earth Sci, Minneapolis, MN USA</t>
  </si>
  <si>
    <t>Iowa State University; Carleton College; Iowa State University; University of Minnesota System; University of Minnesota Twin Cities</t>
  </si>
  <si>
    <t>Moore, PL (corresponding author), Iowa State Univ, Dept Nat Resource Ecol &amp; Management, 339 Sci 2, Ames, IA 50011 USA.</t>
  </si>
  <si>
    <t>pmoore@iastate.edu</t>
  </si>
  <si>
    <t>Moore, Peter/0000-0002-9523-6141</t>
  </si>
  <si>
    <t>NSF-EAR [1225880]; Carleton College Fund for Environmental Research; Division Of Earth Sciences; Directorate For Geosciences [1225880] Funding Source: National Science Foundation</t>
  </si>
  <si>
    <t>NSF-EAR(National Science Foundation (NSF)); Carleton College Fund for Environmental Research; Division Of Earth Sciences; Directorate For Geosciences(National Science Foundation (NSF)NSF - Directorate for Geosciences (GEO))</t>
  </si>
  <si>
    <t>This work was supported by NSF-EAR 1225880 to P.L.M., and Carleton College Fund for Environmental Research to L.I.N.</t>
  </si>
  <si>
    <t>10.1080/15230430.2019.1582269</t>
  </si>
  <si>
    <t>WOS:000486105800006</t>
  </si>
  <si>
    <t>Dee, JR; Stambaugh, MC</t>
  </si>
  <si>
    <t>Dee, Justin R.; Stambaugh, Michael C.</t>
  </si>
  <si>
    <t>A new approach towards climate monitoring in Rocky Mountain alpine plant communities: A case study using herb-chronology and Penstemon whippleanus</t>
  </si>
  <si>
    <t>Alpine; climate change; herb-chronology; mean interseries correlation</t>
  </si>
  <si>
    <t>ANNUAL RINGS; PERENNIAL FORBS; CENTRAL ALPS; GROWTH; RESPONSES; ROOTS; WATER; TEMPERATURE; VEGETATION; STORAGE</t>
  </si>
  <si>
    <t>The alpine ecosystem of the Rocky Mountains is experiencing significant increases in growing season length, summer maximum temperatures, and shifting patterns in precipitation. Alpine herbs are specifically sensitive to these changes. Biomass accumulation and reproductive effort are often negatively affected by elevated temperatures and earlier snowmelt. Here, we assess the use of herb-chronology, the study of annual growth rings in the woody underground organs, to retroactively monitor effects of monthly to seasonal climate on growth of the alpine forb species Penstemon whippleanus. We explored methods for building the strongest growth chronology possible by comparing the mean interseries correlations (MICs) of the whole population to that of groupings by cohorts, spatial locations, and random groupings using a permutation procedure. MIC for the whole population was low (0.034). Our permutation grouping performed best, producing a maximum MIC of 0.263. Using the permutation-derived chronology (2008-2015), we found significant decrease in growth with increased maximum temperatures in July, decreased May rainfall, increased drought between April and August, and lower minimum temperatures in September. Herb-chronology proved useful for understanding growth dynamics with climate in this alpine system; expanding this practice to similar systems could elucidate unknown effects of shifting climate on annual growth of alpine herbaceous species.</t>
  </si>
  <si>
    <t>[Dee, Justin R.; Stambaugh, Michael C.] Univ Missouri, Sch Nat Resources, Missouri Tree Ring Lab, 203 ABNR Bldg, Columbia, MO 65211 USA</t>
  </si>
  <si>
    <t>University of Missouri System; University of Missouri Columbia</t>
  </si>
  <si>
    <t>Dee, JR (corresponding author), Univ Missouri, Sch Nat Resources, Missouri Tree Ring Lab, 203 ABNR Bldg, Columbia, MO 65211 USA.</t>
  </si>
  <si>
    <t>deejr@missouri.edu</t>
  </si>
  <si>
    <t>dee, justin/0000-0002-2661-2959</t>
  </si>
  <si>
    <t>10.1080/15230430.2019.1585173</t>
  </si>
  <si>
    <t>WOS:000486105800007</t>
  </si>
  <si>
    <t>Andrews, JT; Jónsdóttir, I; Geirsdóttir, A</t>
  </si>
  <si>
    <t>Andrews, John T.; Jonsdottir, Ingibjorg; Geirsdottir, Aslaug</t>
  </si>
  <si>
    <t>Tracking Holocene drift-ice limits on the northwest-southwest Iceland shelf: Comparing proxy data with observation and historical evidence</t>
  </si>
  <si>
    <t>Iceland; sea ice; icebergs; drift ice; quartz weight percent; Holocene</t>
  </si>
  <si>
    <t>SEA-ICE; EAST GREENLAND; ARCTIC-OCEAN; NORTHEAST GREENLAND; DELTA-O-18 RECORDS; SURFACE SEDIMENTS; MAIN SOURCE; ATLANTIC; CLIMATE; VARIABILITY</t>
  </si>
  <si>
    <t>We detail variations in the weight percent (wt%) of quartz, a proxy for drift ice, in fifteen marine sediment cores from the northwest, west, and southwest Iceland shelf throughout the past 10 cal ka BP. We present the first map of iceberg distributions in Iceland waters between 1983 and 2011 and a new compilation of sea-ice records in the century from 850 to 1950 CE. The wt% of quartz, determined by quantitative X-ray diffraction (qXRD) analysis, is used to evaluate changes in the importation of drift ice. Small wt% of quartz were added to milled basalt (0% quartz), and to a mixture of non-clay and clay minerals; the qXRD method replicated 0 percent quartz, while measured 1-3 percent quartz always resulted in a presence estimate. The outer sites in the northwest sector lie close to the average position of the sea-ice margin between 1870 and 1920 CE; the southwest shelf sites lie south of this limit. Transects of cores along the Hunafloi and Djupall troughs indicate that the traces of drift ice decrease rapidly landward from the outer sites. The cores from the west/southwest of Iceland have limited amounts of quartz, generally possibly limited incursions of drift ice.</t>
  </si>
  <si>
    <t>[Andrews, John T.] Univ Colorado, Inst Arctic &amp; Alpine Res INSTAAR, Boulder, CO 80309 USA; [Andrews, John T.] Univ Colorado, Dept Geol Sci, Boulder, CO 80309 USA; [Jonsdottir, Ingibjorg; Geirsdottir, Aslaug] Univ Iceland, Fac Earth Sci, Reykjavik, Iceland</t>
  </si>
  <si>
    <t>University of Colorado System; University of Colorado Boulder; University of Colorado System; University of Colorado Boulder; University of Iceland</t>
  </si>
  <si>
    <t>Andrews, JT (corresponding author), Univ Iceland, Dept Earth Sci, Sturlugata 7, IS-101 Reykjavik, Iceland.</t>
  </si>
  <si>
    <t>andrewsj@colorado.edu</t>
  </si>
  <si>
    <t>Geirsdóttir, Áslaug/L-3267-2015</t>
  </si>
  <si>
    <t>Geirsdóttir, Áslaug/0000-0003-3125-0195; Andrews, John Thomas/0000-0003-3169-5979</t>
  </si>
  <si>
    <t>Iceland Marine Institute; NSF [ATM-9531397]; NSF-OCE; Icelandic Research Center (RANNIS); RANNIS</t>
  </si>
  <si>
    <t>Iceland Marine Institute; NSF(National Science Foundation (NSF)); NSF-OCE(National Science Foundation (NSF)NSF - Directorate for Geosciences (GEO)); Icelandic Research Center (RANNIS); RANNIS</t>
  </si>
  <si>
    <t>JTA acknowledges the support of the National Science Foundation for much of the qXRD data reported here. Wendy Roth is acknowledged for her assistance in the XRD Laboratory and several undergraduate research assistants have throughout the years been extremely helpful in running samples from the cores used in this study. Cruise B997 was supported by the Iceland Marine Institute and NSF grant ATM-9531397 and the MD99 Marion Dufresne cruise was in part supported by NSF-OCE and by The Icelandic Research Center (RANNIS). RANNIS supported the Icelandic research on MD99-2264 and MD99-2269. We thank the editor Dr. Anne E. Jennings, Dr. John Jaeger, and two other reviewers for the time and effort in making substantive recommendations for the improvement of the article.</t>
  </si>
  <si>
    <t>10.1080/15230430.2019.1592648</t>
  </si>
  <si>
    <t>WOS:000486105800008</t>
  </si>
  <si>
    <t>Sorensen, MV; Graae, BJ; Classen, A; Enquist, BJ; Strimbeck, R</t>
  </si>
  <si>
    <t>Sorensen, Mia Vedel; Graae, Bente Jessen; Classen, Aimee; Enquist, Brian J.; Strimbeck, Richard</t>
  </si>
  <si>
    <t>Drivers of C cycling in three arctic-alpine plant communities</t>
  </si>
  <si>
    <t>Gross ecosystem photosynthesis; respiration; shrub expansion; plant functional traits; enzyme activity</t>
  </si>
  <si>
    <t>FUNCTIONAL TRAITS; LITTER DECOMPOSITION; CARBON SEQUESTRATION; MYCORRHIZAL FUNGI; NATURAL-ABUNDANCE; CLIMATE-CHANGE; ECOSYSTEM CO2; TUNDRA; RESPONSES; SHRUB</t>
  </si>
  <si>
    <t>Recent vegetation changes in arctic-alpine tundra ecosystems may affect several ecosystem processes that regulate microbe and soil functions. Such changes can alter ecosystem carbon (C) cycling with positive feedback to the atmosphere if plant C uptake is less than the amount of soil C released. Here, we examine how differences in plant functional traits, microbial activity, and soil processes within and across Salix-dominated shrub, dwarf shrub-dominated heath, and herb- and cryptogam-dominated meadow communities influence C cycling. We develop a hypothesized framework based on a priori model selection of variation in daytime growing season gross ecosystem photosynthesis (GEP) and above-and belowground respiration. The fluxes were standardized to light and temperature. Gross ecosystem photosynthesis was primarily related to soil moisture and secondarily to plant functional traits and aboveground biomass, and belowground respiration was dependent on the community weighted mean of specific leaf area (SLA(CWM)). Similarly, microbial activity was linked with SLA(CWM) and was highest in meadows, and carbon-degrading microbial activity decreased with vegetation woodiness. These results suggest that shrub expansion may influence summer C cycling differently depending on plant community, as belowground respiration might increase in the heath and decrease in the meadow communities.</t>
  </si>
  <si>
    <t>[Sorensen, Mia Vedel; Graae, Bente Jessen; Strimbeck, Richard] Norwegian Univ Sci &amp; Technol, NTNU, Dept Biol, Trondheim, Norway; [Classen, Aimee] Univ Vermont, Grund Inst Environm, Burlington, VT USA; [Enquist, Brian J.] Univ Arizona, Dept Ecol &amp; Evolutionary Biol, BioSci West, Tucson, AZ USA; [Enquist, Brian J.] Santa Fe Inst, Santa Fe, NM 87501 USA</t>
  </si>
  <si>
    <t>Norwegian University of Science &amp; Technology (NTNU); University of Vermont; University of Arizona; The Santa Fe Institute</t>
  </si>
  <si>
    <t>Sorensen, MV (corresponding author), Norwegian Univ Sci &amp; Technol, NTNU, Dept Biol, Trondheim, Norway.</t>
  </si>
  <si>
    <t>miavedelsorensen@gmail.com</t>
  </si>
  <si>
    <t>Classen, Aimee T/C-4035-2008; Classen, Aimee T/AAM-5671-2021; Enquist, Brian J/B-6436-2008</t>
  </si>
  <si>
    <t>Classen, Aimee T/0000-0002-6741-3470; Classen, Aimee T/0000-0002-6741-3470; Enquist, Brian J/0000-0002-6124-7096; Graae, Bente Jessen/0000-0002-5568-4759; Sorensen, Mia Vedel/0000-0002-2225-6117</t>
  </si>
  <si>
    <t>Department of Biology, NTNU; I.K. Lykkes fond; Nansenfondet; Norwegian Research Council [23060/E10]</t>
  </si>
  <si>
    <t>Department of Biology, NTNU; I.K. Lykkes fond; Nansenfondet; Norwegian Research Council(Research Council of Norway)</t>
  </si>
  <si>
    <t>This work was supported by a PhD fellowship from Department of Biology, NTNU; I.K. Lykkes fond; Nansenfondet; The Norwegian Research Council under Grant 23060/E10; and a Strategic PhD travel grant from Department of Biology, NTNU.</t>
  </si>
  <si>
    <t>10.1080/15230430.2019.1592649</t>
  </si>
  <si>
    <t>WOS:000486105800010</t>
  </si>
  <si>
    <t>Martin, J; Schorghofer, N; Yoshikawa, K; Klasner, FL</t>
  </si>
  <si>
    <t>Martin, Jake; Schorghofer, Norbert; Yoshikawa, Kenji; Klasner, Frederick L.</t>
  </si>
  <si>
    <t>Snow cover in Hawai'i (1893-1953) and its effect on ground temperature</t>
  </si>
  <si>
    <t>Historical snow cover; Maunakea; Hawai'i; permafrost</t>
  </si>
  <si>
    <t>Snow occasionally falls on the highest mountains of tropical Hawai'i: Maunakea, Maunaloa, Haleakala, and Hualalai. We digitized and analyzed monthly Weather Bureau records of snow in Hawai'i from 1893 to 1972. In the half-century 1901-1950, Maunakea had an estimated average of one month of snow cover per year. Snow was especially abundant from 1922 to 1940, but was relatively rare from 1908 to 1921. Snow cover may play a role in the formation and preservation of permafrost. MODIS satellite data are used to measure the albedo of the snow surface as a function of its age. Following winters with snow, the ground temperature at 1 m depth is lower than after a winter without significant snow cover, and hence snow cover favors permafrost conditions.</t>
  </si>
  <si>
    <t>[Martin, Jake] Princeton Univ, Dept Geosci, Princeton, NJ 08544 USA; [Schorghofer, Norbert] Planetary Sci Inst, Honolulu, HI 96822 USA; [Yoshikawa, Kenji] Univ Alaska, Water &amp; Environm Res Ctr, Fairbanks, AK 99701 USA; [Klasner, Frederick L.] Off Maunakea Management, Hilo, HI USA</t>
  </si>
  <si>
    <t>Princeton University; University of Alaska System; University of Alaska Fairbanks</t>
  </si>
  <si>
    <t>Schorghofer, N (corresponding author), Planetary Sci Inst, Honolulu, HI 96822 USA.</t>
  </si>
  <si>
    <t>norbert@psi.edu</t>
  </si>
  <si>
    <t>Schorghofer, Norbert/A-1194-2007</t>
  </si>
  <si>
    <t>Yoshikawa, Kenji/0000-0001-5935-2041; Klasner, Frederick/0000-0002-7615-495X; Schorghofer, Norbert/0000-0002-5821-4066</t>
  </si>
  <si>
    <t>Office of Maunakea Management</t>
  </si>
  <si>
    <t>This work was supported by the Office of Maunakea Management.</t>
  </si>
  <si>
    <t>10.1080/15230430.2019.1600963</t>
  </si>
  <si>
    <t>WOS:000486105800011</t>
  </si>
  <si>
    <t>Feng, YQ; Liang, SH; Kuang, XX; Wang, GJ; Wang, XS; Wu, P; Wan, L; Wu, QB</t>
  </si>
  <si>
    <t>Feng, Yuqing; Liang, Sihai; Kuang, Xingxing; Wang, Guangjun; Wang, Xu-Sheng; Wu, Pan; Wan, Li; Wu, Qingbai</t>
  </si>
  <si>
    <t>Effect of climate and thaw depth on alpine vegetation variations at different permafrost degrading stages in the Tibetan Plateau, China</t>
  </si>
  <si>
    <t>Permafrost degradation; maximum thawing depth; NDVI; Tibetan Plateau</t>
  </si>
  <si>
    <t>SOURCE REGION; YELLOW-RIVER; PRECIPITATION; DYNAMICS; IMPACTS; DEGRADATION; TEMPERATURE; COVER; MODEL; PRODUCTIVITY</t>
  </si>
  <si>
    <t>Understanding the driving forces for alpine vegetation variations at different permafrost degrading stages is important when the Tibetan Plateau is experiencing climate warming. We applied the modified Frost Number model to simulate frozen ground distributions in the Tibetan Plateau and calculated the maximum thawing depth by the Stefan approach. We classified the simulated frozen ground into three subzones: seasonal frozen ground zone, changing zone, and permafrost zone. We evaluated the effects of precipitation, air temperature, and maximum thawing depth on Normalized Difference Vegetation Index (NDVI) in the subzones across five different stages from 1982 to 2012. The results show that permafrost zone, changing zone, and seasonal frozen ground zone account for about 30.6 percent, 23.3 percent, and 46.1 percent of the study area, respectively. Over the five stages, permafrost areas decreased at fast, slow, fastest, and then slowest rate from stage1 to stage 5, and the large continuous permafrost area has been degraded into pieces. Precipitation is strongly correlated with NDVI and contributes most 'to the changes of NDVI. Maximum thawing depth and particularly air temperature show a much smaller correlation and contribute less to the variation rate of NDVI. The findings will have broad applications in investigating the impact of climate and environment changes on alpine vegetation variations in the Tibetan Plateau.</t>
  </si>
  <si>
    <t>[Feng, Yuqing; Liang, Sihai; Wang, Xu-Sheng; Wu, Pan; Wan, Li] China Univ Geosci Beijing, Sch Water Resources &amp; Environm, 29 Xueyuan Rd, Beijing 100083, Peoples R China; [Kuang, Xingxing] Southern Univ Sci &amp; Technol, Sch Environm Sci &amp; Engn, Guangdong Prov Key Lab Soil &amp; Groundwater Pollut, Shenzhen 518055, Peoples R China; [Wang, Guangjun] China Univ Geosci Beijing, Sch Land Sci &amp; Technol, Beijing, Peoples R China; [Wu, Qingbai] Chinese Acad Sci, Cold &amp; Arid Reg Environm &amp; Engn Res Inst, Lanzhou, Gansu, Peoples R China</t>
  </si>
  <si>
    <t>China University of Geosciences; Southern University of Science &amp; Technology; China University of Geosciences; Chinese Academy of Sciences; Cold &amp; Arid Regions Environmental &amp; Engineering Research Institute, CAS</t>
  </si>
  <si>
    <t>Liang, SH (corresponding author), China Univ Geosci Beijing, Sch Water Resources &amp; Environm, 29 Xueyuan Rd, Beijing 100083, Peoples R China.;Kuang, XX (corresponding author), Southern Univ Sci &amp; Technol, Sch Environm Sci &amp; Engn, Guangdong Prov Key Lab Soil &amp; Groundwater Pollut, Shenzhen 518055, Peoples R China.</t>
  </si>
  <si>
    <t>liangsh@cugb.edu.cn; kuangxx@sustech.edu.cn</t>
  </si>
  <si>
    <t>Kuang, Xingxing/F-6080-2019; Wan, Li-Jun/R-7839-2016; Feng, Yuqing/IRZ-0718-2023; Luo, Dongliang/Q-9637-2016</t>
  </si>
  <si>
    <t>Luo, Dongliang/0000-0001-5844-3638; WANG, Guangjun/0000-0002-5838-8496; Wang, Xu-Sheng/0000-0001-8736-2378; Feng, Yuqing/0000-0002-3865-2640; Wu, Pan/0000-0001-5696-1597</t>
  </si>
  <si>
    <t>Strategic Priority Research Program of Chinese Academy of Sciences [XDA20100103]; National Natural Science Foundation of China [NSFC 91747204, 41330634, 41072191]; Fundamental Research Funds for the Central Universities; Guangdong Provincial Key Laboratory of Soil and Groundwater Pollution Control [2017B030301012]</t>
  </si>
  <si>
    <t>Strategic Priority Research Program of Chinese Academy of Sciences(Chinese Academy of Sciences); National Natural Science Foundation of China(National Natural Science Foundation of China (NSFC)); Fundamental Research Funds for the Central Universities(Fundamental Research Funds for the Central Universities); Guangdong Provincial Key Laboratory of Soil and Groundwater Pollution Control</t>
  </si>
  <si>
    <t>This work was supported by the Strategic Priority Research Program of Chinese Academy of Sciences [XDA20100103] the National Natural Science Foundation of China (NSFC 91747204, 41330634, and 41072191), the Fundamental Research Funds for the Central Universities, and the Guangdong Provincial Key Laboratory of Soil and Groundwater Pollution Control (No. 2017B030301012).</t>
  </si>
  <si>
    <t>10.1080/15230430.2019.1605798</t>
  </si>
  <si>
    <t>WOS:000486105800012</t>
  </si>
  <si>
    <t>Mourey, J; Marcuzzi, M; Ravanel, L; Pallandre, F</t>
  </si>
  <si>
    <t>Mourey, Jacques; Marcuzzi, Melanie; Ravanel, Ludovic; Pallandre, Francois</t>
  </si>
  <si>
    <t>Effects of climate change on high Alpine mountain environments: Evolution of mountaineering routes in the Mont Blanc massif (Western Alps) over half a century</t>
  </si>
  <si>
    <t>Mountaineering; high mountain itineraries; climate change effects; Mont Blanc massif</t>
  </si>
  <si>
    <t>FRENCH ALPS; ROCK WALL; GLACIER RECESSION; HANGING GLACIER; ICE AVALANCHES; EUROPEAN ALPS; PERMAFROST; IMPACTS; MORAINE; BALANCE</t>
  </si>
  <si>
    <t>In high alpine environments, glacial shrinkage and permafrost warming due to climate change have significant consequences on mountaineering routes. Few research projects have studied the relationship between climate change and mountaineering; this study attempts to characterize and explain the evolution over the past 40 years of the routes described in The Mont Blanc Massif: The 100 Finest Routes, Gaston Rebuffat's emblematic guidebook, published in 1973. The main elements studied were the geomorphic and cryospheric changes at work and their impacts on the itinerary's climbing parameters, determining the manner and possibility for an itinerary to be climbed. Thirty-one interviews, and comparison with other guidebooks, led to the identification of 25 geomorphic and cryospheric changes related to climate change that are affecting mountaineering itineraries. On average, an itinerary has been affected by nine changes. Among the 95 itineraries studied, 93 have been affected by the effects of climate change - 26 of them have been greatly affected; and three no longer exist. Moreover, periods during which these itineraries can be climbed in good conditions in summer have tended to become less predictable and periods of optimal conditions have shifted toward spring and fall, because the itineraries have become more dangerous and technically more challenging.</t>
  </si>
  <si>
    <t>[Mourey, Jacques; Marcuzzi, Melanie; Ravanel, Ludovic] Univ Savoie Mt Blanc, CNRS, EDYTEM, Univ Grenoble Alpes, F-73000 Chambery, France; [Marcuzzi, Melanie] Univ Grenoble Alpes, Inst Geog Alpine, CNRS, PACTE, Grenoble, France; [Marcuzzi, Melanie; Pallandre, Francois] Ecole Natl Ski &amp; Alpinisme, Ecole Natl Sports Montagne, Chamonix Mt Blanc, France</t>
  </si>
  <si>
    <t>Communaute Universite Grenoble Alpes; Universite Grenoble Alpes (UGA); Centre National de la Recherche Scientifique (CNRS); Universite Savoie Mont Blanc; Centre National de la Recherche Scientifique (CNRS); Communaute Universite Grenoble Alpes; Universite Grenoble Alpes (UGA)</t>
  </si>
  <si>
    <t>Mourey, J (corresponding author), Univ Savoie Mt Blanc, CNRS, EDYTEM, Univ Grenoble Alpes, F-73000 Chambery, France.</t>
  </si>
  <si>
    <t>jacques.mourey@univ-smb.fr</t>
  </si>
  <si>
    <t>Mourey, Jacques/0000-0002-3717-8553</t>
  </si>
  <si>
    <t>EU ALOCTRA project AdaPT Mont Blanc</t>
  </si>
  <si>
    <t>The authors thank the personnel of the ENSA library for making the library and all its resources available to us and Neil Brodie, professor at ENSA, for the English language editing. This study was funded by the EU ALOCTRA project AdaPT Mont Blanc. Finally, we gratefully thank the anonymous reviewers and the editor for their constructive comments on the manuscript.</t>
  </si>
  <si>
    <t>10.1080/15230430.2019.1612216</t>
  </si>
  <si>
    <t>WOS:000486105800013</t>
  </si>
  <si>
    <t>Vimercati, L; Solon, AJ; Krinsky, A; Arán, P; Porazinska, DL; Darcy, JL; Dorador, C; Schmidt, SK</t>
  </si>
  <si>
    <t>Vimercati, Lara; Solon, Adam J.; Krinsky, Alexandra; Aran, Pablo; Porazinska, Dorota L.; Darcy, John L.; Dorador, Cristina; Schmidt, Steven K.</t>
  </si>
  <si>
    <t>Nieves penitentes are a new habitat for snow algae in one of the most extreme high-elevation environments on Earth</t>
  </si>
  <si>
    <t>Snow algae; astrobiology; nieves penitentes; aeolian zone; psychrophiles</t>
  </si>
  <si>
    <t>MICROBIAL PHOTOTROPHS; ULTRASTRUCTURE; COMMUNITIES; DIVERSITY; GLACIER; MICROORGANISMS; BIOGEOGRAPHY; CHLOROPHYTA; VOLVOCALES; PHYLOGENY</t>
  </si>
  <si>
    <t>Nieves penitentes are pinnacle-shaped ice structures found at high elevations in the dry Andes. Here we report, using molecular and microscopic approaches, the first description of snow algae communities inhabiting penitente ice at 5,277 m a.s.l., demonstrating a new habitat for snow algae in one of the most extreme environments on Earth. Red ice patches on penitentes contained a microbial community dominated by algae in the genera Chlamydomonas and Chloromonas, both of which were closely related to known snow algae from alpine and polar environments. In contrast, we obtained few snow algae sequences from clear ice, but we did find cyanobacteria sequences and evidence of aeolian-deposited organic matter. Tephra (soil) within and just downhill from the penitente field hosted more complex bacterial and eukaryotic communities that were significantly different from ice communities in terms of both alpha and beta diversity. In this environment penitentes provide both water and shelter from harsh winds, high UV radiation, and thermal fluctuations, creating an oasis in an otherwise extreme landscape. Intriguingly, recent planetary investigations have suggested the existence of penitente-like structures on other planetary bodies of our solar system. Therefore, penitentes and the harsh environment that surrounds them provide a new terrestrial analog for astrobiological studies of life beyond Earth.</t>
  </si>
  <si>
    <t>[Vimercati, Lara; Solon, Adam J.; Krinsky, Alexandra; Schmidt, Steven K.] Univ Colorado, Dept Ecol &amp; Evolutionary Biol, Boulder, CO 80309 USA; [Aran, Pablo; Dorador, Cristina] Univ Antofagasta, Lab Complejidad Microbiana &amp; Ecol Func, Inst Antofagasta, Antofagasta, Chile; [Aran, Pablo; Dorador, Cristina] Univ Antofagasta, Ctr Biotechnol &amp; Bioengn CeBiB, Antofagasta, Chile; [Aran, Pablo; Dorador, Cristina] Univ Antofagasta, Dept Biotecnol, Fac Ciencias Mar &amp; Recursos Biol, Antofagasta, Chile; [Porazinska, Dorota L.] Univ Florida, Dept Entomol &amp; Nematol, Gainesville, FL 32611 USA; [Darcy, John L.] Univ Colorado, Dept Med, Denver, CO USA</t>
  </si>
  <si>
    <t>University of Colorado System; University of Colorado Boulder; Universidad de Antofagasta; Universidad de Antofagasta; Universidad de Antofagasta; State University System of Florida; University of Florida; University of Colorado System; University of Colorado Anschutz Medical Campus; University of Colorado Denver</t>
  </si>
  <si>
    <t>Schmidt, SK (corresponding author), Univ Colorado, Dept Ecol &amp; Evolutionary Biol, Boulder, CO 80309 USA.</t>
  </si>
  <si>
    <t>steve.schmidt@colorado.edu</t>
  </si>
  <si>
    <t>Vimercati, Lara/AAB-1139-2020; SCHMIDT, STEVEN K/G-2771-2010</t>
  </si>
  <si>
    <t>Dorador, Cristina/0000-0002-7641-2154; SCHMIDT, STEVEN K/0000-0002-9175-2085</t>
  </si>
  <si>
    <t>National Science Foundation [DEB-1258160]; National Geographic Society; U.S. Air Force [FA9550-14-1-0006]</t>
  </si>
  <si>
    <t>National Science Foundation(National Science Foundation (NSF)); National Geographic Society(National Geographic Society); U.S. Air Force</t>
  </si>
  <si>
    <t>This work was supported by the National Science Foundation (DEB-1258160); National Geographic Society (not applicable); U.S. Air Force (FA9550-14-1-0006).</t>
  </si>
  <si>
    <t>10.1080/15230430.2019.1618115</t>
  </si>
  <si>
    <t>WOS:000486105800014</t>
  </si>
  <si>
    <t>Oldfather, MF; Ackerly, DD</t>
  </si>
  <si>
    <t>Oldfather, Meagan F.; Ackerly, David D.</t>
  </si>
  <si>
    <t>Increases in thermophilus plants in an arid alpine community in response to experimental warming</t>
  </si>
  <si>
    <t>Alpine; arid; climate change; community climatic niche; thermophilization</t>
  </si>
  <si>
    <t>CLIMATE-CHANGE; POSITIVE INTERACTIONS; MOUNTAIN SUMMITS; WHITE MOUNTAINS; RANGE LIMITS; VEGETATION; SHIFTS; ELEVATION; MECHANISMS; DIVERSITY</t>
  </si>
  <si>
    <t>A warming climate has been shown to drive thermophilization-shifts in species abundance toward those adapted to warm and dry conditions. The community dynamics shaping this process have been proposed to vary between temperature-limited alpine plant communities and those that are both temperature and moisture limited. In nine sites across the xeric alpine zone in the White Mountains, California, USA, we experimentally increased summertime temperature and precipitation for three seasons and quantified community responses with a climatic niche analysis. We asked if thermophilization occurred in response to experimental heating, and if this effect was ameliorated by experimental watering. Under experimentally warmer conditions, we found no change in the mean community-weighted climatic niche (CCN); however, thermophilization of this community was observed based on a shift in the seventy-fifth percentile of the CCN and an increase in the proportional abundance of the hottest, driest adapted species. In addition, total vegetation abundance increased and species richness decreased with heating. Experimental watering did not ameliorate these effects of heating. Together, these results suggest that warming in arid alpine areas may result in less diverse plant communities dominated by hot, dry associated species, although short-term responses may be limited because of community lags.</t>
  </si>
  <si>
    <t>[Oldfather, Meagan F.; Ackerly, David D.] Univ Calif Berkeley, Dept Integrat Biol, Berkeley, CA 94720 USA; [Oldfather, Meagan F.] Univ Colorado, Dept Ecol &amp; Evolutionary Biol, Boulder, CO 80309 USA; [Ackerly, David D.] Univ Calif Berkeley, Jepson Herbarium, Berkeley, CA 94720 USA</t>
  </si>
  <si>
    <t>University of California System; University of California Berkeley; University of Colorado System; University of Colorado Boulder; University of California System; University of California Berkeley</t>
  </si>
  <si>
    <t>Oldfather, MF (corresponding author), Univ Calif Berkeley, Dept Integrat Biol, Berkeley, CA 94720 USA.</t>
  </si>
  <si>
    <t>meagan.oldfather@colorado.edu</t>
  </si>
  <si>
    <t>Oldfather, Meagan/0000-0003-3256-4786</t>
  </si>
  <si>
    <t>National Science Foundation Division of Graduate Education [DGE-1106400]; University of California Natural Reserve System; UC NRS White Mountain Research Station</t>
  </si>
  <si>
    <t>National Science Foundation Division of Graduate Education(National Science Foundation (NSF)); University of California Natural Reserve System; UC NRS White Mountain Research Station</t>
  </si>
  <si>
    <t>This work was supported by the National Science Foundation Division of Graduate Education (DGE-1106400); University of California Natural Reserve System; UC NRS White Mountain Research Station.</t>
  </si>
  <si>
    <t>10.1080/15230430.2019.1618148</t>
  </si>
  <si>
    <t>WOS:000486105800015</t>
  </si>
  <si>
    <t>Berauer, BJ; Wilfahrt, PA; Arfin-Khan, MAS; Eibes, P; Von Hessberg, A; Ingrisch, J; Schloter, M; Schuchardt, MA; Jentsch, A</t>
  </si>
  <si>
    <t>Berauer, Bernd Josef; Wilfahrt, Peter A.; Arfin-Khan, Mohammed A. S.; Eibes, Pia; Von Hessberg, Andreas; Ingrisch, Johannes; Schloter, Michael; Schuchardt, Max A.; Jentsch, Anke</t>
  </si>
  <si>
    <t>Low resistance of montane and alpine grasslands to abrupt changes in temperature and precipitation regimes</t>
  </si>
  <si>
    <t>Alpine; climate manipulation experiment; community ecology; elevational gradient; grasslands; resistance</t>
  </si>
  <si>
    <t>PLANT-PLANT INTERACTIONS; CLIMATE-CHANGE; SPECIES RICHNESS; NEIGHBOR INTERACTIONS; LITTER DECOMPOSITION; MOUNTAIN PLANTS; BETA DIVERSITY; EUROPEAN ALPS; VEGETATION; RESPONSES</t>
  </si>
  <si>
    <t>High-elevation ecosystems will experience increasing periods of above-average warmth and altered precipitation changes because of climate change. This causes uncertainties for community properties such as productivity and biodiversity. Increasing temperature may increase productivity by increasing growing season length and metabolic rate or decrease productivity by causing drought stress. Competitive outcomes between species may change with altered climatic conditions, causing shifts in community composition. This study investigates the resistance of above-ground biomass and plant community composition of montane and alpine grassland ecosystems to abruptly altered temperature and precipitation conditions. Intact plant-soil communities were translocated downslope spanning an elevational gradient of 2,090 m in the European Alps. We hypothesize that increasing temperature leads to (1) increased aboveground biomass in the absence of precipitation deficits, (2) decreased species richness, and (3) shifts in plant community composition. After one year of exposure to their new environment, aboveground biomass changes appeared to be dependent on precipitation regimes, whereas species richness declined consistently with changed climatic conditions. No deterministic shift in community composition was found. Abrupt changes in climatic conditions can lead to rapid responses of community properties, indicating that these high-elevation communities may have low initial resistance to future heat waves and droughts.</t>
  </si>
  <si>
    <t>[Berauer, Bernd Josef; Wilfahrt, Peter A.; Arfin-Khan, Mohammed A. S.; Eibes, Pia; Von Hessberg, Andreas; Schuchardt, Max A.; Jentsch, Anke] Univ Bayreuth, Dept Disturbance Ecol, BayCEER, Univ Str 30, D-95447 Bayreuth, Germany; [Arfin-Khan, Mohammed A. S.] Shahjalal Univ Sci &amp; Technol, Dept Forestry &amp; Environm Sci, Sylhet, Bangladesh; [Ingrisch, Johannes] Univ Innsbruck, Dept Ecol, Innsbruck, Austria; [Schloter, Michael] Helmholtz Ctr Environm &amp; Hlth, Res Unit Comparat Microbiome Anal, Neuherberg, Germany</t>
  </si>
  <si>
    <t>University of Bayreuth; Shahjalal University of Science &amp; Technology (SUST); University of Innsbruck; Helmholtz Association; Helmholtz-Center Munich - German Research Center for Environmental Health</t>
  </si>
  <si>
    <t>Berauer, BJ (corresponding author), Univ Bayreuth, Dept Disturbance Ecol, BayCEER, Univ Str 30, D-95447 Bayreuth, Germany.</t>
  </si>
  <si>
    <t>bernd.berauer@uni-bayreuth.de</t>
  </si>
  <si>
    <t>Schloter, Michael/H-9151-2013; Berauer, Bernd Josef/AAH-9117-2021; Ingrisch, Johannes/V-5732-2019</t>
  </si>
  <si>
    <t>Berauer, Bernd Josef/0000-0002-9472-1532; Ingrisch, Johannes/0000-0002-8461-8689; Eibes, Pia Maria/0000-0002-6727-4204; Schloter, Michael/0000-0003-1671-1125; Arfin Khan, Mohammed Abu Sayed/0000-0001-6275-7023; Wilfahrt, Peter/0000-0003-1594-6512; Schuchardt, Max/0000-0003-3103-8063</t>
  </si>
  <si>
    <t>German Federal Ministry of Education and Research (BMBF) [031B0027C]</t>
  </si>
  <si>
    <t>German Federal Ministry of Education and Research (BMBF)(Federal Ministry of Education &amp; Research (BMBF))</t>
  </si>
  <si>
    <t>This study was supported by the German Federal Ministry of Education and Research (BMBF) in the framework of the BonaRes project SUSALPS (Sustainable use of alpine and prealpine grassland soils in a changing climate) under Grant (project number: 031B0027C).</t>
  </si>
  <si>
    <t>10.1080/15230430.2019.1618116</t>
  </si>
  <si>
    <t>WOS:000486105800016</t>
  </si>
  <si>
    <t>Millar, CI; Westfall, RD</t>
  </si>
  <si>
    <t>Millar, Constance I.; Westfall, Robert D.</t>
  </si>
  <si>
    <t>Geographic, hydrological, and climatic significance of rock glaciers in the Great Basin, USA</t>
  </si>
  <si>
    <t>Rock glaciers; glaciers; permanent ice fields; Great Basin; hydrology; climate refugia</t>
  </si>
  <si>
    <t>DEBRIS-COVERED GLACIERS; SIERRA-NEVADA; INTERNAL STRUCTURE; COTTONWOOD CANYON; ICE CONTENT; RANGE; PERMAFROST; GLACIATION; MOUNTAINS; ANDES</t>
  </si>
  <si>
    <t>We present the first comprehensive inventory and analysis of rock glaciers in the hydrographic Great Basin (GB), United States, documenting 842 features (mean 9.9 ha; range 0.1-201 ha) across thirty-two mountain ranges. These encompassed 8 degrees latitude (from 36.5 degrees N to 44.3 degrees N) and 11 degrees longitude (from -110.7 degrees W to -121.4 degrees W), and composed 83.1 km(2), or 1.1 percent, of the cumulative area above the lowest rock glacier elevation. Forty-five percent of the features were mapped as intact (containing ice) and occurred across sixteen mountain ranges. Rock glaciers conservatively contained cumulative water volume of 0.8924 km(3). We also mapped 237 persistent ice fields from thirteen GB ranges. Ice-field water equivalent was 0.0653 km(3); rock glaciers contributed 93 percent of the total water volume (rock glacier:icefield ratio, 14:1). Rock glaciers occurred on northerly aspects at high elevations (mean, 3,196 m) and had a mean annual air temperature of 1.7 degrees C (range, 1.3-3.3 degrees C). Contributions of water from rock-glacier springs and groundwater have not been included in GB hydrologic assessments, nor have rock glaciers been evaluated for their roles in supporting cold-adapted aquatic fauna and promoting vegetation communities and habitat for alpine terrestrial species. Rock glaciers provide hydrologic and ecologic refugia previously unrecognized in the GB with respect to warming future climates.</t>
  </si>
  <si>
    <t>[Millar, Constance I.; Westfall, Robert D.] US Forest Serv, Pacific Southwest Res Stn, USDA, 800 Buchanan St, Albany, CA 94710 USA</t>
  </si>
  <si>
    <t>United States Department of Agriculture (USDA); United States Forest Service</t>
  </si>
  <si>
    <t>Millar, CI (corresponding author), US Forest Serv, Pacific Southwest Res Stn, USDA, 800 Buchanan St, Albany, CA 94710 USA.</t>
  </si>
  <si>
    <t>cmillar@fs.fed.us</t>
  </si>
  <si>
    <t>U.S. Forest Service</t>
  </si>
  <si>
    <t>U.S. Forest Service(United States Department of Agriculture (USDA)United States Forest Service)</t>
  </si>
  <si>
    <t>This work was supported by the U.S. Forest Service [Operating Funds].</t>
  </si>
  <si>
    <t>10.1080/15230430.2019.1618666</t>
  </si>
  <si>
    <t>WOS:000486105800017</t>
  </si>
  <si>
    <t>Leonelli, G; Battipaglia, G; Cherubini, P; Saurer, M; Siegwolf, RTW; Maugeri, M; Stenni, B; Fumagalli, ML; Pelfini, M; Maggi, V</t>
  </si>
  <si>
    <t>Leonelli, Giovanni; Battipaglia, Giovanna; Cherubini, Paolo; Saurer, Matthias; Siegwolf, Rolf T. W.; Maugeri, Maurizio; Stenni, Barbara; Fumagalli, Maria Letizia; Pelfini, Manuela; Maggi, Valter</t>
  </si>
  <si>
    <t>Tree-ring δ18O from an Alpine catchment reveals changes in glacier stream water inputs between 1980 and 2010</t>
  </si>
  <si>
    <t>Tree-ring stable isotopes; water stable isotopes; glacier meltwater; European larch; Forni Glacier</t>
  </si>
  <si>
    <t>OXYGEN-ISOTOPE RATIOS; STABLE-ISOTOPES; USE EFFICIENCY; SNOW COVER; CELLULOSE; RECONSTRUCTION; PRECIPITATION; CARBON; SOIL; SENSITIVITY</t>
  </si>
  <si>
    <t>The tree-ring stable carbon and oxygen isotope chronologies from two forest sites located in the Forni Glacier forefield (Italy)-one along the glacier stream (GL) and the other toward the valley slope (SL)-were analyzed with the aim of disentangling the precipitation and glacier meltwater inputs in source water delta O-18, as reflected by the tree-ring cellulose delta O-18. The cellulose delta O-18 from the GL trees has a negative correlation with winter and summer temperatures, whereas the cellulose delta O-18 from the SL trees has a positive correlation with precipitation delta O-18. The isotopic signature of the source water at the GL site is also influenced by waters of glacial origin, as confirmed by the O-18-depleted glacier meltwater inputs (GMWI_delta O-18) estimated by means of an isotope model. The GMWI_delta O-18 values are consistent with the mean difference measured between the delta O-18 in the glacier stream and in the precipitation and the winter and summer temperature explains up to 37 percent of the GMWI_delta O-18 variance. Our results show an increasing influence of glacier meltwater throughout the past decade for the GL site. Our analysis opens new opportunities to reconstruct changes in water regimes of the glacier streams by means of the tree-ring cellulose delta O-18.</t>
  </si>
  <si>
    <t>[Leonelli, Giovanni] Univ Parma, Dept Chem Life Sci &amp; Environm Sustainabil, Parma, Italy; [Leonelli, Giovanni; Fumagalli, Maria Letizia; Maggi, Valter] Univ Milano Bicocca, Dept Earth &amp; Environm Sci, Milan, Italy; [Battipaglia, Giovanna] Univ Campania, Dept Environm Biol &amp; Pharmaceut Sci &amp; Technol, Caserta, Italy; [Battipaglia, Giovanna] Univ Montpellier 2, PALECO EPHE Ecole Prat Hautes Etud, Inst Sci Evolut, Montpellier, France; [Cherubini, Paolo; Saurer, Matthias; Siegwolf, Rolf T. W.] WSL Swiss Fed Inst Forest Snow &amp; Landscape Res, Birmensdorf, Switzerland; [Cherubini, Paolo] Univ British Columbia, Fac Forestry, Vancouver, BC, Canada; [Saurer, Matthias; Siegwolf, Rolf T. W.] PSI Paul Scherrer Inst, Villigen, Switzerland; [Maugeri, Maurizio] Univ Milan, Dept Environm Sci &amp; Policy, Milan, Italy; [Maugeri, Maurizio] CNR, Ist Sci Atmosfera &amp; Clima, Bologna, Italy; [Stenni, Barbara] Univ Ca Foscari, Dept Environm Sci Informat &amp; Stat, Venice, Italy; [Pelfini, Manuela] Univ Milan, Dept Earth Sci, Milan, Italy; [Pelfini, Manuela] CNR, Ist Geosci &amp; Georisorse, Pisa, Italy</t>
  </si>
  <si>
    <t>University of Parma; University of Milano-Bicocca; Universita della Campania Vanvitelli; Centre National de la Recherche Scientifique (CNRS); Institut de Recherche pour le Developpement (IRD); Universite de Montpellier; Swiss Federal Institutes of Technology Domain; Swiss Federal Institute for Forest, Snow &amp; Landscape Research; University of British Columbia; Swiss Federal Institutes of Technology Domain; Paul Scherrer Institute; University of Milan; Consiglio Nazionale delle Ricerche (CNR); Istituto di Scienze dell'Atmosfera e del Clima (ISAC-CNR); Universita Ca Foscari Venezia; University of Milan; Consiglio Nazionale delle Ricerche (CNR); Istituto di Geoscienze e Georisorse (IGG-CNR)</t>
  </si>
  <si>
    <t>Leonelli, G (corresponding author), Univ Parma, Dept Chem Life Sci &amp; Environm Sustainabil, Parma, Italy.</t>
  </si>
  <si>
    <t>giovanni.leonelli@unipr.it</t>
  </si>
  <si>
    <t>Siegwolf, Rolf Theodor Walter/GLT-9297-2022; Maggi, Valter/AAX-5728-2020; Cherubini, Paolo/N-9702-2013; Maugeri, Maurizio/B-4116-2018; Saurer, Matthias/C-6724-2018</t>
  </si>
  <si>
    <t>Siegwolf, Rolf Theodor Walter/0000-0002-0249-0651; Maggi, Valter/0000-0001-6287-1213; Cherubini, Paolo/0000-0002-9809-250X; Battipaglia, Giovanna/0000-0003-1741-3509; Leonelli, Giovanni/0000-0002-1522-1581; Stenni, Barbara/0000-0003-4950-3664; FUMAGALLI, MARIA LETIZIA/0000-0002-2993-6692; Maugeri, Maurizio/0000-0002-4110-9737; Saurer, Matthias/0000-0002-3954-3534</t>
  </si>
  <si>
    <t>Ministero dell'Istruzione, dell'Universita e della Ricerca through the PRIN 2010-2011 project [2010AYKTAB006]; project of strategic interest NEXTDATA (PNR National Research Program 2011-2013); Club Alpino Italiano</t>
  </si>
  <si>
    <t>Ministero dell'Istruzione, dell'Universita e della Ricerca through the PRIN 2010-2011 project; project of strategic interest NEXTDATA (PNR National Research Program 2011-2013); Club Alpino Italiano</t>
  </si>
  <si>
    <t>This study was funded by the Ministero dell'Istruzione, dell'Universita e della Ricerca through the PRIN 2010-2011 project (grant number 2010AYKTAB006; project leader C. Baroni), the project of strategic interest NEXTDATA (PNR National Research Program 2011-2013; project leader A. Provenzale CNR-ISAC), and the by the Club Alpino Italiano.</t>
  </si>
  <si>
    <t>10.1080/15230430.2019.1623607</t>
  </si>
  <si>
    <t>WOS:000486105800018</t>
  </si>
  <si>
    <t>Swanson, DK</t>
  </si>
  <si>
    <t>Swanson, David K.</t>
  </si>
  <si>
    <t>Thermokarst and precipitation drive changes in the area of lakes and ponds in the National Parks of northwestern Alaska, 1984-2018</t>
  </si>
  <si>
    <t>Permafrost; hydrology; lakes; thermokarst; lake drainage; Landsat</t>
  </si>
  <si>
    <t>LANDSAT TM; PERMAFROST; CLIMATE; DEGRADATION; LOONS</t>
  </si>
  <si>
    <t>Lakes and ponds are important ecosystem components in arctic lowlands, and they are prone to rapid changes in surface area by thermokarst expansion and by sudden lake drainage. The 30 m resolution Landsat record (1984-2018) was used to derive a record of changes in the area of lakes and ponds in the five National Parks of northern Alaska. Surface-water area declined significantly in portions of the study area with ice-rich permafros t and water bodies of thermokarst origin. These declines were associated with rapid lake drainage events resulting from the thermoerosion of outlets. Thermoerosion was probably favored by the record warm mean annual temperatures in the study area, combined with precipitation that fluctuated near long-term normals. The rate of lake loss by rapid drainage was greatest in 2005-2007 and 2018. In landscapes with permafrost of lower ice content and water bodies in depressions of non-thermokarst origin, surface-water area generally fluctuated in response to year-to-year changes in precipitation, without a long-term trend, and lake drainage events were rare. Loss of surface water in ice-rich lowlands is likely to continue as the climate warms, with associated impacts on aquatic wildlife.</t>
  </si>
  <si>
    <t>[Swanson, David K.] Natl Pk Serv, Arctic Inventory &amp; Monitoring Network, Fairbanks, AK USA</t>
  </si>
  <si>
    <t>United States Department of the Interior</t>
  </si>
  <si>
    <t>Swanson, DK (corresponding author), Natl Pk Serv, 4175 Geist Rd, Fairbanks, AK 99709 USA.</t>
  </si>
  <si>
    <t>david_k_swanson@nps.gov</t>
  </si>
  <si>
    <t>Inventory and Monitoring Division of the National Park Service, U.S. Department of the Interior</t>
  </si>
  <si>
    <t>This study was funded by the Inventory and Monitoring Division of the National Park Service, U.S. Department of the Interior.</t>
  </si>
  <si>
    <t>10.1080/15230430.2019.1629222</t>
  </si>
  <si>
    <t>WOS:000486105800019</t>
  </si>
  <si>
    <t>Martin-Mikle, CJ; Fagre, DB</t>
  </si>
  <si>
    <t>Martin-Mikle, Chelsea J.; Fagre, Daniel B.</t>
  </si>
  <si>
    <t>Glacier recession since the Little Ice Age: Implications for water storage in a Rocky Mountain landscape</t>
  </si>
  <si>
    <t>Glacier; moraine; recession; Little Ice Age; climate change; imagery</t>
  </si>
  <si>
    <t>NATIONAL-PARK; INVENTORY; MONTANA</t>
  </si>
  <si>
    <t>Glaciers have significant influence on hydrology, vegetation, and wildlife inmountainous regions, and are receding globally. To quantify the impacts of sustained glacier loss, we mapped a complete set of glacier areas from the Little Ice Age (LIA) using very high-resolution satellite imagery (30 cm) within Glacier National Park (GNP), Montana, a region that encompasses 4098.81 km(2) in the northwestern United States. We measured glacier change across the park using LIA glacier area as a baseline and then estimated change in glacier area and volume over time. An estimated 146 glaciers existed within the current boundaries of GNP during the LIA. By 2005, only fifty-one (35 percent) persisted. Nearly 90 percent of LIA glaciers had lost more than 50 percent of their area by 2005. This decrease in glacier area equates to an estimated ice volume loss of 1.52 km(3), or 1.37 km(3) of water storage, roughly equivalent to 90 percent of Lake McDonald, the largest lake in the park. Understanding rates of deglaciation and implications for water storage and use can assist local resource managers and downstream communities in planning for change.</t>
  </si>
  <si>
    <t>[Martin-Mikle, Chelsea J.; Fagre, Daniel B.] US Geol Survey, Northern Rocky Mt Sci Ctr, 215 Mather Dr,Glacier Natl Pk, West Glacier, MT 59936 USA</t>
  </si>
  <si>
    <t>United States Department of the Interior; United States Geological Survey</t>
  </si>
  <si>
    <t>Martin-Mikle, CJ (corresponding author), US Geol Survey, Northern Rocky Mt Sci Ctr, 215 Mather Dr,Glacier Natl Pk, West Glacier, MT 59936 USA.</t>
  </si>
  <si>
    <t>cmikle@usgs.gov</t>
  </si>
  <si>
    <t>Fagre, Daniel/0000-0001-8552-9461; Mikle, Chelsea/0000-0001-5675-2728</t>
  </si>
  <si>
    <t>U.S. Geological Survey Land Resources Land Change Science Program</t>
  </si>
  <si>
    <t>This work was supported by the U.S. Geological Survey Land Resources Land Change Science Program.</t>
  </si>
  <si>
    <t>10.1080/15230430.2019.1634443</t>
  </si>
  <si>
    <t>WOS:000486105800020</t>
  </si>
  <si>
    <t>Du, ZH; Xiao, CD; Zhang, Q; Handley, MJ; Mayewski, PA; Li, CJ</t>
  </si>
  <si>
    <t>Du, Zhiheng; Xiao, Cunde; Zhang, Qi; Handley, Mike J.; Mayewski, Paul A.; Li, Chuanjin</t>
  </si>
  <si>
    <t>Relationship between the 2014-2015 Holuhraun eruption and the iron record in the East GRIP snow pit</t>
  </si>
  <si>
    <t>Snowpit; iron and trace elements; Holuhraun eruption; East Greenland ice sheet</t>
  </si>
  <si>
    <t>RARE-EARTH-ELEMENTS; GISP2 ICE CORE; ATMOSPHERIC IRON; TRACE-ELEMENT; VOLCANIC ASH; GREENLAND; DUST; CYCLE; VARIABILITY; ANTARCTICA</t>
  </si>
  <si>
    <t>We conducted a 2 m snow pit study in July 2017 at the East GRIP (Greenland Ice-Core Project; northeastern Greenland) deep ice-coring site. We collected snow samples at intervals of 0.05 m and analyzed their iron (Fe) and rare earth element (REE) concentrations. Pronounced seasonal variations in trace elements were observed during 2012-2017. The results indicated that the dissolved Fe (DFe), total dissolved Fe (TDFe), and total dissolved REEs (TDREEs) largely originated from mineral dust, which peaked in winter to early spring. In particular, the 2014-2015 Holuhraun eruption (31 August 2014 to 27 February 2015) can be clearly observed in the data at a depth of 90-125 cm. This event not only provided abundant acidic material (sulphate), but also released a large amount of DFe. Therefore, these results provide a possible way to use Greenland deep ice core data to construct a much longer history and better understand the relationship between eruptions and the release of iron in future studies.</t>
  </si>
  <si>
    <t>[Du, Zhiheng; Li, Chuanjin] Chinese Acad Sci, Northwest Inst Ecoenvironm &amp; Resources, State Key Lab Cryospher Sci, Lanzhou, Gansu, Peoples R China; [Xiao, Cunde] Beijing Normal Univ, State Key Lab Earth Surface Proc &amp; Resource Ecol, Beijing, Peoples R China; [Zhang, Qi] Chinese Acad Meteorol Sci, China Meteorol Adm, Inst Climate Syst, Beijing, Peoples R China; [Handley, Mike J.; Mayewski, Paul A.] Univ Maine, Climate Change Inst, Sch Earth &amp; Climate Sci, Orono, ME USA</t>
  </si>
  <si>
    <t>Chinese Academy of Sciences; Beijing Normal University; China Meteorological Administration; Chinese Academy of Meteorological Sciences (CAMS); University of Maine System; University of Maine Orono</t>
  </si>
  <si>
    <t>Xiao, CD (corresponding author), Beijing Normal Univ, State Key Lab Earth Surface Proc &amp; Resource Ecol, 19 Xinjiekouwai St, Beijing 100875, Peoples R China.</t>
  </si>
  <si>
    <t>cdxiao@bnu.edu.cn</t>
  </si>
  <si>
    <t>Mayewski, Paul Andrew/HRD-6969-2023</t>
  </si>
  <si>
    <t>Handley, Michael/0000-0001-6712-9843</t>
  </si>
  <si>
    <t>National Natural Science Foundation of China [41425003, 41701071]; National Key Research and Development Program of China [2018YFC1406104]; Scientific Research Foundation of the Key Laboratory of Cryospheric Sciences [SKLCSZZ-2018-04]; CAS Light of West China Program</t>
  </si>
  <si>
    <t>National Natural Science Foundation of China(National Natural Science Foundation of China (NSFC)); National Key Research and Development Program of China; Scientific Research Foundation of the Key Laboratory of Cryospheric Sciences; CAS Light of West China Program</t>
  </si>
  <si>
    <t>This work was supported by the National Natural Science Foundation of China (Grant Nos. 41425003 and 41701071), the National Key Research and Development Program of China (2018YFC1406104), the Scientific Research Foundation of the Key Laboratory of Cryospheric Sciences (SKLCSZZ-2018-04), and the CAS Light of West China Program.</t>
  </si>
  <si>
    <t>10.1080/15230430.2019.1634441</t>
  </si>
  <si>
    <t>WOS:000486105800021</t>
  </si>
  <si>
    <t>Takeuchi, N; Sera, S; Fujita, K; Aizen, VB; Kubota, J</t>
  </si>
  <si>
    <t>Takeuchi, Nozomu; Sera, Shuntaro; Fujita, Koji; Aizen, Vladimir B.; Kubota, Jumpei</t>
  </si>
  <si>
    <t>Annual layer counting using pollen grains of the Grigoriev ice core from the Tien Shan Mountains, central Asia</t>
  </si>
  <si>
    <t>Central Asia; glaciers; ice core; pollen; Tien Shan; vegetation</t>
  </si>
  <si>
    <t>CLIMATE-CHANGE; SOUTH TYROL; GLACIER; RECORDS; ACCUMULATION; DEPOSITION; XINJIANG; IMPACTS; FOREST; PICEA</t>
  </si>
  <si>
    <t>Pollen grains are commonly found in ice cores, particularly those from mountain glaciers at low to middle latitudes. Because the release of pollen from flowers has a seasonality and varies among the plant species, pollen concentrations in ice cores are useful for distinguishing annual or seasonal layers and inferring past vegetation near glaciers. We analyzed major pollen grains in an 87-m-deep ice core drilled at the top of the Grigoriev Ice Cap (4563 m.a.s.l.) in the Tien Shan Mountains, Kyrgyz Republic. Microscopy showed that mainly five pollen taxa were contained in the ice core. Their abundance fluctuated with the depth of the core, indicating their seasonal deposition on the ice cap, while the seasonality of the stable isotopes was not particularly clear because of melting and refreezing signatures. Based on the pollen profiles, annual layers were determined back in time to 1780 AD at a depth of 63.6 m; at greater depth, they could not be distinguished due to ice layer thinning in the glacier. The pollen assemblages have gradually changed during the last 220 years and were particularly distinctive in the deeper part, suggesting the drastic change of vegetation in this region during the Holocene.</t>
  </si>
  <si>
    <t>[Takeuchi, Nozomu; Sera, Shuntaro] Chiba Univ, Grad Sch Sci, Dept Earth Sci, Chiba 2638522, Japan; [Fujita, Koji] Nagoya Univ, Grad Sch Environm Studies, Nagoya, Aichi, Japan; [Aizen, Vladimir B.] Univ Idaho, Coll Sci, Moscow, ID 83843 USA; [Kubota, Jumpei] Natl Inst Humanities, Tokyo, Japan</t>
  </si>
  <si>
    <t>Chiba University; Nagoya University; Idaho; University of Idaho</t>
  </si>
  <si>
    <t>Takeuchi, N (corresponding author), Chiba Univ, Grad Sch Sci, Dept Earth Sci, Chiba 2638522, Japan.</t>
  </si>
  <si>
    <t>ntakeuch@faculty.chiba-u.jp</t>
  </si>
  <si>
    <t>Fujita, Koji/E-6104-2010; Takeuchi, Nozomu/Q-7869-2016</t>
  </si>
  <si>
    <t>Fujita, Koji/0000-0003-3753-4981; Takeuchi, Nozomu/0000-0002-3267-5534; Aizen, Vladimir/0000-0001-5578-9529</t>
  </si>
  <si>
    <t>Research Institute for Humanity and Nature (RIHN), Japan [R-03]; Japan Society [18H04139, 19H01143, 26247078, 17H01854]; Grants-in-Aid for Scientific Research [17H01854, 18H04139, 26247078, 19H01143] Funding Source: KAKEN</t>
  </si>
  <si>
    <t>Research Institute for Humanity and Nature (RIHN), Japan; Japan Society(Ministry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</si>
  <si>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study was a part of the Ili Project (R-03, 2006-2012) funded by the Research Institute for Humanity and Nature (RIHN), Japan. This work was also supported by the Japan Society for the Promotion of Science [18H04139], [19H01143], [26247078], and [17H01854].</t>
  </si>
  <si>
    <t>10.1080/15230430.2019.1638202</t>
  </si>
  <si>
    <t>WOS:000486105800022</t>
  </si>
  <si>
    <t>Hein, N; Pétillon, J; Pape, R; Feilhauer, H; Vanselow, KA; Löffler, J</t>
  </si>
  <si>
    <t>Hein, Nils; Petillon, Julien; Pape, Roland; Feilhauer, Hannes; Vanselow, Kim A.; Loeffler, Joerg</t>
  </si>
  <si>
    <t>Broad-scale rather than fine-scale environmental variation drives body size in a wandering predator (Araneae, Lycosidae)</t>
  </si>
  <si>
    <t>Individual trait; random forest; Wolf spider; Norway; Pardosa palustris</t>
  </si>
  <si>
    <t>SPIDER PARDOSA-LUGUBRIS; WOLF SPIDER; REPRODUCTIVE TRAITS; AERIAL DISPERSAL; ELEVATIONAL VARIATION; ALTITUDINAL GRADIENT; BERGMANNS RULE; RANDOM FORESTS; SOIL-MOISTURE; LIFE-HISTORY</t>
  </si>
  <si>
    <t>Body size is one of the most important individual traits, determining various other life-history traits, including fitness. Both evolutionary and ecological factors shape the body size in arthropods, but the relative contribution of abiotic drivers acting at different spatial scales has been little investigated. We aimed to identify the importance of two broad-scale variables (study region and elevation) in shaping body size of the free-running and locally abundant wolf spider Pardosa palustris (LINNAEUS 1758), in contrast to the fine-scaled variable topographic position. Therefore, we set up transects along environmental gradients in the arctic-alpine ecosystems of Norway, which we analyzed using a random forest approach to identify the relative importance of topographic position, elevation, and study region on body size of P. palustris. Our approach revealed that research region was the best explanatory variable, followed by elevation and topographic position. Differences in body size were most likely a consequence of the pronounced differences in season length and the ability of P. palustris to avoid local unfavorable environmental conditions due to its high mobility.</t>
  </si>
  <si>
    <t>[Hein, Nils; Pape, Roland; Loeffler, Joerg] Univ Bonn, Dept Geog, Meckenheimer Allee 166, D-53115 Bonn, Germany; [Petillon, Julien] Univ Rennes, Rennes, France; [Feilhauer, Hannes; Vanselow, Kim A.] FAU Erlangen Nurnberg, Dept Geog, Erlangen, Germany; [Feilhauer, Hannes] Free Univ Berlin, Inst Geog Sci, Berlin, Germany</t>
  </si>
  <si>
    <t>University of Bonn; Universite de Rennes; University of Erlangen Nuremberg; Free University of Berlin</t>
  </si>
  <si>
    <t>Hein, N (corresponding author), Univ Bonn, Dept Geog, Meckenheimer Allee 166, D-53115 Bonn, Germany.</t>
  </si>
  <si>
    <t>nhein@uni-bonn.de</t>
  </si>
  <si>
    <t>Löffler, Jörg/ITU-3817-2023</t>
  </si>
  <si>
    <t>Hein, Nils/0000-0002-5172-8531; Feilhauer, Hannes/0000-0001-5758-6303; Loffler, Jorg/0000-0002-9320-6168</t>
  </si>
  <si>
    <t>10.1080/15230430.2019.1640039</t>
  </si>
  <si>
    <t>WOS:000486105800023</t>
  </si>
  <si>
    <t>Beaver, JR; Arp, CD; Tausz, CE; Jones, BM; Whitman, MS; Renicker, TR; Samples, EE; Ordosch, DM; Scotese, KC</t>
  </si>
  <si>
    <t>Beaver, John R.; Arp, Christopher D.; Tausz, Claudia E.; Jones, Benjamin M.; Whitman, Matthew S.; Renicker, Thomas R.; Samples, Erin E.; Ordosch, David M.; Scotese, Kyle C.</t>
  </si>
  <si>
    <t>Potential shifts in zooplankton community structure in response to changing ice regimes and hydrologic connectivity</t>
  </si>
  <si>
    <t>Arctic lakes; bedfast ice; climate change; Daphnia; fish predation</t>
  </si>
  <si>
    <t>WATER PLANKTONIC CRUSTACEANS; TOP-DOWN CONTROL; ARCTIC LAKES; SUBMERGED MACROPHYTES; SEASONAL DYNAMICS; TROPHIC STRUCTURE; CLIMATE-CHANGE; NORTH SLOPE; DRY-WEIGHT; BODY-SIZE</t>
  </si>
  <si>
    <t>Changing Arctic climate may alter freshwater ecosystems as a result of warmer surface waters, longer open-water periods, reduced wintertime lake ice growth, and altered hydrologic connectivity. This study aims to characterize zooplankton community composition and size structure in the context of hydrologic connectivity and ice regimes in Arctic lakes. Between 2011 and 2016, we sampled the phytoplankton, zooplankton, and fish communities from a set of representative lakes on the Arctic Coastal Plain (ACP) of northern Alaska to determine potential food web responses to changing Arctic ecosystems. Multivariate analyses showed that time from ice-out had a strong influence on zooplankton community structure and that seasonal succession of zooplankton differed between lakes with varying hydrologic connectivity. Trends were observed suggesting that large-bodied zooplankton (Daphnia, calanoid copepods) may be more prevalent in poorly connected lakes with low fish diversity. Large-bodied zooplankton displayed higher biomass in lakes with high occurrences of bedfast ice, while small-bodied zooplankton (Bosmina, rotifers) displayed highest biomass in deeper lakes with low occurrences of bedfast ice. Our results contribute to limited knowledge of zooplankton in remote lakes of the ACP and suggest that the anticipated changes to aquatic ecosystems in the Arctic may include energetically less efficient plankton food webs.</t>
  </si>
  <si>
    <t>[Beaver, John R.; Tausz, Claudia E.; Renicker, Thomas R.; Samples, Erin E.; Ordosch, David M.; Scotese, Kyle C.] BSA Environm Serv Inc, 23400 Mercantile Rd,Suite 8, Beachwood, OH 44122 USA; [Arp, Christopher D.; Jones, Benjamin M.] Univ Alaska Fairbanks, Water &amp; Environm Res Ctr, Fairbanks, AK USA; [Whitman, Matthew S.] Bur Land Management, Arctic Off, Fairbanks, AK USA</t>
  </si>
  <si>
    <t>University of Alaska System; University of Alaska Fairbanks</t>
  </si>
  <si>
    <t>Beaver, JR (corresponding author), BSA Environm Serv Inc, 23400 Mercantile Rd,Suite 8, Beachwood, OH 44122 USA.</t>
  </si>
  <si>
    <t>j.beaver@bsaenv.com</t>
  </si>
  <si>
    <t>Tausz, Claudia/0000-0002-8784-768X; Jones, Benjamin/0000-0002-1517-4711; scotese, KYLE/0000-0003-4270-7859</t>
  </si>
  <si>
    <t>Arctic Landscape Conservation Cooperative; National Science Foundation [ARC-1107481, ARC-1417300]; Bureau of Land Management Arctic Office</t>
  </si>
  <si>
    <t>Arctic Landscape Conservation Cooperative; National Science Foundation(National Science Foundation (NSF)); Bureau of Land Management Arctic Office</t>
  </si>
  <si>
    <t>Funding for this study was provided primarily by the Arctic Landscape Conservation Cooperative with additional funding and support from the National Science Foundation (ARC-1107481, ARC-1417300) and the Bureau of Land Management Arctic Office.</t>
  </si>
  <si>
    <t>10.1080/15230430.2019.1643210</t>
  </si>
  <si>
    <t>WOS:000486105800024</t>
  </si>
  <si>
    <t>Franzén, M; Dieker, P; Schrader, J; Helm, A</t>
  </si>
  <si>
    <t>Franzen, Markus; Dieker, Petra; Schrader, Julian; Helm, Aveliina</t>
  </si>
  <si>
    <t>Rapid plant colonization of the forelands of a vanishing glacier is strongly associated with species traits</t>
  </si>
  <si>
    <t>Colonization rate; emerging ecosystems; environmental change; glacier retreat; life-history traits</t>
  </si>
  <si>
    <t>ELLENBERG INDICATOR VALUES; LIFE-HISTORY TRAITS; PRIMARY SUCCESSION; SEEDLING ESTABLISHMENT; SWEDISH SCANDES; CLIMATE-CHANGE; VEGETATION; DISTANCE; BAY; DISPERSAL</t>
  </si>
  <si>
    <t>Recently developed glacier forelands provide valuable insights into vegetation dynamics. We studied the vascular plants in the glacier forelands of the Almajallojekna glacier in comparison to the plants in the surrounding area. The glacier is retreating rapidly at an average rate of 0.17 km(2) per year from 1898 to 2012. In the newly emerged glacier forelands, we found that 32 percent of the 381 plant taxa occurred in the surrounding region. Sixty-eight plant species were present on the youngest terrain (0-31 y), an additional thirteen species occurred on terrain aged 32-53 years, and an additional forty-two species were detected on terrain aged 54-114 years. Of the surrounding species pool, plant species that had successfully established in recently deglaciated terrains were characterized by high regional abundance and low seed weight, and they were more likely to be members of the plant families Saxifragaceae, Salicaceae, and Asteraceae. Woody plant species with a preference for well-drained soils were more likely to be present in the youngest terrain. Our results show that the vegetation of glacier forelands is developing rapidly depending on the plant species in the surrounding area and the species' life-history traits.</t>
  </si>
  <si>
    <t>[Franzen, Markus] Linnaeus Univ, Dept Biol &amp; Environm Sci, Ctr Ecol &amp; Evolut Microbial Model Syst, EEMiS, SE-39182 Kalmar, Sweden; [Dieker, Petra] Thunen Inst Biodivers, Braunschweig, Germany; [Schrader, Julian] Univ Goettingen, Dept Biodivers Macroecol &amp; Biogeog, Gottingen, Germany; [Helm, Aveliina] Univ Tartu, Inst Ecol &amp; Earth Sci, Tartu, Estonia</t>
  </si>
  <si>
    <t>Linnaeus University; Johann Heinrich von Thunen Institute; University of Gottingen; University of Tartu; Tartu University Institute of Ecology &amp; Earth Sciences</t>
  </si>
  <si>
    <t>Franzén, M (corresponding author), Linnaeus Univ, Dept Biol &amp; Environm Sci, Ctr Ecol &amp; Evolut Microbial Model Syst, EEMiS, SE-39182 Kalmar, Sweden.</t>
  </si>
  <si>
    <t>markus.franzen@lnu.se</t>
  </si>
  <si>
    <t>Schrader, Julian/AAG-9645-2019; Helm, Aveliina/H-3127-2015</t>
  </si>
  <si>
    <t>Schrader, Julian/0000-0002-8392-211X; Helm, Aveliina/0000-0003-2338-4564</t>
  </si>
  <si>
    <t>Birgit och Hellmuth Hertz foundation; Olle Engkvists foundation; Formas [2018-02846]; Formas [2018-02846] Funding Source: Formas; Vinnova [2018-02846] Funding Source: Vinnova</t>
  </si>
  <si>
    <t>Birgit och Hellmuth Hertz foundation; Olle Engkvists foundation; Formas(Swedish Research Council Formas); Formas(Swedish Research Council Formas); Vinnova</t>
  </si>
  <si>
    <t>This study was supported by Birgit och Hellmuth Hertz foundation; Olle Engkvists foundation; and Formas [grant number 2018-02846].</t>
  </si>
  <si>
    <t>10.1080/15230430.2019.1646574</t>
  </si>
  <si>
    <t>WOS:000486105800026</t>
  </si>
  <si>
    <t>Viola, D; Mckay, CP; Navarro-González, R</t>
  </si>
  <si>
    <t>Viola, Donna; McKay, Christopher P.; Navarro-Gonzalez, Rafael</t>
  </si>
  <si>
    <t>A method for monitoring glacial loss and temperature variation using satellite observations: Case study of Pico de Orizaba and Iztaccihuatl (Mexico)</t>
  </si>
  <si>
    <t>Glacier retreat; surface temperature; Landsat; Mexico</t>
  </si>
  <si>
    <t>POPOCATEPETL VOLCANO; CITLALTEPETL VOLCANO; SURFACE-TEMPERATURE; TROPICAL GLACIERS; CLIMATE-CHANGE; CITY BASIN; INVENTORY; RETREAT; COVER; AREA</t>
  </si>
  <si>
    <t>Throughout the world, tropical glaciers are rapidly receding and some are at risk of complete loss within the next several decades. It is therefore important to monitor these glacial regions to better understand the factors affecting glacier loss and risks to nearby communities. Here, we provide an update on the summit glacier extents of Pico de Orizaba (19.03 degrees N, 97.27 degrees W) and Iztaccihuatl (19.18 degrees N, 98.64 degrees W) in central Mexico, reporting areas every 1-11 years between 2001 and 2019 (depending on the availability of high-quality imagery). Glacier extents are derived from multispectral satellite imagery (Landsat 7-8 and the European Space Agency's Sentinel-2) using a semi-automated mapping method that takes the ratio of the near-infrared (or panchromatic) and shortwave infrared bands and applies appropriate threshold(s) for glacier identification. We also use thermal band imagery from Landsat 7-8 to estimate surface temperatures of both the glaciers and the surrounding terrain to provide a more comprehensive understanding of the summit environment. We find that glacier retreat has continued on both summits, and surface temperatures (even over glacier ice) can be at or near the melting point of water during some parts of the year, particularly on lower-elevation Iztaccihuatl, suggesting a risk of continued ice loss in the future.</t>
  </si>
  <si>
    <t>[Viola, Donna; McKay, Christopher P.] NASA, Ames Res Ctr, M-S 245-3, Moffett Field, CA 94035 USA; [Navarro-Gonzalez, Rafael] Univ Nacl Autonoma Mexico, Inst Ciencias Nucl, Mexico City, DF, Mexico</t>
  </si>
  <si>
    <t>National Aeronautics &amp; Space Administration (NASA); NASA Ames Research Center; Universidad Nacional Autonoma de Mexico</t>
  </si>
  <si>
    <t>Viola, D (corresponding author), NASA, Ames Res Ctr, M-S 245-3, Moffett Field, CA 94035 USA.</t>
  </si>
  <si>
    <t>donna.viola@nasa.gov</t>
  </si>
  <si>
    <t>Navarro-González, Rafael/D-1748-2009</t>
  </si>
  <si>
    <t>Navarro-González, Rafael/0000-0002-6078-7621; Viola, Donna/0000-0003-4447-2184; McKay, Christopher/0000-0002-6243-1362</t>
  </si>
  <si>
    <t>10.1080/15230430.2019.1648163</t>
  </si>
  <si>
    <t>WOS:000486105800027</t>
  </si>
  <si>
    <t>Verbyla, D; Kurkowski, TA</t>
  </si>
  <si>
    <t>Verbyla, David; Kurkowski, Thomas A.</t>
  </si>
  <si>
    <t>NDVI-Climate relationships in high-latitude mountains of Alaska and Yukon Territory</t>
  </si>
  <si>
    <t>Alaska; alpine tundra; climate warming; gridded climate; high latitude; mountain class; NDVI; summer warmth; lapse rate; Yukon</t>
  </si>
  <si>
    <t>WINTER WARMING EVENTS; WHITE SPRUCE; SHRUB EXPANSION; ARCTIC TUNDRA; SUMMER TEMPERATURE; VEGETATION CHANGE; GROWTH-RESPONSES; INTERIOR ALASKA; NORTHERN ALASKA; SEA-ICE</t>
  </si>
  <si>
    <t>High-latitude systems in northwestern Canada and Alaska have warmed rapidly. The aim of this study was to examine how a remotely sensed proxy of vegetation productivity varied among mountain ranges with respect to elevation and climate from 2002-2017. Our study area included high-latitude mountains in Alaska, USA, and Yukon Territory, Canada, ranging from cold arctic mountains in the tundra biome to warmer interior mountains areas within the boreal biome. We used the annual maximum Normalized Difference Vegetation Index (NDVI) data from the 250-m MODIS NDVI product as a proxy of maximum growing season photosynthetic activity. The long-term (16-year) and interannual pattern of maximum NDVI was investigated with respect to elevation, July temperature, and July precipitation classes within four climatic mountain regions. The July temperature lapse rate was consistently linear, whereas the long-term maximum NDVI lapse rate was nonlinear. At lower elevations, the high-precipitation region had the highest NDVI, whereas the interior mountains region had the highest NDVI at higher elevations. The long-term maximum NDVI was negatively correlated with July precipitation for areas with July temperature below 12 degrees C. Above 12 degrees C, NDVI was positively correlated with July precipitation, with the greatest rate of NDVI increase with precipitation at the warmest July temperature class. The pattern of interannual peak NDVI with respect to July temperature was not as strong as the long-term pattern; however, the only interannual negative correlation between peak NDVI and July temperature was at lower elevations within the interior mountains. We concluded that among a regional climatic gradient of mountain areas, low growing season temperature and length were likely constraining vegetation productivity, and lower growing season moisture may be an important constraint at the warmest interior mountains region.</t>
  </si>
  <si>
    <t>[Verbyla, David] Univ Alaska Fairbanks, Dept Nat Resources Management, Fairbanks, AK 99775 USA; [Kurkowski, Thomas A.] Univ Alaska Fairbanks, Scenarios Network Alaska &amp; Arctic Planning, Fairbanks, AK USA</t>
  </si>
  <si>
    <t>University of Alaska System; University of Alaska Fairbanks; University of Alaska System; University of Alaska Fairbanks</t>
  </si>
  <si>
    <t>Verbyla, D (corresponding author), Univ Alaska Fairbanks, Dept Nat Resources Management, Fairbanks, AK 99775 USA.</t>
  </si>
  <si>
    <t>dlverbyla@alaska.edu</t>
  </si>
  <si>
    <t>NASA ABoVE program [NNX15AV86A]; Bonanza Creek Long Term Ecological Research Program; USDA Forest Service McIntire-Stennis Program</t>
  </si>
  <si>
    <t>NASA ABoVE program; Bonanza Creek Long Term Ecological Research Program; USDA Forest Service McIntire-Stennis Program(United States Department of Agriculture (USDA)United States Forest Service)</t>
  </si>
  <si>
    <t>This research was supported by the NASA ABoVE program (Grant NNX15AV86A), the Bonanza Creek Long Term Ecological Research Program, and the USDA Forest Service McIntire-Stennis Program.</t>
  </si>
  <si>
    <t>10.1080/15230430.2019.1650542</t>
  </si>
  <si>
    <t>WOS:000486105800028</t>
  </si>
  <si>
    <t>Dalton, A; Copland, L; Tivy, A; Van Wychen, W; Cook, A</t>
  </si>
  <si>
    <t>Dalton, Abigail; Copland, Luke; Tivy, Adrienne; Van Wychen, Wesley; Cook, Alison</t>
  </si>
  <si>
    <t>Iceberg production and characteristics around the Prince of Wales Icefield, Ellesmere Island, 1997-2015</t>
  </si>
  <si>
    <t>Canadian Arctic; glacier dynamics; iceberg production; sea ice conditions; synthetic aperture radar</t>
  </si>
  <si>
    <t>SEA-ICE; DYNAMIC DISCHARGE; ARCTIC AMPLIFICATION; GLACIER VELOCITIES; YELVERTON BAY; BYLOT ISLAND; MASS-LOSS; NUNAVUT; VARIABILITY; STABILITY</t>
  </si>
  <si>
    <t>Since the 1960s, warming air and sea surface temperatures have led to decreasing sea ice extent and longer periods of open water in the Canadian Arctic Archipelago (CAA), together with changes in glacier discharge patterns. An important question, therefore, is whether there is a relationship between changing sea ice conditions, glacier dynamics, and iceberg production in this region. Using synthetic aperture radar (SAR) (Radarsat-1, Radarsat-2, and ALOS PALSAR) and optical (Landsat 7 and 8) satellite imagery, iceberg plume events and sea ice break-up/freeze-up dates between 1997 and 2015 are investigated for 40 tidewater glaciers around the Prince of Wales (POW) Icefield, Ellesmere Island. Results show a clear relationship between the presence of sea ice and the production of icebergs, with similar to 49% of total iceberg plume events occurring during the 3-4 month long summer open water season and similar to 51% of events when sea ice was present the remaining 8-9 months of the year. There is no clear evidence of recent increases in iceberg production on a regional basis, but on a local, individual glacier scale there has been a connection between periods of increased iceberg plume events and: (a) acceleration in the surface velocity of Trinity and Wykeham glaciers; (b) increase in terminus retreat rates for glaciers which have not accelerated in flow speed over the past similar to 5-10 years. Comparisons with ocean temperature, surface air temperature from NCEP-NCAR reanalysis, and tidal data showed no clear relationship with iceberg plume events.</t>
  </si>
  <si>
    <t>[Dalton, Abigail; Copland, Luke; Cook, Alison] Univ Ottawa, Dept Geog Environm &amp; Geomat, Ottawa, ON K1N 6N5, Canada; [Tivy, Adrienne] Environm &amp; Climate Change Canada, Canadian Ice Serv, Ottawa, ON, Canada; [Van Wychen, Wesley] Univ Waterloo, Dept Geog &amp; Environm Management, Waterloo, ON, Canada</t>
  </si>
  <si>
    <t>University of Ottawa; Environment &amp; Climate Change Canada; Meteorological Service of Canada; Canadian Ice Service; University of Waterloo</t>
  </si>
  <si>
    <t>Dalton, A (corresponding author), Univ Ottawa, Dept Geog Environm &amp; Geomat, Ottawa, ON K1N 6N5, Canada.</t>
  </si>
  <si>
    <t>adalt043@uottawa.ca</t>
  </si>
  <si>
    <t>University of Ottawa; Canadian Ice Service (CIS); Natural Resources Canada (Program of Energy Research and Development); ArcticNet; Northern Scientific Training Program; Canadian Space Agency (Radarsat Constellation Mission Data Utilization and Application Plan); MEOPAR; NSERC; Canada Foundation for Innovation; Ontario Research Fund; Polar Continental Shelf Program; Transport Canada; SIU High North Fellowship</t>
  </si>
  <si>
    <t>University of Ottawa; Canadian Ice Service (CIS); Natural Resources Canada (Program of Energy Research and Development)(Natural Resources Canada); ArcticNet; Northern Scientific Training Program; Canadian Space Agency (Radarsat Constellation Mission Data Utilization and Application Plan); MEOPAR; NSERC(Natural Sciences and Engineering Research Council of Canada (NSERC)); Canada Foundation for Innovation(Canada Foundation for InnovationCGIARSpanish Government); Ontario Research Fund; Polar Continental Shelf Program; Transport Canada; SIU High North Fellowship</t>
  </si>
  <si>
    <t>Support for this research has been provided by the University of Ottawa, the Canadian Ice Service (CIS), Natural Resources Canada (Program of Energy Research and Development), ArcticNet, the Northern Scientific Training Program, the Canadian Space Agency (Radarsat Constellation Mission Data Utilization and Application Plan), MEOPAR, NSERC, Canada Foundation for Innovation, Ontario Research Fund, Polar Continental Shelf Program and Transport Canada. Support for travel to conferences and attendance of courses was generously provided by the ArcticNet Training Fund, GlacioEx, and the SIU High North Fellowship. We thank the communities of Grise Fiord and Resolute Bay for permission to undertake fieldwork in our study region.</t>
  </si>
  <si>
    <t>10.1080/15230430.2019.1634442</t>
  </si>
  <si>
    <t>WOS:000486105800029</t>
  </si>
  <si>
    <t>Hoffecker, JF; Pitulko, VV; Pavlova, EY</t>
  </si>
  <si>
    <t>Hoffecker, J. F.; Pitulko, V. V.; Pavlova, E. Y.</t>
  </si>
  <si>
    <t>Climate, Technology, and Glaciers: The Settlement of the Western Hemisphere</t>
  </si>
  <si>
    <t>VESTNIK SANKT-PETERBURGSKOGO UNIVERSITETA-ISTORIYA</t>
  </si>
  <si>
    <t>settlement of the Americas; Neanderthals; modern humans; paleoecology; Northern Asia; Beringia</t>
  </si>
  <si>
    <t>MIDDLE PALEOLITHIC SITE; MODERN HUMANS; TERMINAL PLEISTOCENE; BERINGIAN STANDSTILL; ISOTOPIC EVIDENCE; CHAGYRSKAYA CAVE; GLOBAL DISPERSAL; COLD ADAPTATION; EASTERN-EUROPE; YANA RHS</t>
  </si>
  <si>
    <t>The authors gratefully acknowledge support granted by the National Science Foundation, USA, to the Workshop to Explore the Genetics, Paleoecology, Archaeology and Anthropology of Human Migrations across the Arctic (OPP-1421233) held at the University of Colorado, Boulder, Colorado, USA in February 2016 which allowed engineering the idea of the article. Unlimited thanks due to Rock Foundation (New York, USA) for long-term support given to the research in Yana-Indighirka lowland conducted by Vladimir Pitulko since 2000. Vladimir Pitulko and Elena Pavlova are also grateful to the Russian Science Foundation for supporting the Yana research through RSF project No. 16-18-10265P-RNF. A major problem in human prehistory is the late settlement of the Americas, which were not occupied until after 15,000 years ago from Beringia. The most likely barriers to earlier settlement are: 1) high-latitude environments (characterized by low biological productivity and extreme winter temperatures); and 2) the North American ice sheet complex, which probably blocked both coastal and interior migration routes between Beringia and NW North America at various times before 15,000 years ago. Here we argue that each was a barrier to earlier settlement, but to different human taxa. Neanderthals, Denisovans, and other non-modern representatives of Homo did not occupy latitudes above 60 degrees North, which precluded occupation of Beringia and migration to the Western Hemisphere. The critical variables probably were: 1) resource scarcity, reflecting low plant and animal productivity; and 2) low winter temperatures. Homo sapiens, expanding out of Africa after 75,000 years ago, occupied virtually all terrestrial habitats in Eurasia no later than 32,000 years ago, including year-round settlement of the Arctic. Adaptation to high-latitude environments was achieved primarily with technologies of functional and structural complexity comparable to those of recent hunter-gatherers in similar settings. There is evidence of human settlement in Arctic Beringia before and during the Last Glacial Maximum (28,000-16,000 cal BP), and we conclude that the North American ice sheet complex is the only credible barrier to modern human occupation of the Western Hemisphere before 15,000 years ago.</t>
  </si>
  <si>
    <t>[Hoffecker, J. F.] Univ Colorado, Inst Arctic &amp; Alpine Res, 4001 Discovery Dr, Boulder, CO 80309 USA; [Pitulko, V. V.] Russian Acad Sci, Inst Hist Mat Culture, 18 Dvortsovaya Nab, St Petersburg 191186, Russia; [Pavlova, E. Y.] Russian Fed Serv Hydrometeorol &amp; Environm Monitor, Arctic &amp; Antarctic Res Inst, 38 Ul Beringa, St Petersburg 199397, Russia</t>
  </si>
  <si>
    <t>University of Colorado System; University of Colorado Boulder; Russian Academy of Sciences; Institute for the History of Material Culture, Russian Academy of Sciences; St. Petersburg Scientific Centre of the Russian Academy of Sciences; Arctic &amp; Antarctic Research Institute</t>
  </si>
  <si>
    <t>Hoffecker, JF (corresponding author), Univ Colorado, Inst Arctic &amp; Alpine Res, 4001 Discovery Dr, Boulder, CO 80309 USA.</t>
  </si>
  <si>
    <t>John.Hoffecker@colorado.edu; pitulko.vladimir@gmail.com; pavloval@rambler.ru</t>
  </si>
  <si>
    <t>Pavlova, Elena/AAA-3291-2019; Pitulko, Vladimir/N-4009-2019; Pitulko, Vladimir/E-2200-2015</t>
  </si>
  <si>
    <t>Pitulko, Vladimir/0000-0001-5672-2756; Pavlova, Elena/0000-0002-3010-6290</t>
  </si>
  <si>
    <t>National Science Foundation, USA [OPP-1421233]; Russian Science Foundation [16-18-10265P-RNF]</t>
  </si>
  <si>
    <t>National Science Foundation, USA(National Science Foundation (NSF)); Russian Science Foundation(Russian Science Foundation (RSF))</t>
  </si>
  <si>
    <t>The authors gratefully acknowledge support granted by the National Science Foundation, USA, to the Workshop to Explore the Genetics, Paleoecology, Archaeology and Anthropology of Human Migrations across the Arctic (OPP-1421233) held at the University of Colorado, Boulder, Colorado, USA in February 2016 which allowed engineering the idea of the article. Unlimited thanks due to Rock Foundation (New York, USA) for long-term support given to the research in Yana-Indighirka lowland conducted by Vladimir Pitulko since 2000. Vladimir Pitulko and Elena Pavlova are also grateful to the Russian Science Foundation for supporting the Yana research through RSF project No. 16-18-10265P-RNF.</t>
  </si>
  <si>
    <t>1812-9323</t>
  </si>
  <si>
    <t>VESTN ST PETER U-IST</t>
  </si>
  <si>
    <t>Vestn. St.-Peterbg. Univ.-Istoriya</t>
  </si>
  <si>
    <t>10.21638/11701/spbu02.2019.201</t>
  </si>
  <si>
    <t>IX6BM</t>
  </si>
  <si>
    <t>WOS:000485767800001</t>
  </si>
  <si>
    <t>Jadwiszczak, P; Mörs, T</t>
  </si>
  <si>
    <t>Jadwiszczak, Piotr; Mors, Thomas</t>
  </si>
  <si>
    <t>First partial skeleton of Delphinomis larseni Wiman, 1905, a slender-footed penguin from the Eocene of Antarctic Peninsula</t>
  </si>
  <si>
    <t>Antarctica; Seymour Island; Late Eocene; early Sphenisciformes; Delphinomis larseni; new material</t>
  </si>
  <si>
    <t>FOSSIL PENGUINS; SEYMOUR ISLAND; PALAEEUDYPTES-GUNNARI; BIRDS; MORPHOLOGY; OLIGOCENE; SPHENISCIFORMES; DIVERSITY; TARSOMETATARSI; ARGENTINA</t>
  </si>
  <si>
    <t>The oldest fossil record of Antarctic penguins comes from Seymour Island (Antarctic Peninsula) and dates to the Paleocene and Eocene. The Paleocene bones are extremely rare, whereas specimens from the latter epoch are numerous. Despite the recent discoveries of incomplete skeletons assignable to the giant penguins from the Eocene of Antarctic Peninsula, the reliable systematics of their smaller contemporaneous relatives, known from isolated bones, have remained dependent on the tarsometatarsus. Here, new data on the skeleton of Delphinomis larseni, the most abundant among non-giant Eocene penguins, are reported. The specimen, collected from the Submeseta Formation on Seymour Island, comprises the incomplete pelvis and numerous bones from the hind-limb skeleton, including a well-preserved (diagnostic) tarsometatarsus. The acetabular foramen is, like in larger fossil penguins, clearly smaller than the elongated ilioischiadic foramen. The area of the latter opening, not occupied by the connective-tissue sheet, supposedly accounted for one-third of the foramen. We propose that the ischiadic artery was, unlike in present-day penguins, the main blood vessel supplying most of the hind limb. The proximal fovea of the femoral head is uniquely preserved, revealing an osteological aspect of the bone-ligament interface. We surmise that the individual was similar, in terms of body size, to extant Pygoscelis papua, but was characterized by more elongate feet. In our opinion, it was probably a young bird, up to several years old.</t>
  </si>
  <si>
    <t>[Jadwiszczak, Piotr] Univ Bialystok, Inst Biol, K Ciolkowskiego 1J, PL-15245 Bialystok, Poland; [Mors, Thomas] Swedish Museum Nat Hist, Dept Paleobiol, POB 50007, SE-10405 Stockholm, Sweden</t>
  </si>
  <si>
    <t>University of Bialystok; Swedish Museum of Natural History</t>
  </si>
  <si>
    <t>Jadwiszczak, P (corresponding author), Univ Bialystok, Inst Biol, K Ciolkowskiego 1J, PL-15245 Bialystok, Poland.</t>
  </si>
  <si>
    <t>piotrj@uwb.edu.pl; thomas.mors@nrm.se</t>
  </si>
  <si>
    <t>Jadwiszczak, Piotr/0000-0002-5263-1125</t>
  </si>
  <si>
    <t>European Community - Research Infrastructure Action under the FP7 Structuring the European Research Area Programme [GB-TAF-987, GB-TAF-4610]; Swedish Research Council (VR) [2009-4447]</t>
  </si>
  <si>
    <t>European Community - Research Infrastructure Action under the FP7 Structuring the European Research Area Programme; Swedish Research Council (VR)(Swedish Research Council)</t>
  </si>
  <si>
    <t>The authors would like to thank the editors for considering the manuscript and two anonymous reviewers for their constructive and insightful comments. PJ acknowledges the financial support through SYNTHESYS funding made available by the European Community -Research Infrastructure Action under the FP7 Structuring the European Research Area Programme; projects GB-TAF-987 and GB-TAF-4610. TM thanks the Argentine Antarctic Institute (IAA-DNA), especially M. Reguero and the Argentine Air Force for logistical fieldwork support including the great hospitality at the Marambio Base as well as the Swedish Polar Research Secretariat (SPFS) for logistical support. J. Moly and J. O'Gorman are thanked for assistance in the field. Financial support from the Swedish Research Council (VR Grant 2009-4447) is gratefully acknowledged.</t>
  </si>
  <si>
    <t>32A</t>
  </si>
  <si>
    <t>10.26879/933</t>
  </si>
  <si>
    <t>IV6IK</t>
  </si>
  <si>
    <t>WOS:000484371900023</t>
  </si>
  <si>
    <t>Savas, C; Dovis, F</t>
  </si>
  <si>
    <t>Nurmi, J; Lohan, ES; Rugamer, A; Heuberger, A; Koch, W</t>
  </si>
  <si>
    <t>Savas, Caner; Dovis, Fabio</t>
  </si>
  <si>
    <t>Comparative Performance Study of Linear and Gaussian Kernel SVM Implementations for Phase Scintillation Detection</t>
  </si>
  <si>
    <t>2019 INTERNATIONAL CONFERENCE ON LOCALIZATION AND GNSS (ICL-GNSS)</t>
  </si>
  <si>
    <t>International Conference on Localization and GNSS</t>
  </si>
  <si>
    <t>9th International Conference on Localization and GNSS (ICL-GNSS)</t>
  </si>
  <si>
    <t>JUN 04-06, 2019</t>
  </si>
  <si>
    <t>Nuremberg, GERMANY</t>
  </si>
  <si>
    <t>scintillation; SVM; Gaussian; kernel</t>
  </si>
  <si>
    <t>GNSS IONOSPHERIC SCINTILLATIONS</t>
  </si>
  <si>
    <t>The aim of this paper is to analyze the design of support vector machine (SVM) algorithm that belongs to the class of supervised machine learning algorithms for phase scintillation detection and to discuss the performance comparison of linear and Gaussian kernel implementations by considering the design parameter's effects. The algorithm processes the phase scintillation indices computed for GPS L1 signals through the designed linear and Gaussian kernel SVM models. The study is based on the real GNSS signals which are affected by phase scintillations, collected at South African Antarctic research base (SANAE IV).</t>
  </si>
  <si>
    <t>[Savas, Caner; Dovis, Fabio] Politecn Torino, Dept Elect &amp; Telecom, Turin, Italy</t>
  </si>
  <si>
    <t>Polytechnic University of Turin</t>
  </si>
  <si>
    <t>Savas, C (corresponding author), Politecn Torino, Dept Elect &amp; Telecom, Turin, Italy.</t>
  </si>
  <si>
    <t>caner.savas@polito.it; fabio.dovis@polito.it</t>
  </si>
  <si>
    <t>Dovis, Fabio/F-3843-2012; SAVAS, Caner/AAJ-7383-2021</t>
  </si>
  <si>
    <t>Dovis, Fabio/0000-0001-6078-9099; SAVAS, Caner/0000-0001-7626-9899</t>
  </si>
  <si>
    <t>European Union's Horizon 2020 Research and Innovation Programme within Marie Sklodowska-Curie Actions Innovative Training Network [722023]</t>
  </si>
  <si>
    <t>European Union's Horizon 2020 Research and Innovation Programme within Marie Sklodowska-Curie Actions Innovative Training Network(European Union (EU))</t>
  </si>
  <si>
    <t>This research work is undertaken under the framework of the TREASURE project (Grant Agreement N. 722023) funded by European Union's Horizon 2020 Research and Innovation Programme within Marie Sklodowska-Curie Actions Innovative Training Network.</t>
  </si>
  <si>
    <t>2325-0747</t>
  </si>
  <si>
    <t>978-1-7281-2445-2</t>
  </si>
  <si>
    <t>INT CONF LOCAL GNSS</t>
  </si>
  <si>
    <t>10.1109/icl-gnss.2019.8752635</t>
  </si>
  <si>
    <t>BN4RE</t>
  </si>
  <si>
    <t>WOS:000482701000001</t>
  </si>
  <si>
    <t>Van de Vijver, B</t>
  </si>
  <si>
    <t>Van de Vijver, Bart</t>
  </si>
  <si>
    <t>Revision of the Psammothidium manguinii complex (Bacillariophyta) in the sub-Antarctic Region with the description of four new taxa</t>
  </si>
  <si>
    <t>FOTTEA</t>
  </si>
  <si>
    <t>Antarctic Region; type material; revision; Psammothidium; monoraphid diatoms</t>
  </si>
  <si>
    <t>WATER DIATOM COMMUNITIES; STROMNESS BAY AREA; FRESH-WATER; MONORAPHID DIATOM</t>
  </si>
  <si>
    <t>Psammothidium manguinii is a common constituent of the limnoterrestrial diatom flora of the Antarctic Region. The species shows a broad variability in several morphological and morphometrical features such as valve outline, valve width, striation pattern and length/width ratio. Analysis of the type material of Achnanthes manguinii, described by HUSTEDT in 1952, and A. manguinii var. elliptica, described by Manguin two years later, together with an analysis of a large number of P. manguinii populations from the sub-Antarctic Region (with samples from all major islands in the southern Atlantic, Indian and Pacific Ocean), resulted in a clear morphological revision of the species. Four new species are described, P. acutomanguinii sp. nov., P. antarcticum sp. nov., P. mannensianum sp. nov. and P. hodgsonii Van de Vijver et Verleyen sp. nov., whereas the former variety elliptica is brought to species level: P. ellipticomanguinii nom. et stat. nov. The morphology, ecology and distribution of all species are discussed and a morphological comparison is made.</t>
  </si>
  <si>
    <t>[Van de Vijver, Bart] Meise Bot Garden, Res Dept, Nieuwelaan 38, B-1860 Meise, Belgium; [Van de Vijver, Bart] Univ Antwerp, Dept Biol, ECOBE, Univ Pl 1, B-2610 Antwerp, Belgium</t>
  </si>
  <si>
    <t>University of Antwerp</t>
  </si>
  <si>
    <t>Van de Vijver, B (corresponding author), Meise Bot Garden, Res Dept, Nieuwelaan 38, B-1860 Meise, Belgium.;Van de Vijver, B (corresponding author), Univ Antwerp, Dept Biol, ECOBE, Univ Pl 1, B-2610 Antwerp, Belgium.</t>
  </si>
  <si>
    <t>bart.vandevijver@plantentuinmeise.be</t>
  </si>
  <si>
    <t>Australian Antarctic Division [4156]; UK Natural Environment Research Council [NE/K004514/1]; Institut Polaire Francais -Paul-Emile Victor (IPEV); NERC [NE/K004514/1] Funding Source: UKRI</t>
  </si>
  <si>
    <t>Australian Antarctic Division; UK Natural Environment Research Council(UK Research &amp; Innovation (UKRI)Natural Environment Research Council (NERC)); Institut Polaire Francais -Paul-Emile Victor (IPEV); NERC(UK Research &amp; Innovation (UKRI)Natural Environment Research Council (NERC))</t>
  </si>
  <si>
    <t>Dr. N.J.M. Gremmen is thanked for providing the samples of Heard Island, the Kerguelen Archipelago and the Prince Edward Islands. Fieldwork on Macquarie Island was carried out by Dominic Hodgson, Steve Roberts and Wim Van Nieuwenhuyze with logistic support from the Australian Antarctic Division (Project 4156) and the UK Natural Environment Research Council (NE/K004514/1). Dr. Dale Vitt is thanked for the samples from Campbell Island. Further sampling on the Crozet Archipelago and the Kerguelen Archipelago was made possible with the logistic and financial support of the Institut Polaire Francais -Paul-Emile Victor (IPEV) in the frame of the Terrestrial Ecology program 136 (Yves Frenot &amp; Marc Lebouvier). This study was further supported by the BELSPO MICROBIAN project to visit the National History Museum in London, UK. Alex Ball and the staff of the IAC laboratory at the Natural History Museum are thanked for his help with the scanning electron microscopy. The Hustedt Collection in Bremerhaven and the Museum d'Histoire Naturelle de Paris are thanked for providing the historical material of Hustedt and Manguin. The British Antarctic Survey (Cambridge, UK) is thanked for allowing the use of the Campbell Island material from their collection. Mr. Myriam de Haan is thanked for technical assistance preparing the samples.</t>
  </si>
  <si>
    <t>CZECH PHYCOLOGICAL SOC</t>
  </si>
  <si>
    <t>PRAHA 2</t>
  </si>
  <si>
    <t>BENATSKA 2,, PRAHA 2, CZ-128 01, CZECH REPUBLIC</t>
  </si>
  <si>
    <t>1802-5439</t>
  </si>
  <si>
    <t>Fottea</t>
  </si>
  <si>
    <t>10.5507/fot.2019.001</t>
  </si>
  <si>
    <t>IT3LA</t>
  </si>
  <si>
    <t>WOS:000482753200006</t>
  </si>
  <si>
    <t>Georgievsky, MV; Golovanov, OF</t>
  </si>
  <si>
    <t>Georgievsky, M., V; Golovanov, O. F.</t>
  </si>
  <si>
    <t>Forecasting changes in river water resources of Russian Federation based on CMIP5 runoff data</t>
  </si>
  <si>
    <t>forecasting changes; river water resources; coupled atmosphere-ocean general circulation models; CMIP5 runoff data</t>
  </si>
  <si>
    <t>The article is devoted to the analysis of river runoff data provided by the latest generation of the Coupled Atmosphere-Ocean General Circulation Models (AOGCMs) in the framework of the CMIP5 project. The main aim of this research is to forecast the probable changes in river water resources of the main rivers of the Russian Federation. At the first stage of investigation, a comprehensive analysis of the river runoff computational models and the quality of the initial AOGCMs information were carried out. This analysis was performed in several steps. First, the average long-term model river runoff for the base period of 1981-2000 was compared with the average long-term values of the observed discharge for the seven largest rivers of the Russian Federation (Volga, Pechora, Northern Dvina, Ob, Lena, Yenisei and Amur). In addition, the spatial distribution of the river runoff throughout the territory of Russia provided by the AOGCMs was analyzed. Then, the adequacy (negative or unrealistic runoff values) of the simulated future runoff changes for each of the forecast scenarios was checked. If any of the verification tests revealed incorrect model data, the model was excluded from further research. As a result, 24 AOGCMs were selected. At the second stage of research, a model ensemble was formed based on the 24 selected models for the implementation of forecasting estimates. The forecasting estimates were carried out for two forecast periods (2021-2040 and 2041-2060) in relation to the 1981-2000 period. Calculations were performed for two (RCP4.5 and RCP8.5) forecast scenarios. As a result, future changes in river water resources of the 34 largest rivers of the Russian Federation were obtained and analyzed; additionally, maps of future changes in annual runoff depth over the territory of Russia were constructed.</t>
  </si>
  <si>
    <t>[Georgievsky, M., V] St Petersburg State Univ, 7-9 Univ Skaya Nab, St Petersburg 199034, Russia; [Golovanov, O. F.] Arctic &amp; Antarctic Res Inst, State Res Ctr, 38 Ul Beringa, St Petersburg 199397, Russia</t>
  </si>
  <si>
    <t>Georgievsky, MV (corresponding author), St Petersburg State Univ, 7-9 Univ Skaya Nab, St Petersburg 199034, Russia.</t>
  </si>
  <si>
    <t>mgeorgievsky@hotmail.com</t>
  </si>
  <si>
    <t>10.21638/spbu07.2019.203</t>
  </si>
  <si>
    <t>IS5ZM</t>
  </si>
  <si>
    <t>WOS:000482231700003</t>
  </si>
  <si>
    <t>Putro, WS; Muztaba, R; Pratiwi, N; Putri, ANI; Birastri, W</t>
  </si>
  <si>
    <t>Malasan, HL; Putro, WS; Muztaba, R</t>
  </si>
  <si>
    <t>Putro, W. S.; Muztaba, R.; Pratiwi, N.; Putri, A. N. I.; Birastri, W.</t>
  </si>
  <si>
    <t>Internet of Things (IoT) For Galactic Cosmic Ray Application Over Astronomical Observatory in Near Future: A Review Study</t>
  </si>
  <si>
    <t>10TH SOUTHEAST ASIA ASTRONOMY NETWORK</t>
  </si>
  <si>
    <t>Journal of Physics Conference Series</t>
  </si>
  <si>
    <t>10th Southeast-Asia-Astronomical-Network (SEAAN) Meeting</t>
  </si>
  <si>
    <t>OCT 18-21, 2018</t>
  </si>
  <si>
    <t>INDONESIA</t>
  </si>
  <si>
    <t>Galactic Cosmic Rays Application (GCR); Internet of Things (IoT); and Natural Hazard</t>
  </si>
  <si>
    <t>Galactic Cosmic Ray (GCR) it's very harmful for human life. The Ultra high Neutrino radiation GCR energy from outside galaxy were intimidated Earth and Environmental. The measurement GCR energy using neuron monitor is successful to capture Ultra-high Neutron and Gamma ray, respectively. During Fourth Industrial Revolution (4IR), the current neutron monitor was expanded into Internet of Things (IoT) system to obtain Ultra-high Neutron and Gamma ray in near future. Thus, in this study aimed to develop conceptual study of Neutron Monitor with IoT system over Astronomical Observatory. The result shows Neutron Monitor with IoT system need to deploy in Equator and Antarctic region due to Gamma ray distribution. Here, Neutron Monitor data with IoT system were applied to analyse Natural Hazard potential with predictor from GCR flux parameter. By using auto send status from IoT system, Natural Hazard potential will be updated per-hour into stakeholder (e.g. hospital, Astronautics, and meteorology service). Thus, a disaster victim from Natural Hazard potential caused by Ultra-high Neutron and Gamma ray will be minimized using IoT system during evacuation process in near future.</t>
  </si>
  <si>
    <t>[Putro, W. S.; Muztaba, R.; Pratiwi, N.; Putri, A. N. I.; Birastri, W.] Inst Teknol Sumatera ITERA, Dept Atmospher &amp; Planetary Sci, Lampung 35365, Sumatera, Indonesia; [Putro, W. S.; Birastri, W.] Inst Teknol Sumatera ITERA, Ctr Meteorol Climatol &amp; Geophys, Jati Agung 35365, Lampung, Indonesia</t>
  </si>
  <si>
    <t>Putro, WS (corresponding author), Inst Teknol Sumatera ITERA, Dept Atmospher &amp; Planetary Sci, Lampung 35365, Sumatera, Indonesia.;Putro, WS (corresponding author), Inst Teknol Sumatera ITERA, Ctr Meteorol Climatol &amp; Geophys, Jati Agung 35365, Lampung, Indonesia.</t>
  </si>
  <si>
    <t>wahyu.putro@aps.itera.ac.id</t>
  </si>
  <si>
    <t>Putro, Wahyu Sasongko/W-3569-2019</t>
  </si>
  <si>
    <t>Putro, Wahyu Sasongko/0000-0002-5386-2726; Birastri, Wirid/0000-0001-6814-1385</t>
  </si>
  <si>
    <t>Institut Teknologi Sumatera (ITERA)</t>
  </si>
  <si>
    <t>We would like to thank the Institut Teknologi Sumatera (ITERA) for research funding. SEAAN local organizing committee and MKG Research Assistant and the other parts were supporting this research activity.</t>
  </si>
  <si>
    <t>IOP PUBLISHING LTD</t>
  </si>
  <si>
    <t>BRISTOL</t>
  </si>
  <si>
    <t>DIRAC HOUSE, TEMPLE BACK, BRISTOL BS1 6BE, ENGLAND</t>
  </si>
  <si>
    <t>1742-6588</t>
  </si>
  <si>
    <t>1742-6596</t>
  </si>
  <si>
    <t>J PHYS CONF SER</t>
  </si>
  <si>
    <t>10.1088/1742-6596/1231/1/012024</t>
  </si>
  <si>
    <t>Astronomy &amp; Astrophysics; Physics, Multidisciplinary</t>
  </si>
  <si>
    <t>Astronomy &amp; Astrophysics; Physics</t>
  </si>
  <si>
    <t>BN4KE</t>
  </si>
  <si>
    <t>WOS:000482070600024</t>
  </si>
  <si>
    <t>Zingerle, P; Pail, R; Scheinert, M; Schaller, T</t>
  </si>
  <si>
    <t>Zingerle, P.; Pail, R.; Scheinert, M.; Schaller, T.</t>
  </si>
  <si>
    <t>Evaluation of terrestrial and airborne gravity data over Antarctica - a generic approach</t>
  </si>
  <si>
    <t>JOURNAL OF GEODETIC SCIENCE</t>
  </si>
  <si>
    <t>Antarctica; combined gravity field modelling; fast synthesis method; global geopotential model; gravity field</t>
  </si>
  <si>
    <t>SPHERICAL-HARMONICS</t>
  </si>
  <si>
    <t>The AntGrav project, funded by the German Research Foundation (DFG) has the main objective to homogenize and optimize Antarctic gravity field information. Within this project an evaluation procedure is needed to inspect all different kind of gravity field surveys available in Antarctica. In this paper a suitable methodology is proposed. We present an approach for fast 3D gravity point data reduction in different spectral bands. This is achieved through pre-calculating a fine 3D mesh of synthesized gravity functionals over the entirety of the Antarctic continent, for which two different global models are used: the combined satellite model GOCO05s for the long-wavelength part, and the topographic model Earth2014 for the shorter wavelengths. To maximize the applicability separate meshes are calculated for different spectral bands in order to specifically reduce a certain band or a selected combination. All meshes are calculated for gravity anomalies as well as gravity disturbances. Utilizing these meshes, synthesized gravity data at arbitrary positions is computed by conventional 3D interpolation methods (e.g. linear, cubic or spline). It is shown that the applied approach can reach a worstcase interpolation error of less than 1 mGal. Evaluation results are presented for the AntGG grid and exemplary for the in-situ measurements of the AGAP and BAS-LAND campaigns. While general properties, large-scale errors and systematic effectscan usually be detected, small-scale errors (e.g. of single points) are mostly untraceable due to the uncertainties within the topographic model.</t>
  </si>
  <si>
    <t>[Zingerle, P.] Tech Univ Munich, Inst Astron &amp; Phys Geodesy, Munich, Germany; [Scheinert, M.; Schaller, T.] Tech Univ Dresden, Inst Planetare Geodasie, Dresden, Germany</t>
  </si>
  <si>
    <t>Technical University of Munich; Technische Universitat Dresden</t>
  </si>
  <si>
    <t>Zingerle, P (corresponding author), Tech Univ Munich, Inst Astron &amp; Phys Geodesy, Munich, Germany.</t>
  </si>
  <si>
    <t>zingerle@tum.de</t>
  </si>
  <si>
    <t>Pail, Roland/ABE-8800-2021; Pail, Roland/H-5621-2011</t>
  </si>
  <si>
    <t>Zingerle, Philipp/0000-0003-4792-4406; Scheinert, Mirko/0000-0002-0892-8941</t>
  </si>
  <si>
    <t>Deutsche Forschungsgemeinschaft (DFG) [PA 1543/18-1, SCHE 1426/24-1]</t>
  </si>
  <si>
    <t>Deutsche Forschungsgemeinschaft (DFG)(German Research Foundation (DFG))</t>
  </si>
  <si>
    <t>This work was supported by the Deutsche Forschungsgemeinschaft (DFG) in the framework of the priority programme Antarctic Research with comparative investigations in Arctic ice areas by the grants PA 1543/18-1 and SCHE 1426/24-1.</t>
  </si>
  <si>
    <t>SCIENDO</t>
  </si>
  <si>
    <t>DE GRUYTER POLAND SP Z O O, BOGUMILA ZUGA 32A STR, 01-811 WARSAW, POLAND</t>
  </si>
  <si>
    <t>2081-9919</t>
  </si>
  <si>
    <t>2081-9943</t>
  </si>
  <si>
    <t>J GEOD SCI</t>
  </si>
  <si>
    <t>J. Geod. Sci.</t>
  </si>
  <si>
    <t>10.1515/jogs-2019-0004</t>
  </si>
  <si>
    <t>Remote Sensing</t>
  </si>
  <si>
    <t>IS5NK</t>
  </si>
  <si>
    <t>WOS:000482199200001</t>
  </si>
  <si>
    <t>Li, X; Yuan, X; Gu, B; Yang, S; Li, Z; Du, F</t>
  </si>
  <si>
    <t>CaballeroGarcia, MD; Pandey, SB; CastroTirado, AJ</t>
  </si>
  <si>
    <t>Li, X.; Yuan, X.; Gu, B.; Yang, S.; Li, Z.; Du, F.</t>
  </si>
  <si>
    <t>CHINESE ANTARCTIC ASTRONOMICAL OPTICAL TELESCOPES</t>
  </si>
  <si>
    <t>V WORKSHOP ON ROBOTIC AUTONOMOUS OBSERVATORIES, 2017</t>
  </si>
  <si>
    <t>Revista Mexicana de Astronomia y Astrofisica-Serie de Conferencias</t>
  </si>
  <si>
    <t>5th Workshop on Robotic Autonomous Observatories</t>
  </si>
  <si>
    <t>OCT 16-20, 2017</t>
  </si>
  <si>
    <t>Mazagon, SPAIN</t>
  </si>
  <si>
    <t>telescopes</t>
  </si>
  <si>
    <t>DOME</t>
  </si>
  <si>
    <t>Due to its superb seeing conditions, the Antarctica plateau is widely considered to be an excellent astronomical site. The long periods of uninterrupted darkness at polar sites such as Dome A provide a possibility of continuous observation for more than three months, which is quite suitable for time-domain astronomy. Since 2008, several wide-field optical photometric telescopes, including Chinese Small Telescope ARray (CSTAR), two of the Three Antarctic Survey Telescopes (AST3), have been deployed on Dome A. Science with these telescopes covers variable stars, supernovas, exoplanets, etc. For the remoteness of the Antarctic plateau, these telescopes are designed to observe autonomously and operate remotely via satellite communication. As for future plan, Kunlun Dark Universe Survey Telescope (KDUST), a 2.5-meter optic/infrared telescope, is being proposed as one of the two major facilities of Chinese Antarctic Observatory.</t>
  </si>
  <si>
    <t>[Li, X.; Yuan, X.; Gu, B.; Yang, S.; Li, Z.; Du, F.] Chinese Acad Sci, Natl Astron Observ, Nanjing Inst Astron Opt &amp; Technol, Nanjing 210042, Jiangsu, Peoples R China; [Li, X.; Yuan, X.; Gu, B.; Yang, S.; Li, Z.; Du, F.] Chinese Acad Sci, Nanjing Inst Astron Opt &amp; Technol, Key Lab Astron Opt &amp; Technol, Nanjing 210042, Jiangsu, Peoples R China; [Yuan, X.] Chinese Ctr Antarct Astron, Beijing, Peoples R China</t>
  </si>
  <si>
    <t>Chinese Academy of Sciences; National Astronomical Observatory, CAS; Nanjing Institute of Astronomical Optics &amp; Technology, NAOC, CAS; Chinese Academy of Sciences; Nanjing Institute of Astronomical Optics &amp; Technology, NAOC, CAS</t>
  </si>
  <si>
    <t>Li, X (corresponding author), Chinese Acad Sci, Natl Astron Observ, Nanjing Inst Astron Opt &amp; Technol, Nanjing 210042, Jiangsu, Peoples R China.;Li, X (corresponding author), Chinese Acad Sci, Nanjing Inst Astron Opt &amp; Technol, Key Lab Astron Opt &amp; Technol, Nanjing 210042, Jiangsu, Peoples R China.</t>
  </si>
  <si>
    <t>xyli@niaot.ac.cn</t>
  </si>
  <si>
    <t>National Basic Research Program of China; Important Direction Project of Chinese Academy of Sciences (CAS) Knowledge Innovation Project; Tsinghua University; Nanjing University</t>
  </si>
  <si>
    <t>National Basic Research Program of China(National Basic Research Program of China); Important Direction Project of Chinese Academy of Sciences (CAS) Knowledge Innovation Project; Tsinghua University; Nanjing University(Nanjing University)</t>
  </si>
  <si>
    <t>We would like to thank the Polar Research Institute of China (PRIC) for organizing the Antarctic Research Expeditions. We express our thanks to all the expedition members for providing invaluable assistance for us to install and maintain the telescopes. Also we would like to give our thanks to Australia cooperators for their great works on PLATO and PLATO-A and helpful discussions on telescope development. The authors are also grateful for the support by the National Basic Research Program of China, the Important Direction Project of Chinese Academy of Sciences (CAS) Knowledge Innovation Project, Tsinghua University and Nanjing University for their financial support.</t>
  </si>
  <si>
    <t>UNIVERSIDAD NACIONAL AUTONOMA MEXICO INSTITUTO ASTRONOMIA</t>
  </si>
  <si>
    <t>MEXICO CITY</t>
  </si>
  <si>
    <t>APARTADO POSTAL 70-264, MEXICO CITY 04510, MEXICO</t>
  </si>
  <si>
    <t>1405-2059</t>
  </si>
  <si>
    <t>REV MEX AST ASTR</t>
  </si>
  <si>
    <t>10.22201/ia.14052059p.2019.51.23</t>
  </si>
  <si>
    <t>Astronomy &amp; Astrophysics</t>
  </si>
  <si>
    <t>BN3TI</t>
  </si>
  <si>
    <t>WOS:000480824300022</t>
  </si>
  <si>
    <t>Lok, LB; Nicholls, KW; Corr, HFJ</t>
  </si>
  <si>
    <t>Lok, L. B.; Nicholls, K. W.; Corr, H. F. J.</t>
  </si>
  <si>
    <t>HF antenna prototype for geophysical ground penetrating radar</t>
  </si>
  <si>
    <t>2019 13TH EUROPEAN CONFERENCE ON ANTENNAS AND PROPAGATION (EUCAP)</t>
  </si>
  <si>
    <t>Proceedings of the European Conference on Antennas and Propagation</t>
  </si>
  <si>
    <t>13th European Conference on Antennas and Propagation (EuCAP)</t>
  </si>
  <si>
    <t>MAR 31-APR 05, 2019</t>
  </si>
  <si>
    <t>Krakow, POLAND</t>
  </si>
  <si>
    <t>antenna; ground penetrating radar; high frequency band</t>
  </si>
  <si>
    <t>We describe an HF antenna design and implementation intended for ground penetrating radar applications in glaciology and hydrology. The HF antenna is based on modifications of a twin terminated folded dipole design. Prototypes of the HF antenna were built and then tested with a frequency-modulated continuous-wave radar operating from 25 MHz to 45 MHz, in a preliminary experiment for subsurface water detection.</t>
  </si>
  <si>
    <t>[Lok, L. B.] Univ Lancaster, Dept Engn, Lancaster, England; [Nicholls, K. W.; Corr, H. F. J.] British Antarctic Survey, Cambridge, England</t>
  </si>
  <si>
    <t>Lancaster University; UK Research &amp; Innovation (UKRI); Natural Environment Research Council (NERC); NERC British Antarctic Survey</t>
  </si>
  <si>
    <t>Lok, LB (corresponding author), Univ Lancaster, Dept Engn, Lancaster, England.</t>
  </si>
  <si>
    <t>l.lok@lancaster.ac.uk</t>
  </si>
  <si>
    <t>Corr, Hugh/C-5398-2011</t>
  </si>
  <si>
    <t>Lok, Lai Bun/0000-0002-0033-9173</t>
  </si>
  <si>
    <t>2164-3342</t>
  </si>
  <si>
    <t>978-8-8907-0188-7</t>
  </si>
  <si>
    <t>PROC EUR CONF ANTENN</t>
  </si>
  <si>
    <t>Engineering, Electrical &amp; Electronic; Telecommunications</t>
  </si>
  <si>
    <t>Engineering; Telecommunications</t>
  </si>
  <si>
    <t>BN3NI</t>
  </si>
  <si>
    <t>WOS:000480384702201</t>
  </si>
  <si>
    <t>Ignatova-Ivanova, T; Ibryamova, S; Chipev, N; Ivanov, R</t>
  </si>
  <si>
    <t>Ignatova-Ivanova, Ts; Ibryamova, S.; Chipev, N.; Ivanov, R.</t>
  </si>
  <si>
    <t>Isolation, Identification, Morphological and Adhesion Properties of Microorganisms from Antarctic Soils</t>
  </si>
  <si>
    <t>INTERNATIONAL JOURNAL OF ECOLOGY &amp; DEVELOPMENT</t>
  </si>
  <si>
    <t>Antarctica; Livingston Island; microorganisms; adhesion properties; SEM JSM 5510</t>
  </si>
  <si>
    <t>VICTORIA LAND; BACTERIA</t>
  </si>
  <si>
    <t>In the present study we present the results from the isolation and study of microorganisms from Antarctic soils. The soil and lichen samples were gathered from the Livingston Island, South Shetland Islands. For the isolation of the different microorganism, different nutritious media were used. The isolated microorganisms were macro-morphologically and micro-morphologically studied. We also investigated the adhesion properties of defined microorganisms on the surface of different metals (copper, aluminium, low carbon steel, and zinc) by using the SEM system JSM 5510. Our results demonstrated that the Antarctic continent is a habitat for a diversity of species of microorganisms despite the harsh living conditions. The microorganisms from the Antarctic continent represent a significant carbon pool. The implication for future studies of such icy environments is that it is essential to know how quickly they are accumulated (growth rate vs. input rate), i.e. whether the microorganisms identified are merely transient organisms, established but not dividing, established and dividing slowly or established and reproducing effectively.</t>
  </si>
  <si>
    <t>[Ignatova-Ivanova, Ts; Ibryamova, S.; Chipev, N.] Shumen Univ, Dept Biol, Shumen, Bulgaria; [Ignatova-Ivanova, Ts; Ibryamova, S.; Chipev, N.; Ivanov, R.] Shumen Univ Konstantin Preslayski, Dept Biol, 115 Univ Ska Str, Shumen, Bulgaria</t>
  </si>
  <si>
    <t>University of Shumen; University of Shumen</t>
  </si>
  <si>
    <t>Ignatova-Ivanova, T (corresponding author), Shumen Univ, Dept Biol, Shumen, Bulgaria.;Ignatova-Ivanova, T (corresponding author), Shumen Univ Konstantin Preslayski, Dept Biol, 115 Univ Ska Str, Shumen, Bulgaria.</t>
  </si>
  <si>
    <t>ts.ignatovaivanova@shu.bg; s.ibryamova@shu.bg; n.chipev@shu.bg; r.ivanov@shu.bg</t>
  </si>
  <si>
    <t>Chipev, Nesho/ABG-8857-2021</t>
  </si>
  <si>
    <t>Ignatova-Ivanova, Tsveteslava/0000-0002-4644-266X</t>
  </si>
  <si>
    <t>Shumen University [RD-08-104/01.02.2019]; Bulgarian Ministry of Education and Science under the National Program for Research Young Scientists and Postdoctoral Students</t>
  </si>
  <si>
    <t>Shumen University; Bulgarian Ministry of Education and Science under the National Program for Research Young Scientists and Postdoctoral Students</t>
  </si>
  <si>
    <t>This study was partly funded by project RD-08-104/01.02.2019 of Shumen University and and the Bulgarian Ministry of Education and Science under the National Program for Research Young Scientists and Postdoctoral Students.</t>
  </si>
  <si>
    <t>CENTRE ENVIRONMENT SOCIAL &amp; ECONOMIC RESEARCH PUBL-CESER</t>
  </si>
  <si>
    <t>UTTARAKHAND</t>
  </si>
  <si>
    <t>PO BOX 113 ROORKEE, UTTARAKHAND, 247 667, INDIA</t>
  </si>
  <si>
    <t>0972-9984</t>
  </si>
  <si>
    <t>0973-7308</t>
  </si>
  <si>
    <t>INT J ECOL DEV</t>
  </si>
  <si>
    <t>Int. J. Ecol. Dev.</t>
  </si>
  <si>
    <t>Ecology</t>
  </si>
  <si>
    <t>IQ0FI</t>
  </si>
  <si>
    <t>WOS:000480425800001</t>
  </si>
  <si>
    <t>de Aguiar, MHP</t>
  </si>
  <si>
    <t>Portella de Aguiar, Monica Heinzelmann</t>
  </si>
  <si>
    <t>Tripartite periodization of the Antarctic Treaty system from a systemic perspective</t>
  </si>
  <si>
    <t>RELACIONES INTERNACIONALES</t>
  </si>
  <si>
    <t>Antarctic Treaty System; International Relations; international regimes; systemic perspective; international cooperation</t>
  </si>
  <si>
    <t>In 1959, twelve countries with a strong record of interest in Antarctica signed a Treaty allowing accessibility to all signatories wishing to conduct peaceful scientific research. The Antarctic Treaty established science and international cooperation as its cornerstones but raised controversies because of its hosting of sovereignty claims over Antarctic territory. This research aims to fill a gap in literature proposing a strict periodization of the Antarctic Treaty System under a systemic perspective. The paper also examines Brazil's accession to the Treaty. Using as indicators of legitimacy the increase in membership and the transparency of decision-making processes, the author argues that the Antarctic Treaty System has come to be recognized as a legitimate international regime.</t>
  </si>
  <si>
    <t>[Portella de Aguiar, Monica Heinzelmann] UCAM, Rio De Janeiro, Brazil; [Portella de Aguiar, Monica Heinzelmann] Univ Fed Fluminense, Inst Estudos Estrateg INEST, NEA, Niteroi, RJ, Brazil</t>
  </si>
  <si>
    <t>Universidade Federal Fluminense</t>
  </si>
  <si>
    <t>de Aguiar, MHP (corresponding author), UCAM, Rio De Janeiro, Brazil.;de Aguiar, MHP (corresponding author), Univ Fed Fluminense, Inst Estudos Estrateg INEST, NEA, Niteroi, RJ, Brazil.</t>
  </si>
  <si>
    <t>monicahpaguiar@gmail.com</t>
  </si>
  <si>
    <t>Heinzelmann Portella de Aguiar, Monica/0000-0002-4446-8110</t>
  </si>
  <si>
    <t>UNIV NACL LA PLATA, FAC LAW &amp; SCIENCE</t>
  </si>
  <si>
    <t>BUENOS AIRES</t>
  </si>
  <si>
    <t>CALLE 48, NO 582, 5 FL 1900 LA PLATA, BUENOS AIRES, 00000, ARGENTINA</t>
  </si>
  <si>
    <t>1515-3371</t>
  </si>
  <si>
    <t>2314-2766</t>
  </si>
  <si>
    <t>RELAC INT</t>
  </si>
  <si>
    <t>Relac. Int.</t>
  </si>
  <si>
    <t>JAN-JUN</t>
  </si>
  <si>
    <t>International Relations</t>
  </si>
  <si>
    <t>IP9SE</t>
  </si>
  <si>
    <t>WOS:000480389600004</t>
  </si>
  <si>
    <t>Fineschi, S; Capobianco, G; Massone, G; Susino, R; Zangrilli, L; Bemporad, A; Liberatore, A; Landini, F; Romoli, M; Damé, L; Christille, JM; Sandri, P; Marmonti, M; Galy, C</t>
  </si>
  <si>
    <t>Fineschi, S.; Capobianco, G.; Massone, G.; Susino, R.; Zangrilli, L.; Bemporad, A.; Liberatore, A.; Landini, F.; Romoli, M.; Dame, L.; Christille, J. M.; Sandri, P.; Marmonti, M.; Galy, C.</t>
  </si>
  <si>
    <t>AntarctiCor: Solar Coronagraph in Antarctica for the ESCAPE Project</t>
  </si>
  <si>
    <t>NUOVO CIMENTO C-COLLOQUIA AND COMMUNICATIONS IN PHYSICS</t>
  </si>
  <si>
    <t>The Antarctica solar coronagraph -AntarctiCor- for the Extreme Solar Coronagraphy Antarctic Program Experiment ESCAPE comprises an internally-occulted coronagraph based on the externally-occulted ASPIICS coronagraph for the ESA formation-flying PROBA-3 mission. This paper describes the AntarctiCor design for ground-based observations from the DomeC Antarctica plateau of the polarized broad-band (591 nm +/- 5 nm) K-corona and of the narrowband (FWHM = 0.5 nm), polarized emission of the coronal green-line at 530.3 nm. The science goal of these observations is to map the topology and dynamics of the coronal magnetic field, addressing coronal heating and space weather questions.</t>
  </si>
  <si>
    <t>[Fineschi, S.; Capobianco, G.; Massone, G.; Susino, R.; Zangrilli, L.; Bemporad, A.; Liberatore, A.; Landini, F.] Osserv Astron Torino, INAF, Pino Torinese, Italy; [Romoli, M.] Univ Firenze, Dipartimento Fis &amp; Astron, Florence, Italy; [Dame, L.] UVSQ, CNRS, IPSL, LATMOS, Paris, France; [Christille, J. M.] Osservatorio Astron Valle Aosta, Lignan, Italy; [Sandri, P.] OHB, Munich, Germany; [Marmonti, M.] Optec SpA, Parabiago, Italy; [Galy, C.] Ctr Spatiale Liege, Liege, Belgium</t>
  </si>
  <si>
    <t>University of Turin; Istituto Nazionale Astrofisica (INAF); University of Florence; Sorbonne Universite; Universite Paris Saclay; Centre National de la Recherche Scientifique (CNRS); Universite Paris Cite; University of Liege</t>
  </si>
  <si>
    <t>Fineschi, S (corresponding author), Osserv Astron Torino, INAF, Pino Torinese, Italy.</t>
  </si>
  <si>
    <t>silvano.fineschi@inaf.it</t>
  </si>
  <si>
    <t>Romoli, Marco/AAG-2402-2021; Bemporad, Alessandro/D-1507-2018; Liberatore, Alessandro/AAD-2629-2019</t>
  </si>
  <si>
    <t>Romoli, Marco/0000-0001-9921-1198; Bemporad, Alessandro/0000-0001-5796-5653; Liberatore, Alessandro/0000-0002-0016-7594; /0000-0002-2789-816X; Susino, Roberto/0000-0002-1017-7163; Capobianco, Gerardo/0000-0003-0520-2528</t>
  </si>
  <si>
    <t>Italian Piano Nazionale Ricerche Antartico (PNRA) [N. 2015-AC3.02]</t>
  </si>
  <si>
    <t>Italian Piano Nazionale Ricerche Antartico (PNRA)</t>
  </si>
  <si>
    <t>The AntarctiCor-ESCAPE project is funded by the Italian Piano Nazionale Ricerche Antartico (PNRA), grant N. 2015-AC3.02.</t>
  </si>
  <si>
    <t>SOC ITALIANA FISICA</t>
  </si>
  <si>
    <t>BOLOGNA</t>
  </si>
  <si>
    <t>VIA SARAGOZZA, 12, I-40123 BOLOGNA, ITALY</t>
  </si>
  <si>
    <t>2037-4909</t>
  </si>
  <si>
    <t>1826-9885</t>
  </si>
  <si>
    <t>NUOVO CIM C-COLLOQ C</t>
  </si>
  <si>
    <t>Nuovo Cim. C-Colloq. Commun. Phys.</t>
  </si>
  <si>
    <t>JAN-FEB</t>
  </si>
  <si>
    <t>10.1393/ncc/i2019-19026-9</t>
  </si>
  <si>
    <t>Physics, Multidisciplinary</t>
  </si>
  <si>
    <t>Physics</t>
  </si>
  <si>
    <t>IM0EL</t>
  </si>
  <si>
    <t>WOS:000477658400004</t>
  </si>
  <si>
    <t>Marcucci, MF; Coco, I; Massetti, S; Longo, S; Biondi, D; Simeoli, E; Marchaudon, A; Koustov, A; Pallocchia, G; Consolini, G; Laurenza, M</t>
  </si>
  <si>
    <t>Marcucci, M. F.; Coco, I.; Massetti, S.; Longo, S.; Biondi, D.; Simeoli, E.; Marchaudon, A.; Koustov, A.; Pallocchia, G.; Consolini, G.; Laurenza, M.</t>
  </si>
  <si>
    <t>Dome C East radar: Preliminary analysis of echo statistics</t>
  </si>
  <si>
    <t>SUPERDARN</t>
  </si>
  <si>
    <t>Ionospheric echo occurrence rates for the Dome C East Super Dual Auroral Radar Network radar are presented with a focus on seasonal and solar cycle effects.</t>
  </si>
  <si>
    <t>[Marcucci, M. F.; Massetti, S.; Biondi, D.; Pallocchia, G.; Consolini, G.; Laurenza, M.] INAF, Ist Astrofis &amp; Planetol Spaziali, Rome, Italy; [Coco, I.] INGV, Sez Roma 2, Rome, Italy; [Longo, S.] CNR, Dipartimento Terra Ambiente, Rome, Italy; [Simeoli, E.] CNR, Reti &amp; Serv Informat, Rome, Italy; [Marchaudon, A.] IRAP, Toulouse, France; [Koustov, A.] Univ Saskatchewan, Saskatoon, SK, Canada</t>
  </si>
  <si>
    <t>Istituto Nazionale Astrofisica (INAF); Istituto Nazionale Geofisica e Vulcanologia (INGV); Consiglio Nazionale delle Ricerche (CNR); Consiglio Nazionale delle Ricerche (CNR); Universite de Toulouse; Universite Toulouse III - Paul Sabatier; Centre National de la Recherche Scientifique (CNRS); University of Saskatchewan</t>
  </si>
  <si>
    <t>Marcucci, MF (corresponding author), INAF, Ist Astrofis &amp; Planetol Spaziali, Rome, Italy.</t>
  </si>
  <si>
    <t>Longo, Savino/B-7610-2014; Laurenza, Monica/HMD-8729-2023; Marcucci, Maria federica/HNJ-5276-2023; Massetti, Stefano/HMP-1275-2023; Coco, Igino/X-7419-2018</t>
  </si>
  <si>
    <t>Laurenza, Monica/0000-0001-5481-4534; Massetti, Stefano/0000-0002-7767-1334; Coco, Igino/0000-0003-4070-6828; CONSOLINI, Giuseppe/0000-0002-3403-647X; Marcucci, Maria Federica/0000-0002-5002-6060; Marchaudon, Aurelie/0000-0002-1625-3462; Pallocchia, Giuseppe/0000-0003-0428-6993</t>
  </si>
  <si>
    <t>Italian National Program for Antarctic Research</t>
  </si>
  <si>
    <t>This activity is supported by the Italian National Program for Antarctic Research.</t>
  </si>
  <si>
    <t>10.1393/ncc/i2019-19046-5</t>
  </si>
  <si>
    <t>WOS:000477658400012</t>
  </si>
  <si>
    <t>Albornoz, CIC</t>
  </si>
  <si>
    <t>Cabrera Albornoz, Camilo Ignacio</t>
  </si>
  <si>
    <t>IN SEARCH OF AN ANTARCTIC TERRITORIALITY. EFFORTS FROM THE STATE TO FORGE THE SENSE OF BELONGING TO THE ANTARCTIC DURING THE FIRST HALF OF THE 20TH CENTURY</t>
  </si>
  <si>
    <t>REVISTA NOTAS HISTORICAS Y GEOGRAFICAS</t>
  </si>
  <si>
    <t>Spanish</t>
  </si>
  <si>
    <t>Territoriality; Antarctic; State; Nation</t>
  </si>
  <si>
    <t>The present research seeks to enter, from an exhaustive historiographic and documentary review, in what were the systematic efforts of the Chilean State to forge a sense of belonging in the country of the inhabitants of the national territory with respect to Antarctica during the first fifty years of the twentieth century. The analysis of the concepts State, Territory and Territoriality and its connection with the Antarctic, allows to configure a rather pristine map of what is the role executed from the high spheres of power during the middle century around the constant search for the creation of a lasting bond between the inhabitant and that new territory that came to form part of the body of the nation.</t>
  </si>
  <si>
    <t>[Cabrera Albornoz, Camilo Ignacio] Pontificia Univ Catolica Valparaiso, Valparaiso, Chile</t>
  </si>
  <si>
    <t>Pontificia Universidad Catolica de Valparaiso</t>
  </si>
  <si>
    <t>Albornoz, CIC (corresponding author), Pontificia Univ Catolica Valparaiso, Valparaiso, Chile.</t>
  </si>
  <si>
    <t>camilocabrera2011@gmail.com</t>
  </si>
  <si>
    <t>UNIV PLAYA ANCHA CIENCIAS EDUCACION</t>
  </si>
  <si>
    <t>VALPARAISO</t>
  </si>
  <si>
    <t>AVENIDA PLAYA ANCHA 850, VALPARAISO, 00000, CHILE</t>
  </si>
  <si>
    <t>0717-036X</t>
  </si>
  <si>
    <t>0719-4404</t>
  </si>
  <si>
    <t>REV NOTAS HIST GEOGR</t>
  </si>
  <si>
    <t>Rev. Notas Hist. Geogr.</t>
  </si>
  <si>
    <t>Humanities, Multidisciplinary</t>
  </si>
  <si>
    <t>Arts &amp; Humanities - Other Topics</t>
  </si>
  <si>
    <t>IK9SS</t>
  </si>
  <si>
    <t>WOS:000476936900009</t>
  </si>
  <si>
    <t>Yang, Z; Kang, ZZ; Cheng, X; Yang, JT</t>
  </si>
  <si>
    <t>Yang, Ze; Kang, Zhizhong; Cheng, Xiao; Yang, Juntao</t>
  </si>
  <si>
    <t>Improved multi-scale image matching approach for monitoring Amery ice shelf velocity using Landsat 8</t>
  </si>
  <si>
    <t>EUROPEAN JOURNAL OF REMOTE SENSING</t>
  </si>
  <si>
    <t>Image entropy; multi-scale image matching; normalized cross-correlation; Amery ice shelf velocity</t>
  </si>
  <si>
    <t>REPEAT IMAGES; ANTARCTICA; GLACIER; SHEET; FLOW; DEFORMATION; TERRAIN; RETREAT</t>
  </si>
  <si>
    <t>The velocity of an ice shelf is an important characteristic to understand its dynamics and interaction with the internal ice sheet. Therefore, we develop an improved multi-scale image matching method for producing a complete and accurate Amery ice shelf velocity field from Landsat 8 images. First, we investigate the relationship between the template size and the image entropy and propose an image entropy-based preliminary operation for distinguishing the high-contrast regions from the low-contrast regions prior to iteratively determining the optimum template size. Second, a Gaussian pyramid image-based hierarchical data structure is designed to support a coarse-to-fine image matching strategy.The image entropy-based matching method is applied on the top layer of the image pyramid to guarantee the matching results have optimal completeness and high accuracy. Finally, a postprocess procedure is performed to derive a complete and accurate Amery ice shelf velocity field. Experimental results demonstrate that the proposed method can significantly improve computational efficiency. Moreover, the proposed method provides more accurate and robust matching results than other existing methods, particularly over the low-contrast surfaces. Additionally, the derived velocity field also shows good consistency with the one acquired from MEaSUREs Annual Antarctic Ice Velocity Maps 2016-2017.</t>
  </si>
  <si>
    <t>[Yang, Ze; Kang, Zhizhong; Yang, Juntao] China Univ Geosci, Sch Land Sci &amp; Technol, Dept Remote Sensing &amp; Geoinformat Engn, Beijing, Peoples R China; [Cheng, Xiao] Beijing Normal Univ, Coll Global Change &amp; Earth Syst Sci GCESS, State Key Lab Remote Sensing Sci, Beijing, Peoples R China; [Cheng, Xiao] JCGCS, Beijing, Peoples R China</t>
  </si>
  <si>
    <t>Beijing Normal University</t>
  </si>
  <si>
    <t>Kang, ZZ (corresponding author), China Univ Geosci, Sch Land Sci &amp; Technol, Dept Remote Sensing &amp; Geoinformat Engn, Beijing, Peoples R China.</t>
  </si>
  <si>
    <t>zzkang@cugb.edu.cn</t>
  </si>
  <si>
    <t>Yang, Juntao/AAJ-9886-2020</t>
  </si>
  <si>
    <t>Yang, Juntao/0000-0002-7530-2623</t>
  </si>
  <si>
    <t>National Natural Science Foundation of China [41471360]; National Key Research and Development program of China [2016YEC1402704]</t>
  </si>
  <si>
    <t>National Natural Science Foundation of China(National Natural Science Foundation of China (NSFC)); National Key Research and Development program of China</t>
  </si>
  <si>
    <t>This work was supported by the National Natural Science Foundation of China [41471360]; National Key Research and Development program of China [2016YEC1402704]</t>
  </si>
  <si>
    <t>2279-7254</t>
  </si>
  <si>
    <t>EUR J REMOTE SENS</t>
  </si>
  <si>
    <t>Eur. J. Remote Sens.</t>
  </si>
  <si>
    <t>10.1080/22797254.2018.1556073</t>
  </si>
  <si>
    <t>IJ5ET</t>
  </si>
  <si>
    <t>WOS:000475926300004</t>
  </si>
  <si>
    <t>Tressaud, A</t>
  </si>
  <si>
    <t>Tressaud, Alain</t>
  </si>
  <si>
    <t>Fluorinated compounds in our environment: Fluorine, friend or foe for humanity?</t>
  </si>
  <si>
    <t>FLUORINE: A PARADOXICAL ELEMENT</t>
  </si>
  <si>
    <t>Progress in Fluorine Science Series</t>
  </si>
  <si>
    <t>BRICK-TEA; CRYSTAL-STRUCTURE; SATSUMA-IWOJIMA; DRINKING-WATER; TRACE-ELEMENTS; GRAZED-PASTURE; CERAMIC FLOOR; MOUNT EREBUS; NEBULA M1-67; ANTARCTIC H5</t>
  </si>
  <si>
    <t>[Tressaud, Alain] Univ Bordeaux, CNRS, ICMCB, Pessac, France</t>
  </si>
  <si>
    <t>Universite de Bordeaux; Centre National de la Recherche Scientifique (CNRS)</t>
  </si>
  <si>
    <t>Tressaud, A (corresponding author), Univ Bordeaux, CNRS, ICMCB, Pessac, France.</t>
  </si>
  <si>
    <t>ELSEVIER SCIENCE BV</t>
  </si>
  <si>
    <t>AMSTERDAM</t>
  </si>
  <si>
    <t>SARA BURGERHARTSTRAAT 25, PO BOX 211, 1000 AE AMSTERDAM, NETHERLANDS</t>
  </si>
  <si>
    <t>978-0-12-812991-3; 978-0-12-812990-6</t>
  </si>
  <si>
    <t>PROGR FLUOR SCI SER</t>
  </si>
  <si>
    <t>10.1016/B978-0-12-812990-6.00003-9</t>
  </si>
  <si>
    <t>Chemistry, Inorganic &amp; Nuclear; Chemistry, Organic</t>
  </si>
  <si>
    <t>Chemistry</t>
  </si>
  <si>
    <t>BN0ID</t>
  </si>
  <si>
    <t>WOS:000472932900005</t>
  </si>
  <si>
    <t>Hejduková, E; Pinseel, E; Vanormelingen, P; Nedbalová, L; Elster, J; Vyverman, W; Sabbe, K</t>
  </si>
  <si>
    <t>Hejdukova, Eva; Pinseel, Eveline; Vanormelingen, Pieter; Nedbalova, Linda; Elster, Josef; Vyverman, Wim; Sabbe, Koen</t>
  </si>
  <si>
    <t>Tolerance of pennate diatoms (Bacillariophyceae) to experimental freezing: comparison of polar and temperate strains</t>
  </si>
  <si>
    <t>PHYCOLOGIA</t>
  </si>
  <si>
    <t>Antarctica; Arctic; Cryopreservation; Freezing; Stress tolerance</t>
  </si>
  <si>
    <t>MARINE PLANKTONIC DIATOM; RESTING CELLS; CHAETOCEROS-PSEUDOCURVISETUS; MACROMOLECULAR-COMPOSITION; EXPERIMENTAL DESICCATION; BENTHIC DIATOMS; FRESH-WATER; SEA-ICE; SPORES; ALGAE</t>
  </si>
  <si>
    <t>Although polar regions are characterised by extreme environment conditions with overall low temperatures and often pronounced diurnal to seasonal temperature fluctuations, diatoms (Bacillariophyceae) thrive in a wide range of nonmarine polar habitats, suggesting that they are well adapted to these harsh conditions. In this study, tolerance to freezing of vegetative and resting cells of 17 polar and nine temperate diatom strains, belonging to different morphospecies and originating from both freshwater and terrestrial habitats, was experimentally tested. Most strains were newly isolated from sites in Maritime Antarctica (James Ross Island and Vega Island), the High Arctic (Spitsbergen) and Europe. Cultures were exposed to five freezing treatments differing in temperature (-4, -20, -40 and -180 degrees C), freezing rate (gradual, abrupt), time (1 h, 12 h) and thawing rate (slow, fast). Results indicated that diatoms were sensitive to experimental freezing. Freezing temperatures had a significant effect on strain survival: all strains survived -4 degrees C; most survived -20 degrees C; five survived -40 and four of these (all belonging to the Pinnularia borealis complex) survived freezing in liquid nitrogen (-180 degrees C). The cooling and thawing rate had a significant impact on survival: abrupt cooling and slow thawing resulted in much lower survival rates than gradual cooling and fast thawing. Resting cells showed better growth than vegetative cells after freezing treatment but only in the -4 degrees C treatment. Surprisingly, no striking differences in growth recovery were observed between polar and temperate strains.</t>
  </si>
  <si>
    <t>[Hejdukova, Eva; Nedbalova, Linda] Charles Univ Prague, Fac Sci, Dept Ecol, Vinicna 7, CZ-12844 Prague 2, Czech Republic; [Pinseel, Eveline; Vanormelingen, Pieter; Vyverman, Wim; Sabbe, Koen] Univ Ghent, Fac Sci, Dept Biol, PAE, Krijgslaan 281-S8, B-9000 Ghent, Belgium; [Pinseel, Eveline] Meise Bot Garden, Res Dept, Nieuwelaan 38, B-1860 Meise, Belgium; [Pinseel, Eveline] Univ Antwerp, Fac Sci, Dept Biol, Ecosyst Management Res Grp ECOBE, Univ Pl 1, B-2610 Antwerp, Belgium; [Nedbalova, Linda; Elster, Josef] Czech Acad Sci, Inst Bot, CZ-37982 Trebon, Czech Republic; [Elster, Josef] Univ South Bohemia, Ctr Polar Ecol, Fac Sci, Na Zlate Stoce 3, CZ-37005 Ceske Budejovice, Czech Republic</t>
  </si>
  <si>
    <t>Charles University Prague; Ghent University; University of Antwerp; Czech Academy of Sciences; Institute of Botany of the Czech Academy of Sciences; University of South Bohemia Ceske Budejovice</t>
  </si>
  <si>
    <t>Hejduková, E (corresponding author), Charles Univ Prague, Fac Sci, Dept Ecol, Vinicna 7, CZ-12844 Prague 2, Czech Republic.</t>
  </si>
  <si>
    <t>eva.hejdukova@natur.cuni.cz</t>
  </si>
  <si>
    <t>Nedbalová, Linda/AFF-8321-2022; Hejdukova, Eva/N-2502-2017; Pinseel, Eveline/ABF-5980-2020; Nedbalová, Linda/AAF-1001-2022</t>
  </si>
  <si>
    <t>Nedbalová, Linda/0000-0003-1800-714X; Hejdukova, Eva/0000-0002-1967-0253; Pinseel, Eveline/0000-0002-1801-2187; Nedbalová, Linda/0000-0003-1800-714X; Sabbe, Koen/0000-0001-5163-5581; Elster, Josef/0000-0002-4535-5636; Vyverman, Wim/0000-0003-0850-2569</t>
  </si>
  <si>
    <t>Grant Agency of Charles University [20217]; Charles University Mobility grant; Fund for Scientific Research -Flanders (FWO-Flanders, Belgium) [2010-0096]; Ministry of Education, Youth and Sports of the Czech Republic [LM2015078]; Argentine Antarctic Institute [2010-0096]; Hlavka Foundation; [RVO67985939]</t>
  </si>
  <si>
    <t>Grant Agency of Charles University; Charles University Mobility grant; Fund for Scientific Research -Flanders (FWO-Flanders, Belgium)(FWO); Ministry of Education, Youth and Sports of the Czech Republic(Ministry of Education, Youth &amp; Sports - Czech Republic); Argentine Antarctic Institute; Hlavka Foundation;</t>
  </si>
  <si>
    <t>The research was supported by the Grant Agency of Charles University (Project No. 20217), a Charles University Mobility grant, the Hlavka Foundation, Institutional Research Concept RVO67985939 (funding to EH, LN, JE), and the Fund for Scientific Research -Flanders (FWO-Flanders, Belgium, funding to EP). We thank the Argentine Antarctic Institute for the logistical support during the Antarctic expedition in 2014 (Picto Project No. 2010-0096) and the Ministry of Education, Youth and Sports of the Czech Republic for use of their facilities (Project LM2015078 CzechPolar 2).</t>
  </si>
  <si>
    <t>0031-8884</t>
  </si>
  <si>
    <t>2330-2968</t>
  </si>
  <si>
    <t>Phycologia</t>
  </si>
  <si>
    <t>10.1080/00318884.2019.1591835</t>
  </si>
  <si>
    <t>Plant Sciences; Marine &amp; Freshwater Biology</t>
  </si>
  <si>
    <t>IJ1OX</t>
  </si>
  <si>
    <t>WOS:000475669100005</t>
  </si>
  <si>
    <t>Lay, T</t>
  </si>
  <si>
    <t>Duarte, JC</t>
  </si>
  <si>
    <t>Lay, Thorne</t>
  </si>
  <si>
    <t>Reactivation of Oceanic Fracture Zones in Large Intraplate Earthquakes?</t>
  </si>
  <si>
    <t>TRANSFORM PLATE BOUNDARIES AND FRACTURE ZONES</t>
  </si>
  <si>
    <t>MACQUARIE RIDGE EARTHQUAKE; M-W 8.6; DISTRIBUTED LITHOSPHERIC DEFORMATION; INDIAN-OCEAN; WHARTON BASIN; MARCH 25; GREAT EARTHQUAKE; STRIKE-SLIP; ANTARCTIC EARTHQUAKE; FAULT REACTIVATION</t>
  </si>
  <si>
    <t>[Lay, Thorne] Univ Calif Santa Cruz, Dept Earth &amp; Planetary Sci, Santa Cruz, CA 95064 USA</t>
  </si>
  <si>
    <t>University of California System; University of California Santa Cruz</t>
  </si>
  <si>
    <t>Lay, T (corresponding author), Univ Calif Santa Cruz, Dept Earth &amp; Planetary Sci, Santa Cruz, CA 95064 USA.</t>
  </si>
  <si>
    <t>Lay, Thorne/ABE-6272-2021</t>
  </si>
  <si>
    <t>978-0-12-812246-4; 978-0-12-812064-4</t>
  </si>
  <si>
    <t>10.1016/B978-0-12-812064-4.00004-9</t>
  </si>
  <si>
    <t>Geochemistry &amp; Geophysics; Geology</t>
  </si>
  <si>
    <t>BN0CO</t>
  </si>
  <si>
    <t>WOS:000472666500005</t>
  </si>
  <si>
    <t>Hrynowiecka, A; Zarski, M; Drzewicki, W</t>
  </si>
  <si>
    <t>Hrynowiecka, Anna; Zarski, Marcin; Drzewicki, Wojciech</t>
  </si>
  <si>
    <t>The rank of climatic oscillations during MIS 11c (OHO and YHO) and post-interglacial cooling during MIS lib and MIS ha in eastern Poland</t>
  </si>
  <si>
    <t>GEOLOGICAL QUARTERLY</t>
  </si>
  <si>
    <t>substages of MIS 11; Mazovian/Holsteinian Interglacial; MIS 12 and MIS 10 glaciation range; palaeoclimate changes; E Poland palaeolakeland; Carbon isotope</t>
  </si>
  <si>
    <t>MARINE ISOTOPE STAGE-11; MIDDLE-PLEISTOCENE; LAKE ELGYGYTGYN; CHRONOLOGY AICC2012; TENAGHI-PHILIPPON; NORTH-ATLANTIC; CENTRAL-EUROPE; ANTARCTIC ICE; VARIABILITY; VEGETATION</t>
  </si>
  <si>
    <t>Lacustrine sediments representing Marine Isotope Stage 11 (MIS 11) were found in HermanOw (SE Poland) in a present-day closed depression under a thin cover of Weichselian and Holocene deposits (1.4 m). These sediments filled a palaeolake created as a result of melting of a dead-ice block at the end of MIS 12. Geological research has excluded the presence of an ice sheet during MIS 12 in this area. The lobe of the ice sheet of this glaciation was located several kilometres to the west of HermanOw. The palaeolake was part of a larger palaeolakeland in southeastern Poland, formed during MIS 11. The palaeomorphology of this interglacial is evident in the contemporary relief of the area and the outline of the lakes corresponds to the pattern of the closed palaeodepressions. Based on the record of sediments from HermanOw, a new perspective regarding the sub-division of MIS 11 is presented. Two regressive phases are observed in the Holsteinian Interglacial (MIS 11c) OHO and YHO. The subsequent substages with five cold fluctuations according to the newest stratigraphic standards should be assigned to MIS 11 b with a very clear cooling and a slightly warmer MIS 11 a. Carbon isotopic composition of organic matter corroborates geological and environmental analysis. The isotopic composition suggests two cooling periods: OHO and MIS 1h b. Stable climatic conditions with little temperature fluctuations persisted between the cooling periods.</t>
  </si>
  <si>
    <t>[Hrynowiecka, Anna] Polish Geol Inst, Natl Res Inst, Marine Geol Branch, Koscierska 5, PL-80328 Gdansk, Poland; [Zarski, Marcin] Polish Geol Inst, Natl Res Inst, Rakowiecka 4, PL-00975 Warsaw, Poland; [Drzewicki, Wojciech] Univ Wroclaw, Inst Geol Sci, Cybulskiego 30, PL-50205 Wroclaw, Poland</t>
  </si>
  <si>
    <t>Polish Geological Institute - National Research Institute; Polish Geological Institute - National Research Institute; University of Wroclaw</t>
  </si>
  <si>
    <t>Hrynowiecka, A (corresponding author), Polish Geol Inst, Natl Res Inst, Marine Geol Branch, Koscierska 5, PL-80328 Gdansk, Poland.</t>
  </si>
  <si>
    <t>ahry@pgi.gov.pl</t>
  </si>
  <si>
    <t>; Hrynowiecka, Anna/E-5661-2019</t>
  </si>
  <si>
    <t>Drzewicki, Wojciech Ryszard/0000-0002-3490-1929; Zarski, Marcin/0000-0002-0699-6561; Hrynowiecka, Anna/0000-0002-6878-9007</t>
  </si>
  <si>
    <t>POLISH GEOLOGICAL INST</t>
  </si>
  <si>
    <t>RAKOWIECKA 4, BLDG A, ROOM 434, PL-00-975 WARSAW, POLAND</t>
  </si>
  <si>
    <t>1641-7291</t>
  </si>
  <si>
    <t>2082-5099</t>
  </si>
  <si>
    <t>GEOL Q</t>
  </si>
  <si>
    <t>Geol. Q.</t>
  </si>
  <si>
    <t>10.7306/gq.1470</t>
  </si>
  <si>
    <t>IH8FX</t>
  </si>
  <si>
    <t>WOS:000474741900010</t>
  </si>
  <si>
    <t>Vedishcheva, EV; Korostelev, NB; Gordeev, II; Orlov, AM</t>
  </si>
  <si>
    <t>Vedishcheva, Elena V.; Korostelev, Nikolai B.; Gordeev, Ilya I.; Orlov, Alexei M.</t>
  </si>
  <si>
    <t>A first attempt to evaluate the age and growth of blue hake Antimora rostrata (Moridae, Gadiformes, Teleostei) from the Lazarev and Weddell seas (Antarctic)</t>
  </si>
  <si>
    <t>POLAR RECORD</t>
  </si>
  <si>
    <t>Blue hake Antimora rostrata; Otoliths; Age; Size; Growth; Antarctic</t>
  </si>
  <si>
    <t>FAMILY MORIDAE; BIOLOGY; FISH; TRENDS</t>
  </si>
  <si>
    <t>For the first time, the results of the study of the age and growth of blue hake Antimora rostrata in the waters of the Lazarev and Weddell seas (Antarctic) are presented. The longline catches were represented by fish from 42 to 69 cm in total length with weights between 420 and 2,900 g, and most individuals aged 25 to 27 years. A minimum age of 16 years was observed in a fish 47 cm long and weighing 450 g, while a maximum age of 35 years was recorded for an individual of 69 cm in length and 1,640 g in weight. The blue hake in the Lazarev and Weddell seas shows similar growth patterns to the fish from the Ross Sea and waters off Greenland.</t>
  </si>
  <si>
    <t>[Vedishcheva, Elena V.; Gordeev, Ilya I.; Orlov, Alexei M.] Russian Fed Res Inst Fisheries &amp; Oceanog VNIRO, 17 V Krasnoselskaya, Moscow 107140, Russia; [Korostelev, Nikolai B.; Orlov, Alexei M.] Russian Acad Sci, AN Severtsov Inst Ecol &amp; Evolut, 33 Leninsky Prospekt, Moscow 119071, Russia; [Gordeev, Ilya I.] Lomonosov Moscow State Univ, 1-12 Leninskiye Gory, Moscow 119192, Russia; [Orlov, Alexei M.] Dagestan State Univ, 43a,Gadzhiyev St, Makhachkala 367000, Russia; [Orlov, Alexei M.] Tomsk State Univ, 36 Lenina St, Tomsk 634050, Russia</t>
  </si>
  <si>
    <t>Research lnstitute of Fisheries &amp; Oceanography; Russian Academy of Sciences; Saratov Scientific Center of the Russian Academy of Sciences; Severtsov Institute of Ecology &amp; Evolution; Lomonosov Moscow State University; Dagestan State University; Tomsk State University</t>
  </si>
  <si>
    <t>Orlov, AM (corresponding author), Russian Fed Res Inst Fisheries &amp; Oceanog VNIRO, 17 V Krasnoselskaya, Moscow 107140, Russia.;Orlov, AM (corresponding author), Russian Acad Sci, AN Severtsov Inst Ecol &amp; Evolut, 33 Leninsky Prospekt, Moscow 119071, Russia.;Orlov, AM (corresponding author), Dagestan State Univ, 43a,Gadzhiyev St, Makhachkala 367000, Russia.;Orlov, AM (corresponding author), Tomsk State Univ, 36 Lenina St, Tomsk 634050, Russia.</t>
  </si>
  <si>
    <t>orlov@vniro.ru</t>
  </si>
  <si>
    <t>Gordeev, Ilya/F-2972-2017; Коростелев, Николай/AAN-9687-2021; Orlov, Alexei M./E-2036-2012</t>
  </si>
  <si>
    <t>Gordeev, Ilya/0000-0002-6650-9120; Orlov, Alexei M./0000-0002-0877-2553</t>
  </si>
  <si>
    <t>Russian Fund of Basic Research [16-04-0516]</t>
  </si>
  <si>
    <t>Russian Fund of Basic Research(Russian Foundation for Basic Research (RFBR))</t>
  </si>
  <si>
    <t>This work was supported by the Russian Fund of Basic Research (grant no. 16-04-0516).</t>
  </si>
  <si>
    <t>0032-2474</t>
  </si>
  <si>
    <t>1475-3057</t>
  </si>
  <si>
    <t>POLAR REC</t>
  </si>
  <si>
    <t>POLAR REC.</t>
  </si>
  <si>
    <t>PII S0032247419000147</t>
  </si>
  <si>
    <t>10.1017/S0032247419000147</t>
  </si>
  <si>
    <t>IH6JE</t>
  </si>
  <si>
    <t>WOS:000474600700004</t>
  </si>
  <si>
    <t>Ivanov, BV</t>
  </si>
  <si>
    <t>IOP</t>
  </si>
  <si>
    <t>Ivanov, B. V.</t>
  </si>
  <si>
    <t>Comparing the earlier and the modern warming in West Arctic on example of Svalbard</t>
  </si>
  <si>
    <t>TURBULENCE, ATMOSPHERE AND CLIMATE DYNAMICS</t>
  </si>
  <si>
    <t>IOP Conference Series-Earth and Environmental Science</t>
  </si>
  <si>
    <t>International Conference on Turbulence, Atmospheric and Climate Dynamics</t>
  </si>
  <si>
    <t>MAY 16-18, 2018</t>
  </si>
  <si>
    <t>Moscow, RUSSIA</t>
  </si>
  <si>
    <t>POLAR AMPLIFICATION</t>
  </si>
  <si>
    <t>The article analyzes the common features and differences of earlier and modern warming observed. The longest-period series of meteorological observations made on the Svalbard archipelago are used. The phases of growth of surface air temperature are studied. It has been shown that earlier warming was more significant in comparison with modern warming. The most significant anomalies are observed in the winter months in early warming, while modern warming is recorded throughout the year.</t>
  </si>
  <si>
    <t>[Ivanov, B. V.] Arctic &amp; Antarctic Res Inst, St Petersburg, Russia; [Ivanov, B. V.] St Petersburg State Univ, St Petersburg, Russia</t>
  </si>
  <si>
    <t>Arctic &amp; Antarctic Research Institute; Saint Petersburg State University</t>
  </si>
  <si>
    <t>Ivanov, BV (corresponding author), Arctic &amp; Antarctic Res Inst, St Petersburg, Russia.;Ivanov, BV (corresponding author), St Petersburg State Univ, St Petersburg, Russia.</t>
  </si>
  <si>
    <t>b_ivanov@aari.ru</t>
  </si>
  <si>
    <t>AARI project [1.5.3.7]; state of the environment of Svalbard; project Study of the rapid climate changes in the Arctic and their regional and large-scale consequences [RFMEFI615617X0078, 2017-14-588-0005-003]</t>
  </si>
  <si>
    <t>AARI project; state of the environment of Svalbard; project Study of the rapid climate changes in the Arctic and their regional and large-scale consequences</t>
  </si>
  <si>
    <t>This paper was prepared in frame of joint MET-Norway-AARI project Isfjorden -past and present climate, AARI project (No1.5.3.7) A study of long-term changes in the hydrometeorological regime and the state of the environment of Svalbard, financial supporter of RCN project POLARPROG, Joint Science Program between Met-Norway and Roshydromet (2016-2018), Russian Foundation for Basic Research ID-18-05-60291 Adaptation of the Arctic limnosis systems to rapid climate change and international project Study of the rapid climate changes in the Arctic and their regional and large-scale consequences (application code 2017-14-588-0005-003, RFMEFI615617X0078).</t>
  </si>
  <si>
    <t>1755-1307</t>
  </si>
  <si>
    <t>IOP C SER EARTH ENV</t>
  </si>
  <si>
    <t>IOP Conf. Ser. Earth Envir. Sci.</t>
  </si>
  <si>
    <t>10.1088/1755-1315/231/1/012023</t>
  </si>
  <si>
    <t>Environmental Sciences; Meteorology &amp; Atmospheric Sciences</t>
  </si>
  <si>
    <t>Environmental Sciences &amp; Ecology; Meteorology &amp; Atmospheric Sciences</t>
  </si>
  <si>
    <t>BN0UB</t>
  </si>
  <si>
    <t>WOS:000473549100022</t>
  </si>
  <si>
    <t>Ivanov, VV; Repina, IA</t>
  </si>
  <si>
    <t>Ivanov, V. V.; Repina, I. A.</t>
  </si>
  <si>
    <t>Mid-winter anomaly of sea ice in the Western Nansen Basin in 2010s</t>
  </si>
  <si>
    <t>ATLANTIC WATER; SEASONAL VARIABILITY; EURASIAN BASIN; CONTINENTAL-SLOPE; DECAY</t>
  </si>
  <si>
    <t>In this paper we review our earlier predictions of progressive atlantification of the Nansen Basin, meaning further eastward advance of the sub-polar structural water type along the Atlantic Water pathway. Fast and persistent reduction of sea ice area in the Western Nansen Basin in mid-winter after 2012 confirms the validity of our basic concept and gives some confidence for making cautious projection of future hydrographic and ice conditions in the Eastern Atlantic sector of the Arctic Ocean.</t>
  </si>
  <si>
    <t>[Ivanov, V. V.; Repina, I. A.] Lomonosov Moscow State Univ, Moscow, Russia; [Ivanov, V. V.] Arctic &amp; Antarctic Res Inst, St Petersburg, Russia; [Repina, I. A.] AM Obukhov Inst Atmospher Phys, Moscow, Russia</t>
  </si>
  <si>
    <t>Lomonosov Moscow State University; Arctic &amp; Antarctic Research Institute; Russian Academy of Sciences; Obukhov Institute of Atmospheric Physics of Russian Academy of Sciences</t>
  </si>
  <si>
    <t>Ivanov, VV (corresponding author), Lomonosov Moscow State Univ, Moscow, Russia.;Ivanov, VV (corresponding author), Arctic &amp; Antarctic Res Inst, St Petersburg, Russia.</t>
  </si>
  <si>
    <t>vladimir.ivanov@mail.ru</t>
  </si>
  <si>
    <t>Repina, Irina A/H-3530-2016; Ivanov, Vladimir/J-5979-2014</t>
  </si>
  <si>
    <t>Ivanov, Vladimir/0000-0003-2569-6027; Repina, Irina/0000-0001-7341-0826</t>
  </si>
  <si>
    <t>RFBR [17-05-00558, 18-05-60083, 18-05-60184]</t>
  </si>
  <si>
    <t>This study was supported by the RFBR grants 17-05-00558, 18-05-60083 and 18-05-60184.</t>
  </si>
  <si>
    <t>10.1088/1755-1315/231/1/012024</t>
  </si>
  <si>
    <t>WOS:000473549100023</t>
  </si>
  <si>
    <t>Makhotina, IA; Makshtas, AP; Chechin, DG</t>
  </si>
  <si>
    <t>Makhotina, I. A.; Makshtas, A. P.; Chechin, D. G.</t>
  </si>
  <si>
    <t>Meteorological winter conditions in the Central Arctic according to the drifting stations North Pole 35-40</t>
  </si>
  <si>
    <t>SEA-ICE</t>
  </si>
  <si>
    <t>The effect of clouds, wind speed and long-wave radiative balance on the surface and near-surface air temperature in the Arctic during polar night is presented. The most pronounced bimodality in frequency distributions of the cloud fraction corresponding to cloudy and clear-sky situations is found for the stations NP-35 (2007-2008), NP-37 (2009-2010) and NP-38 (2010-2011). A strong impact of the presence or absence of clouds on the air-surface temperature difference is shown. For clear-sky situations nonmonotonic dependency of near-surface air temperature on wind speed is found.</t>
  </si>
  <si>
    <t>[Makhotina, I. A.; Makshtas, A. P.] Arctic &amp; Antarctic Res Inst, St Petersburg, Russia; [Chechin, D. G.] Russian Acad Sci, AM Obukhov Inst Atmospher Phys, Moscow, Russia</t>
  </si>
  <si>
    <t>Arctic &amp; Antarctic Research Institute; Russian Academy of Sciences; Obukhov Institute of Atmospheric Physics of Russian Academy of Sciences</t>
  </si>
  <si>
    <t>Makhotina, IA (corresponding author), Arctic &amp; Antarctic Res Inst, St Petersburg, Russia.</t>
  </si>
  <si>
    <t>ir@aari.ru</t>
  </si>
  <si>
    <t>Makhotina, Irina/AAB-4279-2019; Chechin, Dmitry/J-9923-2016</t>
  </si>
  <si>
    <t>Makhotina, Irina/0000-0001-7208-685X; Chechin, Dmitry/0000-0003-0021-9945</t>
  </si>
  <si>
    <t>Russian Science Foundation [18-77-10072]; Ministry of Education and Science of the Russian Federation [RFMEFI61617X0076]; Russian Science Foundation [18-77-10072] Funding Source: Russian Science Foundation</t>
  </si>
  <si>
    <t>Russian Science Foundation(Russian Science Foundation (RSF)); Ministry of Education and Science of the Russian Federation(Ministry of Education and Science, Russian Federation); Russian Science Foundation(Russian Science Foundation (RSF))</t>
  </si>
  <si>
    <t>The data analysis carried out by Makhotina I. A. and Chechin D.G. is funded by the Russian Science Foundation grant (No. 18-77-10072). The work of Makshtas A.P. is supported by the Ministry of Education and Science of the Russian Federation (project RFMEFI61617X0076).</t>
  </si>
  <si>
    <t>10.1088/1755-1315/231/1/012031</t>
  </si>
  <si>
    <t>WOS:000473549100030</t>
  </si>
  <si>
    <t>Makshtas, AP; Makhotina, IA; Timachev, VF</t>
  </si>
  <si>
    <t>Makshtas, A. P.; Makhotina, I. A.; Timachev, V. F.</t>
  </si>
  <si>
    <t>Characteristics of atmosphere - sea ice energy exchange in the Central Arctic</t>
  </si>
  <si>
    <t>PROFILE RELATIONSHIPS</t>
  </si>
  <si>
    <t>Analysis of an interaction between long-term ice cover and atmosphere in different regions of the Arctic Ocean is conducted. For comparison the energy exchange characteristics in the western and eastern periphery of the Beaufort Gyre, the central part of the Arctic Ocean and in the area to the north of the Kara and Barents seas have been analyzed. The results of calculations based on special observations at Russian drifting station North Pole-4 and its interpretation using a simple thermodynamic model of sea ice were used. As modern in situ data, meteorological observations at drifting stations North Pole-35 (2007-2008) and North Pole-39 (2011-2012) were used. Calculations of turbulent heat fluxes in the region of the drift of the American station SHEBA were performed. A good agreement between the calculated fluxes based on the historical data and NP-39 data for the summer period is shown. Monthly mean values and standard deviations of meteorological parameters for winter period are presented on the basis of data from drifting stations North Pole-35 - North Pole-40 (20072013).</t>
  </si>
  <si>
    <t>[Makshtas, A. P.; Makhotina, I. A.; Timachev, V. F.] Arctic &amp; Antarctic Res Inst, St Petersburg, Russia</t>
  </si>
  <si>
    <t>Makshtas, AP (corresponding author), Arctic &amp; Antarctic Res Inst, St Petersburg, Russia.</t>
  </si>
  <si>
    <t>maksh@aari.ru</t>
  </si>
  <si>
    <t>Makhotina, Irina/AAB-4279-2019</t>
  </si>
  <si>
    <t>Makhotina, Irina/0000-0001-7208-685X</t>
  </si>
  <si>
    <t>Ministry of Education and Science of the Russian Federation [RFMEFI61617X0076]</t>
  </si>
  <si>
    <t>Ministry of Education and Science of the Russian Federation(Ministry of Education and Science, Russian Federation)</t>
  </si>
  <si>
    <t>The work was supported by the Ministry of Education and Science of the Russian Federation (Project RFMEFI61617X0076).</t>
  </si>
  <si>
    <t>10.1088/1755-1315/231/1/012034</t>
  </si>
  <si>
    <t>WOS:000473549100033</t>
  </si>
  <si>
    <t>Muryshev, KE; Eliseev, AV; Denisov, SN; Mokhov, II; Arzhanov, MM; Timazhev, AV</t>
  </si>
  <si>
    <t>Muryshev, K. E.; Eliseev, A. V.; Denisov, S. N.; Mokhov, I. I.; Arzhanov, M. M.; Timazhev, A. V.</t>
  </si>
  <si>
    <t>Time lag between changes in global temperature and atmospheric CO2 content under anthropogenic emissions of CO2 and CH4 into the atmosphere</t>
  </si>
  <si>
    <t>SURFACE AIR-TEMPERATURE; CARBON-DIOXIDE; CLIMATE-CHANGE; ANTARCTIC TEMPERATURE; GREENHOUSE-GAS; NATURAL CAUSES; PHASE RELATION; ATTRIBUTION; MODEL; VARIABILITY</t>
  </si>
  <si>
    <t>Previously, it was shown that the time lag between changes in global temperature T and atmospheric CO2 content q(CO2) generally does not characterize cause-and-effect relationships in the Earth system. In particular, in the case of non-greenhouse radiative forcing the sign of this lag depends on the time scale of the forcing. In this paper, the time lag between changes in T and q(CO2) under the external emissions of CO2 and CH4 into the atmosphere is studied. It was found that if the time scale of external emissions is large enough changes in q(CO2) are lagging the corresponding changes in T, though the former is the main cause of the latter.</t>
  </si>
  <si>
    <t>[Muryshev, K. E.; Eliseev, A. V.; Denisov, S. N.; Mokhov, I. I.; Arzhanov, M. M.; Timazhev, A. V.] RAS, AM Obukhov Inst Atmospher Phys, Moscow, Russia; [Eliseev, A. V.; Mokhov, I. I.] Moscow MV Lomonosov State Univ, Moscow, Russia; [Eliseev, A. V.] Kazan Fed Univ, Kazan, Russia; [Arzhanov, M. M.] State Univ, Moscow Inst Phys &amp; Technol, Dolgoprudnyi, Russia</t>
  </si>
  <si>
    <t>Russian Academy of Sciences; Obukhov Institute of Atmospheric Physics of Russian Academy of Sciences; Lomonosov Moscow State University; Kazan Federal University; Moscow Institute of Physics &amp; Technology</t>
  </si>
  <si>
    <t>Muryshev, KE (corresponding author), RAS, AM Obukhov Inst Atmospher Phys, Moscow, Russia.</t>
  </si>
  <si>
    <t>kmuryshev@mail.ru</t>
  </si>
  <si>
    <t>Arzhanov, Maxim/R-1691-2016; Denisov, Sergey/N-2700-2013; Timazhev, Alexander/AAV-1456-2021; Eliseev, Alexey/L-8707-2013</t>
  </si>
  <si>
    <t>Arzhanov, Maxim/0000-0001-7332-0249; Denisov, Sergey/0000-0001-8978-8719; Timazhev, Alexander/0000-0001-7524-9124; Eliseev, Alexey/0000-0001-7288-7649</t>
  </si>
  <si>
    <t>Russian Ministry of Education and Science [14.616.21.0078, RFMEFI61617X0078]</t>
  </si>
  <si>
    <t>Russian Ministry of Education and Science(Ministry of Education and Science, Russian Federation)</t>
  </si>
  <si>
    <t>The work has been funded by the Russian Ministry of Education and Science, agreement No 14.616.21.0078 (RFMEFI61617X0078).</t>
  </si>
  <si>
    <t>10.1088/1755-1315/231/1/012039</t>
  </si>
  <si>
    <t>WOS:000473549100038</t>
  </si>
  <si>
    <t>Zaitseva, DV; Kouznetsov, RD</t>
  </si>
  <si>
    <t>Zaitseva, D. V.; Kouznetsov, R. D.</t>
  </si>
  <si>
    <t>Observation of Kelvin-Helmholtz and propagating buoyancy waves in the Antarctic with the help of sodar and microbarograph</t>
  </si>
  <si>
    <t>BOUNDARY-LAYER; GRAVITY-WAVES; INTERNAL WAVES; ATMOSPHERE</t>
  </si>
  <si>
    <t>Internal gravity waves of different types are frequently observed in the stable atmoshperic boundary layer. The most common way to study the waves is analysis of pressure records. Remote sensing techniques also can be used to observe the waves and to estimate their parameters. We used synchronous sodar and microbarograph records obtained during austral summer at the Antarctic Finnish station Aboa (73.04 degrees S, 13.40 degrees W). Among six wave episodes of different types visible on sodar echograms there was only one in which corresponding pressure oscillations with nearly constant amplitude were present. For three episodes there were pressure oscillation with varying amplitude seemed to be associated with the waves visible on the echograms. For two cases corresponding pressure oscillations were absent.</t>
  </si>
  <si>
    <t>[Zaitseva, D. V.; Kouznetsov, R. D.] RAS, AM Obukhov Inst Atmospher Phys, Moscow, Russia; [Kouznetsov, R. D.] Finnish Meteorol Inst, Helsinki, Finland</t>
  </si>
  <si>
    <t>Russian Academy of Sciences; Obukhov Institute of Atmospheric Physics of Russian Academy of Sciences; Finnish Meteorological Institute</t>
  </si>
  <si>
    <t>Zaitseva, DV (corresponding author), RAS, AM Obukhov Inst Atmospher Phys, Moscow, Russia.</t>
  </si>
  <si>
    <t>zaycevadv@gmail.com</t>
  </si>
  <si>
    <t>Kouznetsov, Rostislav/ABD-3737-2020; Zaitseva, Daria/U-6240-2018</t>
  </si>
  <si>
    <t>Russian Foundation for Basic Researches [16-05-01070, 19-05-01008]</t>
  </si>
  <si>
    <t>Russian Foundation for Basic Researches(Russian Foundation for Basic Research (RFBR))</t>
  </si>
  <si>
    <t>The work was supported by Russian Foundation for Basic Researches, Grant NoNo 16-05-01070 and 19-05-01008. Authors thank M.A. Kallistratova for her attention to the work and useful discussions.</t>
  </si>
  <si>
    <t>10.1088/1755-1315/231/1/012054</t>
  </si>
  <si>
    <t>WOS:000473549100053</t>
  </si>
  <si>
    <t>Barr, S</t>
  </si>
  <si>
    <t>Sellheim, N; Zaika, YV; Kelman, I</t>
  </si>
  <si>
    <t>Barr, Susan</t>
  </si>
  <si>
    <t>Cultural Heritage, or How Bad News Can Also Be Good</t>
  </si>
  <si>
    <t>ARCTIC TRIUMPH: NORTHERN INNOVATION AND PERSISTENCE</t>
  </si>
  <si>
    <t>Springer Polar Sciences</t>
  </si>
  <si>
    <t>Cultural heritage; Svalbard; Tourism; Threats; Positive developments</t>
  </si>
  <si>
    <t>The material cultural heritage of the High Arctic encompasses evidence of both indigenous and non-indigenous presence all over the area. Indeed, the term Arctic wilderness in the popularly-accepted understanding of areas that are untouched by humans, scarcely exists. Humans have left their mark all over the tundra in the form of unnatural stone arrangements that might have been a camping site from a few thousand years ago or a sign to show the way, mounds that indicate a collapsed dwelling site, or piles of animal and fish bones where a small group of families had their village long ago. In areas with no indigenous population, such as the archipelago of Norwegian Svalbard, humans first began their resource-exploiting activities in the early seventeenth century, and successive waves of hunters, explorers, prospectors, scientists and tourists have left behind the ruins and relics that we today consider to be heritage worthy of protection as sources of interest, appreciation and, not least, knowledge into the past. Climate change is challenging the preservation of the Arctic cultural heritage as coastal erosion and milder, wetter and wilder weather conditions break down what was once protected by a dry and frozen climate. Work to protect and manage the heritage sites can seem as depressing as the stories of diminishing and threatened polar bear populations. However, also here there are several sides to the story and this chapter will present some of the positive results and implications of the climate change scenario on Arctic cultural heritage. These include enhanced understanding of the population of heritage sites and thereby of the whole history of the High Arctic, as well as increased international research and cooperation which has brought professionals in Arctic and Antarctic fields closer together.</t>
  </si>
  <si>
    <t>[Barr, Susan] ICOMOS Int Polar Heritage Comm, Cambridge, England</t>
  </si>
  <si>
    <t>Barr, S (corresponding author), ICOMOS Int Polar Heritage Comm, Cambridge, England.</t>
  </si>
  <si>
    <t>2510-0475</t>
  </si>
  <si>
    <t>2510-0483</t>
  </si>
  <si>
    <t>978-3-030-05523-3; 978-3-030-05522-6</t>
  </si>
  <si>
    <t>SPR POLAR SCI</t>
  </si>
  <si>
    <t>10.1007/978-3-030-05523-3_4</t>
  </si>
  <si>
    <t>10.1007/978-3-030-05523-3</t>
  </si>
  <si>
    <t>Area Studies; Cultural Studies</t>
  </si>
  <si>
    <t>Book Citation Index – Social Sciences &amp; Humanities (BKCI-SSH)</t>
  </si>
  <si>
    <t>BM8BQ</t>
  </si>
  <si>
    <t>WOS:000468823100005</t>
  </si>
  <si>
    <t>Rao, X; Huang, HL; Li, LZ; Chen, S; Yang, JL</t>
  </si>
  <si>
    <t>Rao, X.; Huang, H. L.; Li, L. Z.; Chen, S.; Yang, J. L.</t>
  </si>
  <si>
    <t>Effect of Aspect Ratio and The Maximum Relative Camber on Hydrodynamic Performance of A Vertical Double-Curved Otter Board</t>
  </si>
  <si>
    <t>4TH INTERNATIONAL CONFERENCE ON ADVANCES IN ENERGY RESOURCES AND ENVIRONMENT ENGINEERING</t>
  </si>
  <si>
    <t>4th International Conference on Advances in Energy Resources and Environment Engineering (ICAESEE)</t>
  </si>
  <si>
    <t>DEC 07-09, 2018</t>
  </si>
  <si>
    <t>Chengdu, PEOPLES R CHINA</t>
  </si>
  <si>
    <t>As an important accessory of Antarctic krill fishing gear, otter board has the effect of providing net horizontal expansion. To study the effects of aspect ratio and maximum relative camber on the hydrodynamic performance of Antarctic krill otter board, provide theoretical basis for the design and optimization of the otter board, the hydrodynamic performance parameters were analysed by flume model experiments.The results show: with the increase of aspect ratio, C-Lmax and K-max show an upward trend; when the maximum relative camber is less than or equal to 10%, the value of proportional to(0) fluctuates around 20 degrees. When the maximum relative camber is greater than 10%, proportional to(0) decreases gradually in the range of 32.5 degrees to 22.5 degrees; K proportional to(0) increases firstly and then decreases. With the increase of maximum relative camber, C-lmax shows an upward trend; K(max)shows a downward trend; when the aspect ratio is less than or equal to 2.0, proportional to(0) shows an upward trend in the range of 20 degrees to 32.5 degrees, and when the aspect ratio is greater than 2.0, the value shows a fluctuating trend around 20 degrees. K proportional to(0) fluctuates and there is no obvious principle.</t>
  </si>
  <si>
    <t>[Rao, X.; Huang, H. L.; Li, L. Z.; Chen, S.; Yang, J. L.] Chinese Acad Fishery Sci, Minist Agr, Key Lab Ocean &amp; Polar Fisheries, Shanghai 200090, Peoples R China; [Rao, X.; Huang, H. L.; Li, L. Z.; Chen, S.; Yang, J. L.] Chinese Acad Fishery Sci, East China Sea Fisheries Res Inst, Shanghai 200090, Peoples R China; [Rao, X.; Huang, H. L.; Li, L. Z.; Chen, S.; Yang, J. L.] Chinese Acad Fishery Sci, Engn Technol Res Ctr Marine Fishing, Shanghai 200090, Peoples R China</t>
  </si>
  <si>
    <t>Ministry of Agriculture &amp; Rural Affairs; Chinese Academy of Fishery Sciences; Chinese Academy of Fishery Sciences; East China Sea Fisheries Research Institute, CAFS; Chinese Academy of Fishery Sciences</t>
  </si>
  <si>
    <t>Huang, HL (corresponding author), Chinese Acad Fishery Sci, Minist Agr, Key Lab Ocean &amp; Polar Fisheries, Shanghai 200090, Peoples R China.;Huang, HL (corresponding author), Chinese Acad Fishery Sci, East China Sea Fisheries Res Inst, Shanghai 200090, Peoples R China.;Huang, HL (corresponding author), Chinese Acad Fishery Sci, Engn Technol Res Ctr Marine Fishing, Shanghai 200090, Peoples R China.</t>
  </si>
  <si>
    <t>ecshhl@163.com</t>
  </si>
  <si>
    <t>Li, Lingzhi/K-9055-2016</t>
  </si>
  <si>
    <t>East China Sea Fisheries Research Institute [2014T01]; Natural Science Foundation of China project Youth fund [31402351]</t>
  </si>
  <si>
    <t>East China Sea Fisheries Research Institute; Natural Science Foundation of China project Youth fund</t>
  </si>
  <si>
    <t>Authors wishing to acknowledge the assistance from Project NO. 2014T01 supported by special research fund for the national non-profit institutes(East China Sea Fisheries Research Institute); Natural Science Foundation of China project Youth fund(31402351);</t>
  </si>
  <si>
    <t>10.1088/1755-1315/237/3/032115</t>
  </si>
  <si>
    <t>Energy &amp; Fuels; Engineering, Environmental</t>
  </si>
  <si>
    <t>Energy &amp; Fuels; Engineering</t>
  </si>
  <si>
    <t>BN0FJ</t>
  </si>
  <si>
    <t>WOS:000472788600169</t>
  </si>
  <si>
    <t>Polyakov, V; Zazovskaya, E; Abakumov, E</t>
  </si>
  <si>
    <t>Polyakov, Vyacheslav; Zazovskaya, Elya; Abakumov, Evgeny</t>
  </si>
  <si>
    <t>Molecular composition of humic substances isolated from selected soils and cryconite of the Gronfjorden area, Spitsbergen</t>
  </si>
  <si>
    <t>Arctic; Svalbard; CIP/MAS C-13-NMR; elemental composition; organic matter</t>
  </si>
  <si>
    <t>NUCLEAR-MAGNETIC-RESONANCE; LENA RIVER DELTA; ORGANIC-MATTER; TUNDRA SOILS; CLIMATE-CHANGE; ELEMENTAL COMPOSITION; PERMAFROST CARBON; ARCTIC SOILS; C-13 NMR; VEGETATION</t>
  </si>
  <si>
    <t>Humic acids, isolated from selected soils of Gronfjorden area (Spitsbergen) were investigated in terms of molecular composition and resistance of decomposition. The degree of soils organic matter stabilization has been assessed with the use of modern instrumental methods (nuclear magnetic resonance spectroscopy (CP/MAS C-13-NMR). Analysis of the humic acids showed that aromatic compounds prevail in the organic matter formed in cryoconites, located on the glaciers surfaces. The predominance of aliphatic fragments is revealed in the soils in tidal zone that form on the coastal terrace. This could be caused by sedimentation of fresh organic matter exhibiting low decomposition stage due to the harsh climate and processes of hydrogenation in the humic acids, destruction of the C-C bonds and formation of chains with a high hydrogen content. These processes result in formation of aliphatic fragments in the humic acids. In general, soils of the studied region characterizes by low stabilized soil organic matter which is indicated by low aromaticity of the HAs.</t>
  </si>
  <si>
    <t>[Polyakov, Vyacheslav; Abakumov, Evgeny] St Petersburg State Univ, Fac Biol, Dept Appl Ecol, 16th Liniya VO 29, St Petersburg 199178, Russia; [Polyakov, Vyacheslav] FSBI Arctic &amp; Antarctic Res Inst, Beringa 38, St Petersburg 199397, Russia; [Zazovskaya, Elya] Russian Acad Sci, Inst Geog, Dept Soil Geog &amp; Evolut, Staomonentny Per 29, Moscow 119017, Russia</t>
  </si>
  <si>
    <t>Saint Petersburg State University; Russian Academy of Sciences; Institute of Geography, Russian Academy of Sciences</t>
  </si>
  <si>
    <t>Abakumov, E (corresponding author), St Petersburg State Univ, Fac Biol, Dept Appl Ecol, 16th Liniya VO 29, St Petersburg 199178, Russia.</t>
  </si>
  <si>
    <t>e_abakumov@mail.ru</t>
  </si>
  <si>
    <t>Добрянский, Александр/AAG-6075-2021; Zazovskaya, Elya/J-4800-2018; Abakumov, e_abakumov@mail.ru/ADJ-1297-2022; Abakumov, Evgeny/AAO-8580-2020; Polyakov, Vyacheslav/H-5483-2016</t>
  </si>
  <si>
    <t>Zazovskaya, Elya/0000-0002-1202-657X; Abakumov, e_abakumov@mail.ru/0000-0002-5248-9018; Abakumov, Evgeny/0000-0002-5248-9018; Polyakov, Vyacheslav/0000-0001-6171-3221</t>
  </si>
  <si>
    <t>Saint-Petersburg State University Urbanized ecosystems of the Russian Arctic: dynamics, state and sustainable development; Russian Foundation for Basic Research [17-04-01475]</t>
  </si>
  <si>
    <t>Saint-Petersburg State University Urbanized ecosystems of the Russian Arctic: dynamics, state and sustainable development; Russian Foundation for Basic Research(Russian Foundation for Basic Research (RFBR)Spanish Government)</t>
  </si>
  <si>
    <t>This work was supported by grant of Saint-Petersburg State University Urbanized ecosystems of the Russian Arctic: dynamics, state and sustainable development and Russian Foundation for Basic Research, No 17-04-01475. I am deeply indebted to editor, anonymous reviewers, and Wojciech Szymanski and Evgeny Lodygin for their helpful comments that helped to improve the manuscript.</t>
  </si>
  <si>
    <t>10.24425/ppr.2019.128369</t>
  </si>
  <si>
    <t>IF6CY</t>
  </si>
  <si>
    <t>WOS:000473169900003</t>
  </si>
  <si>
    <t>Raykova, R</t>
  </si>
  <si>
    <t>Mishonov, TM; Varonov, AM</t>
  </si>
  <si>
    <t>Raykova, Reneta</t>
  </si>
  <si>
    <t>Seismological Investigations in the Livingston Island (Antarctica) Using the LIVV Station's Records</t>
  </si>
  <si>
    <t>10TH JUBILEE CONFERENCE OF THE BALKAN PHYSICAL UNION</t>
  </si>
  <si>
    <t>AIP Conference Proceedings</t>
  </si>
  <si>
    <t>10th Jubilee Conference of the Balkan-Physical-Union (BPU)</t>
  </si>
  <si>
    <t>AUG 26-30, 2018</t>
  </si>
  <si>
    <t>Sofia, BULGARIA</t>
  </si>
  <si>
    <t>SEISMICITY</t>
  </si>
  <si>
    <t>Antarctica has been considered as an aseismic continent few decades ago. Nowadays with presence of hundreds modem seismometers the scientists reveals that a lot of earthquakes with mall to moderate magnitudes happens every day with tectonic, volcanic or glacier origins. The seismicity of Livingston Island, where the Bulgarian Antarctic base is situated, is moderate with respect to other parts of the Antarctica, but in its vicinity there are active volcanoes, active subduction zone, active rifting zone and extinct or active spreading ridges. The movements and fracturing of the glaciers on the Livingston also create a lot of micro and small seismic events. The first Bulgarian Antarctic broadband seismic station, with international code name LIVV, is working every Antarctic summer since the season of 2015/2016. Installation and operation of the station is done in the frame of the project DFNI I02/11 funded by the Bulgarian Ministry of Education and Science. A software code was developed to calculate location of events using the method of Golitzyn. The method uses a tree component station record to localize an event. The precision of the method is not good for distances more than 30 km but the results indicate eventual seismically active zones. Such active zone is detected in the east part of the Island. Also a study of the noise distribution was performed and initial evaluation of the magnitude of the registered local events was performed. The signals from a number of strong to moderate regional and teleseismic events were analyzed by frequency-time analysis, applying floating filtering. Obtained dispersion curves were inverted by optimized non-linear inversion software procedure ONLI in order to obtain the velocity structure of the Earth between the source and the receiver. Results evidenced relatively thick crust for the traces crossing the continent and a very thin crust with well-pronounced low-velocity asthenosphere channel for the traces, crossing oceanic areas.</t>
  </si>
  <si>
    <t>[Raykova, Reneta] Sofia Univ St Kliment Ohridski, Fac Phys, Dept Meteorol &amp; Geophys, 5 James Bourchier Blvd, BG-1164 Sofia, Bulgaria</t>
  </si>
  <si>
    <t>University of Sofia</t>
  </si>
  <si>
    <t>Raykova, R (corresponding author), Sofia Univ St Kliment Ohridski, Fac Phys, Dept Meteorol &amp; Geophys, 5 James Bourchier Blvd, BG-1164 Sofia, Bulgaria.</t>
  </si>
  <si>
    <t>rraykova@phys.uni-sofia.bg</t>
  </si>
  <si>
    <t>Raykova, Reneta Blagoeva/ABC-4630-2020</t>
  </si>
  <si>
    <t>Raykova, Reneta Blagoeva/0000-0001-5125-675X</t>
  </si>
  <si>
    <t>Bulgarian Ministry of Education and Science [DFNI I02/11/2014]</t>
  </si>
  <si>
    <t>Bulgarian Ministry of Education and Science</t>
  </si>
  <si>
    <t>The presented research was funded by the Bulgarian Ministry of Education and Science with Fund Research Grant DFNI I02/11/2014. Author, that is the member of the project team, thanks Liliya Dimitrova, the head of the project, selecting earthquake records analyzed in this work.</t>
  </si>
  <si>
    <t>AMER INST PHYSICS</t>
  </si>
  <si>
    <t>MELVILLE</t>
  </si>
  <si>
    <t>2 HUNTINGTON QUADRANGLE, STE 1NO1, MELVILLE, NY 11747-4501 USA</t>
  </si>
  <si>
    <t>0094-243X</t>
  </si>
  <si>
    <t>978-0-7354-1803-5</t>
  </si>
  <si>
    <t>AIP CONF PROC</t>
  </si>
  <si>
    <t>10.1063/1.5091280</t>
  </si>
  <si>
    <t>BN0CC</t>
  </si>
  <si>
    <t>WOS:000472653800163</t>
  </si>
  <si>
    <t>Gales, J; Hillenbrand, CD; Larter, R; Laberg, JS; Melles, M; Benetti, S; Passchier, S</t>
  </si>
  <si>
    <t>LeHeron, DP; Hogan, KA; Phillips, ER; Huuse, M; Busfield, ME; Graham, AGC</t>
  </si>
  <si>
    <t>Gales, Jenny; Hillenbrand, Claus-Dieter; Larter, Rob; Laberg, Jan Sverre; Melles, Martin; Benetti, Sara; Passchier, Sandra</t>
  </si>
  <si>
    <t>Processes influencing differences in Arctic and Antarctic trough mouth fan sedimentology</t>
  </si>
  <si>
    <t>GLACIATED MARGINS: THE SEDIMENTARY AND GEOPHYSICAL ARCHIVE</t>
  </si>
  <si>
    <t>Geological Society Special Publication</t>
  </si>
  <si>
    <t>GRAIN-SIZE ANALYSIS; PINE ISLAND BAY; ANIMATED TECTONIC RECONSTRUCTION; GREENLAND CONTINENTAL-MARGIN; WEICHSELIAN ICE-SHEET; DEBRIS FLOW DEPOSITS; POLAR NORTH-ATLANTIC; LAST GLACIAL MAXIMUM; SCORESBY SUND FAN; BARENTS SEA</t>
  </si>
  <si>
    <t>Trough mouth fans ( TMFs) are sediment depocentres that form along high-latitude continental margins at the mouths of some cross-shelf troughs. They reflect the dynamics of past ice sheets over multiple glacial cycles and processes operating on ( formerly) glaciated continental shelves and slopes, such as erosion, reworking, transport and deposition. The similarities and differences in TMF morphology and formation processes in the Arctic and Antarctic regions remain poorly constrained. We analyse the dimensions and geometries of 15 TMFs from Arctic and Antarctic margins and the grain size distribution of 82 sediment cores centred on them. We compare the grain size composition of sub-and proglacial diamictons deposited on the shelves and glacigenic debris flows deposited on the adjacent TMFs and find a significant difference between Arctic and Antarctic margins. Antarctic margins show a coarser grain size composition for both glacigenic debris flows and shelf diamictons. This significant difference provides insight into high-latitude sediment input, transportation and glacial-interglacial regimes. We suggest that surface runoff and river discharge are responsible for enhanced fine-grained sediment input in the Arctic compared with the Antarctic.</t>
  </si>
  <si>
    <t>[Gales, Jenny] Univ Plymouth, Sch Biol &amp; Marine Sci, Plymouth PL4 8AA, Devon, England; [Hillenbrand, Claus-Dieter; Larter, Rob] British Antarctic Survey, Madingley Rd, Cambridge CB3 0ET, England; [Laberg, Jan Sverre] UiT Arctic Univ Norway, Postboks 6050 Langnes, N-9037 Tromso, Norway; [Melles, Martin] Univ Cologne, Zulpicher Str 49a-b, D-50674 Cologne, Germany; [Benetti, Sara] Univ Ulster, Coleraine Campus,Cromore Rd, Coleraine, Londonderry, North Ireland; [Passchier, Sandra] Montclair State Univ, 1 Normal Ave, Montclair, NJ 07043 USA</t>
  </si>
  <si>
    <t>University of Plymouth; UK Research &amp; Innovation (UKRI); Natural Environment Research Council (NERC); NERC British Antarctic Survey; UiT The Arctic University of Tromso; University of Cologne; Ulster University; Montclair State University</t>
  </si>
  <si>
    <t>Gales, J (corresponding author), Univ Plymouth, Sch Biol &amp; Marine Sci, Plymouth PL4 8AA, Devon, England.</t>
  </si>
  <si>
    <t>jenny.gales@plymouth.ac.uk</t>
  </si>
  <si>
    <t>Passchier, Sandra/AAQ-2243-2021; Melles, Martin/J-4070-2012; Passchier, Sandra/GYU-2381-2022</t>
  </si>
  <si>
    <t>Passchier, Sandra/0000-0001-7204-7025; Melles, Martin/0000-0003-0977-9463; Gales, Jenny/0000-0003-4402-5800</t>
  </si>
  <si>
    <t>NERC [bas0100030] Funding Source: UKRI</t>
  </si>
  <si>
    <t>NERC(UK Research &amp; Innovation (UKRI)Natural Environment Research Council (NERC))</t>
  </si>
  <si>
    <t>GEOLOGICAL SOC PUBLISHING HOUSE</t>
  </si>
  <si>
    <t>BATH</t>
  </si>
  <si>
    <t>UNIT 7, BRASSMILL ENTERPRISE CTR, BRASSMILL LANE, BATH BA1 3JN, AVON, ENGLAND</t>
  </si>
  <si>
    <t>0305-8719</t>
  </si>
  <si>
    <t>978-1-78620-397-7</t>
  </si>
  <si>
    <t>GEOL SOC SPEC PUBL</t>
  </si>
  <si>
    <t>Geol. Soc. Spec. Publ.</t>
  </si>
  <si>
    <t>10.1144/SP475.7</t>
  </si>
  <si>
    <t>BN0MM</t>
  </si>
  <si>
    <t>WOS:000473224700010</t>
  </si>
  <si>
    <t>Anderson, JB; Simkins, LM; Bart, PJ; De Santis, L; Halberstadt, ARW; Olivo, E; Greenwood, SL</t>
  </si>
  <si>
    <t>Anderson, John B.; Simkins, Lauren M.; Bart, Phillip J.; De Santis, Laura; Halberstadt, Anna Ruth W.; Olivo, Elisabetta; Greenwood, Sarah L.</t>
  </si>
  <si>
    <t>Seismic and geomorphic records of Antarctic Ice Sheet evolution in the Ross Sea and controlling factors in its behaviour</t>
  </si>
  <si>
    <t>PLEISTOCENE-HOLOCENE RETREAT; SCALE GLACIAL LINEATIONS; CONTINENTAL-SHELF; GROUNDING EVENTS; SUBGLACIAL BEDFORMS; PENINSULA; EMBAYMENT; SYSTEM; MARGIN; BASIN</t>
  </si>
  <si>
    <t>A robust collection of seismic and geomorphic data is used to examine the evolution of the Antarctic Ice Sheet within the Ross Sea Embayment. We use geomorphic data to reconstruct Last Glacial Maximum and post-Last Glacial Maximum ice sheet drainage and demonstrate retreat behaviours for the East Antarctic and West Antarctic sectors of the ice sheet. Using this framework, we then use seismic data and chronostratigraphic information from drill cores to reconstruct the long-term evolution of the ice sheet. Early ice sheet evolution during the Late Oligocene was characterized by isolated ice caps on bathymetric highs, followed by an interval of sediment infilling of rift basins and the development of more subdued relief in the eastern Ross Sea than in the western Ross Sea. Both ice sheets have experienced multiple episodes of expansion across the continental shelf since the Middle Miocene, with the frequency increasing during the Plio-Pleistocene. We conclude that seafloor bathymetry has been the principal control on ice sheet palaeodrainage and retreat behaviour since at least the middle Miocene, demonstrated by broad West Antarctic ice streams loosely guided by south to north cross-shelf troughs, whereas East Antarctic ice streams were funnelled through troughs that merge and converge around banks.</t>
  </si>
  <si>
    <t>[Anderson, John B.; Simkins, Lauren M.; Halberstadt, Anna Ruth W.] Rice Univ, Dept Earth Sci, Houston, TX 77005 USA; [Bart, Phillip J.] Louisiana State Univ, Dept Geol &amp; Geophys, Baton Rouge, LA 70803 USA; [De Santis, Laura; Olivo, Elisabetta] Osservatorio Geofisco Sperimentale, B90 Grotto Gigante 42-C, I-34010 Trieste, Italy; [Greenwood, Sarah L.] Stockholm Univ, Dept Geol Sci, S-10691 Stockholm, Sweden</t>
  </si>
  <si>
    <t>Rice University; Louisiana State University System; Louisiana State University; Stockholm University</t>
  </si>
  <si>
    <t>Anderson, JB (corresponding author), Rice Univ, Dept Earth Sci, Houston, TX 77005 USA.</t>
  </si>
  <si>
    <t>johna@rice.edu</t>
  </si>
  <si>
    <t>Halberstadt, Anna Ruth/JPW-9990-2023</t>
  </si>
  <si>
    <t>De Santis, Laura/0000-0002-7752-7754; Greenwood, Sarah/0000-0003-3048-7916; Halberstadt, Anna Ruth/0000-0003-2582-7074</t>
  </si>
  <si>
    <t>10.1144/SP475.5</t>
  </si>
  <si>
    <t>WOS:000473224700011</t>
  </si>
  <si>
    <t>Dowdeswell, JA; Hogan, KA; Le Heron, DP</t>
  </si>
  <si>
    <t>Dowdeswell, J. A.; Hogan, K. A.; Le Heron, D. P.</t>
  </si>
  <si>
    <t>The glacier-influenced marine record on high-latitude continental margins: synergies between modern, Quaternary and ancient evidence</t>
  </si>
  <si>
    <t>ICE STREAM-B; PINE ISLAND BAY; SUBMARINE LANDFORMS; LATE PLEISTOCENE; TUNNEL VALLEYS; GROUNDING-LINE; MURZUQ BASIN; PHYSICAL CONDITIONS; TIDEWATER GLACIERS; SEA-LEVEL</t>
  </si>
  <si>
    <t>Major glaciations or 'ice ages' are known to have affected the Earth's surface over the past three billion years. The best preserved records of these glaciations are often found in high-latitude continental margin settings where sediment has been delivered to, and then accumulated at, the edge of the ice sheet in thick glacier-influenced marine sequences. The composition and geometry of these deposits and the related assemblages of glacial landforms provide a wealth of information about the environmental setting during successive cycles of glaciation and deglaciation, including ice-dynamic and oceanographic processes. Here, we discuss modern ( present day), Quaternary ( last 2.6 myr) and ancient ( last 1 gyr) high-latitude continental margin settings, and then contrast the methodologies used and glacier-influenced deposits and landforms most often identified for each time period. We use examples from the literature to identify synergies, as well as to note differences, between studies of glacier-influenced sediments from ancient to modern environments.</t>
  </si>
  <si>
    <t>[Dowdeswell, J. A.] Univ Cambridge, Scott Polar Res Inst, Lensfield Rd, Cambridge CB2 1ER, England; [Hogan, K. A.] British Antarctic Survey, Nat Environm Res Council, Madingley Rd, Cambridge CB3 0ET, England; [Le Heron, D. P.] Royal Holloway Univ London, Dept Earth Sci, Egham TW20 0EX, Surrey, England; [Le Heron, D. P.] Univ Wien, Dept Geodynam &amp; Sedimentol, Univ Ring 1, A-1010 Vienna, Austria</t>
  </si>
  <si>
    <t>University of Cambridge; UK Research &amp; Innovation (UKRI); Natural Environment Research Council (NERC); NERC British Antarctic Survey; University of London; Royal Holloway University London; University of Vienna</t>
  </si>
  <si>
    <t>Dowdeswell, JA (corresponding author), Univ Cambridge, Scott Polar Res Inst, Lensfield Rd, Cambridge CB2 1ER, England.</t>
  </si>
  <si>
    <t>jd16@cam.ac.uk</t>
  </si>
  <si>
    <t>Le Heron, Daniel/AAK-7639-2020</t>
  </si>
  <si>
    <t>Dowdeswell, Julian/0000-0003-1369-9482; Le Heron, Daniel/0000-0002-7213-5874</t>
  </si>
  <si>
    <t>10.1144/SP475.13</t>
  </si>
  <si>
    <t>WOS:000473224700013</t>
  </si>
  <si>
    <t>Yang, X; Yan, JG; Liu, SH; Ye, M; Jin, WT; Li, F</t>
  </si>
  <si>
    <t>Yang Xuan; Yan JianGuo; Liu ShanHong; Ye Mao; Jin WeiTong; Li Fei</t>
  </si>
  <si>
    <t>Low-degree gravity field recovery of Phobos based on MEX flyby data</t>
  </si>
  <si>
    <t>SCIENTIA SINICA-PHYSICA MECHANICA &amp; ASTRONOMICA</t>
  </si>
  <si>
    <t>Mars express; Phobos; Doppler; low-degree gravity field</t>
  </si>
  <si>
    <t>MARS EXPRESS; MASS; ORBITS; MODELS</t>
  </si>
  <si>
    <t>The accurate Phobos gravity field model can provide informative constraints for modeling internal structure of Phobos. An in-depth understanding of the internal structure of Phobos will provide an important basis on interpreting origin and evolution for Martian system and even the evolution of the solar system. However, the Phobos gravity field model has not been accurately determined. In order to obtain the Phobos low-degree gravity field model, the radio tracking data of Mars Express during Phobos flyby in 2010 and 2013 were processed. Through the modeling of various high-fidelity force models of the spacecraft and combined the two flyby data, the resulting Phobos GM is (7.0768 +/- 0.0084)x10(5) m(3)/s(2), the C-20 value -0.1370 +/- 0.0392, and the C-22 value 0.0184 +/- 0.0174. The solution coincided with the results released by the Mars radio science team, and the precision increased by two to three times. According to the GM we obtained, the mass of Phobos could be estimated at (1.060 +/- 0.0011) x 10(16 )kg, and with the volume of Phobos (5742 +/- 35) km(3), the Phobos bulk density is (1847 +/- 11) kg/m(3).</t>
  </si>
  <si>
    <t>[Yang Xuan; Yan JianGuo; Liu ShanHong; Ye Mao; Jin WeiTong; Li Fei] Wuhan Univ, State Key Lab Informat Engn Surveying Mapping &amp; R, Wuhan 430079, Hubei, Peoples R China; [Li Fei] Wuhan Univ, Chinese Antarctic Ctr Surveying &amp; Mapping, Wuhan 430079, Hubei, Peoples R China</t>
  </si>
  <si>
    <t>Wuhan University; Wuhan University</t>
  </si>
  <si>
    <t>Yan, JG (corresponding author), Wuhan Univ, State Key Lab Informat Engn Surveying Mapping &amp; R, Wuhan 430079, Hubei, Peoples R China.</t>
  </si>
  <si>
    <t>jgyan@whu.edu.cn</t>
  </si>
  <si>
    <t>liu, shanhong/HHC-0630-2022</t>
  </si>
  <si>
    <t>liu, shanhong/0000-0002-2022-3389</t>
  </si>
  <si>
    <t>BEIJING</t>
  </si>
  <si>
    <t>16 DONGHUANGCHENGGEN NORTH ST, BEIJING 100717, PEOPLES R CHINA</t>
  </si>
  <si>
    <t>1674-7275</t>
  </si>
  <si>
    <t>2095-9478</t>
  </si>
  <si>
    <t>SCI SIN-PHYS MECH AS</t>
  </si>
  <si>
    <t>Sci. Sin.-Phys. Mech. Astron.</t>
  </si>
  <si>
    <t>10.1360/SSPMA2018-00249</t>
  </si>
  <si>
    <t>IE8XW</t>
  </si>
  <si>
    <t>WOS:000472657900001</t>
  </si>
  <si>
    <t>Alekseev, GV; Glok, NI; Vyasilova, AE; Ivanov, NE; Kharlanenkova, NE; Smirnov, AV</t>
  </si>
  <si>
    <t>Alekseev, G., V; Glok, N., I; Vyasilova, A. E.; Ivanov, N. E.; Kharlanenkova, N. E.; Smirnov, A., V</t>
  </si>
  <si>
    <t>Influence of sea surface temperature in the tropics on the Antarctic sea ice under global warming</t>
  </si>
  <si>
    <t>Antarctica; Intertropical Convergence Zone (ITCZ); latitude of temperature maximum; resistance; sea ice; Sea-Surface temperature (SST)</t>
  </si>
  <si>
    <t>OCEAN; TRENDS; ATLANTIC; EXTENT</t>
  </si>
  <si>
    <t>Sea ice fields in the Antarctic, in contrast to the Arctic ones, did not show a reduction in observed global warming, whereas the global climate models indicate its certain decrease. The purpose of the study is to explain this climatic phenomenon on the basis of the idea of joint dynamics of oceanic structures in the Southern Ocean - the Antarctic polar front and the margin of the maximum distribution of sea ice. We used data from the ERA/Interim and HadISST as well as the database on the sea ice for 1979-2017. Relationship between the SST-anomalies in low latitudes of the Northern hemisphere and positions of the Antarctic polar front and maximum sea-ice extent was investigated. It was found that locations of these structures changed under the influence of the SST anomalies in low latitudes. The results obtained confirm existence of the opposite trends in changes in the sea ice extent in the Arctic and Antarctic under the influence of the SST anomalies in the central North Atlantic Ocean. When positive, the anomalies cause a shift of the Intertropical Convergence Zone (ITCZ) and the Hadley circulation to the North, while, on the contrary, the negative anomaly promotes the corresponding shift of the Antarctic polar front, followed by the boundary of sea ice.</t>
  </si>
  <si>
    <t>[Alekseev, G., V; Glok, N., I; Vyasilova, A. E.; Ivanov, N. E.; Kharlanenkova, N. E.; Smirnov, A., V] Arctic &amp; Antarctic Res Inst, St Petersburg, Russia</t>
  </si>
  <si>
    <t>Alekseev, GV (corresponding author), Arctic &amp; Antarctic Res Inst, St Petersburg, Russia.</t>
  </si>
  <si>
    <t>alexgv@aari.ru</t>
  </si>
  <si>
    <t>Smirnov, Alexander/J-5935-2014; Vyazilova, Anastasia/AAO-5568-2020</t>
  </si>
  <si>
    <t>Smirnov, Alexander/0000-0003-3231-7283;</t>
  </si>
  <si>
    <t>Russian Foundation for Basic Research [18-05-00334]</t>
  </si>
  <si>
    <t>Russian Foundation for Basic Research(Russian Foundation for Basic Research (RFBR)Spanish Government)</t>
  </si>
  <si>
    <t>The article was prepared using the results of the grant from the Russian Foundation for Basic Research 18-05-00334.</t>
  </si>
  <si>
    <t>10.15356/2076-6734-2019-2-412</t>
  </si>
  <si>
    <t>IC5RL</t>
  </si>
  <si>
    <t>WOS:000471025700007</t>
  </si>
  <si>
    <t>Timokhov, LA; Borodachev, VE; Borodachev, IV; Vyazigina, NA; Mironov, EU; Janout, M</t>
  </si>
  <si>
    <t>Timokhov, L. A.; Borodachev, V. E.; Borodachev, I., V; Vyazigina, N. A.; Mironov, E. U.; Janout, M.</t>
  </si>
  <si>
    <t>Role of hydrometeorological factors and solar activity in interannual variability of ice extent in the East Siberian Sea</t>
  </si>
  <si>
    <t>East Siberian Sea; ice coverage; interannual changes; multiple regression; hydrometeorological impact; sea ice; solar activity; statistical equations for diagnosis</t>
  </si>
  <si>
    <t>ARCTIC-OCEAN; WATER</t>
  </si>
  <si>
    <t>Interannual changes of the summer ice coverage were investigated, and the role of hydrometeorological factors and solar activity in long-period fluctuations of the ice area in the East Siberian Sea was determined. Multivariate statistical analysis of time series of the ice cover, hydrometeorological elements, and the solar activity (SA), was performed for the period from 1950 to 2012 with regard for the cross-correlations of the analyzed variables that made possible to develop the equations of interannual fluctuations of the ice coverage in the East Siberian Sea in August and September. The equations include the following variables: air temperature in June-August of the current year TVI-VIII; the atmospheric circulation presented by indices of Arctic oscillation (Arctic Oscillation, AO), Arctic dipole (Arctic Dipole, AD), Pacific North American oscillation (Pacific North American Oscillation, PNA); average annual runoff of river waters into the Laptev and East Siberian seas (RivLES) with a time shift of one and two years; average annual index of the North Atlantic thermal state (AMO) with a time lag of eight years; solar activity SA, presented by the average annual Wolf number with advancing of one year. Diagnostic calculations of the ice area by the obtained equations using the actual values of the indices did show a good agreement between the actual and calculated values in August and September from 1950 to 2012. These equations were used to calculate contribution of each factor to the general dispersion of fluctuations of the ice coverage. The most important factors influencing the ice cover of the Sea in August and September are: the air temperature; the atmospheric circulation, presented by the Arctic Oscillation at the end of winter; and Atlantic waters which are characterized by AMO with a time lag of eight years. The role of other factors, i.e. summer atmospheric circulation, river runoff into the above seas, and 11-year cycle of solar activity were found to be equal to only 5-10% for each. Basing on these estimates, it has been concluded that the obtained statistical equations may be used as the diagnostic models of interannual changes in the ice coverage.</t>
  </si>
  <si>
    <t>[Timokhov, L. A.; Borodachev, V. E.; Borodachev, I., V; Vyazigina, N. A.; Mironov, E. U.] Arctic &amp; Antarctic Res Inst, St Petersburg, Russia; [Janout, M.] Helmholtz Ctr Polar &amp; Marine Res, Alfred Wegener Inst, Bremerhaven, Germany</t>
  </si>
  <si>
    <t>Arctic &amp; Antarctic Research Institute; Helmholtz Association; Alfred Wegener Institute, Helmholtz Centre for Polar &amp; Marine Research</t>
  </si>
  <si>
    <t>Timokhov, LA (corresponding author), Arctic &amp; Antarctic Res Inst, St Petersburg, Russia.</t>
  </si>
  <si>
    <t>Itim@aari.nw.ru</t>
  </si>
  <si>
    <t>Lis, Natalia/HZL-1570-2023; Mironov, Yevgeny Uarovich/ADV-4713-2022; Janout, Markus/AAI-7219-2020</t>
  </si>
  <si>
    <t>Lis, Natalia/0000-0003-0762-5188; Mironov, Yevgeny Uarovich/0000-0001-8390-8011;</t>
  </si>
  <si>
    <t>This work was funded by the Ministry of Education and Science of the Russian Federation (the unique identifier of the project - RFMEFI61617X0076).</t>
  </si>
  <si>
    <t>10.15356/2076-6734-2019-2-397</t>
  </si>
  <si>
    <t>WOS:000471025700008</t>
  </si>
  <si>
    <t>Hauber, E; Sassenroth, C; de Vera, JP; Schmitz, N; Jaumann, R; Reiss, D; Hiesinger, H; Johnsson, A</t>
  </si>
  <si>
    <t>Conway, SJ; Carrivick, JL; Carling, PA; DeHaas, T; Harrison, TN</t>
  </si>
  <si>
    <t>Hauber, E.; Sassenroth, C.; de Vera, J-P; Schmitz, N.; Jaumann, R.; Reiss, D.; Hiesinger, H.; Johnsson, A.</t>
  </si>
  <si>
    <t>Debris flows and water tracks in northern Victoria Land, continental East Antarctica: a new terrestrial analogue site for gullies and recurrent slope lineae on Mars</t>
  </si>
  <si>
    <t>MARTIAN GULLIES AND THEIR EARTH ANALOGUES</t>
  </si>
  <si>
    <t>2nd International Workshop on Martian Gullies - Martian Gullies and their Earth Analogues</t>
  </si>
  <si>
    <t>JUN 20-21, 2016</t>
  </si>
  <si>
    <t>Geol Soc London, London, ENGLAND</t>
  </si>
  <si>
    <t>Geol Soc London</t>
  </si>
  <si>
    <t>MCMURDO DRY VALLEYS; TAYLOR VALLEY; LIQUID WATER; SHALLOW LANDSLIDES; RAINFALL INTENSITY; DURATION CONTROL; GRANULAR FLOWS; POLAR DESERT; FOEHN WINDS; ICE</t>
  </si>
  <si>
    <t>Although the present environmental conditions on Mars prohibit the generation of significant volumes of liquid water, observations of several very young landforms, such as gullies and recurrent slope lineae, have been interpreted as signals for aqueous processes. To explore the range of conditions under which such features can be formed on Earth, a field site in northern Victoria Land, East Antarctica, was geomorphologically investigated. Despite the small size of the icefree area, the site displays gullies, water tracks and other traces of liquid water. The gullies show clear evidence of sediment transport by debris flows, and are typical of paraglacial processes on steep slopes in a recently deglaciated area. Water tracks appear in different forms, and seem to recur seasonally in the austral summer. Melting of snow and surface glacier ice is the major water source for both debris flows and water tracks. The observations presented here highlight the potential for hyperarid polar deserts to generate morphogenetically significant amounts of meltwater. The gullies are morphologically analogous to Martian gullies, and water tracks on steep slopes appear very similar to recurrent slope lineae. The observations suggest that even small icefree sites in continental Antarctica may enable observations which can serve as a basis for working hypotheses in Mars analogue studies, and future field work should consider more areas in Antarctica in addition to the McMurdo Dry Valleys to search for Mars analogue landforms.</t>
  </si>
  <si>
    <t>[Hauber, E.; Sassenroth, C.; de Vera, J-P; Schmitz, N.; Jaumann, R.] Deutsch Zentrum Luft &amp; Raumfahrt DLR, Inst Planetenforsch, Rutheifordstr 2, D-12489 Berlin, Germany; [Reiss, D.; Hiesinger, H.] Westfalische Wilhelms Univ Munster, Inst Planetol, Wilhelm Klemm Str 10, D-48149 Munster, Germany; [Johnsson, A.] Univ Gothenburg, Dept Earth Sci, Box 100, S-40530 Gothenburg, Sweden</t>
  </si>
  <si>
    <t>Helmholtz Association; German Aerospace Centre (DLR); University of Munster; University of Gothenburg</t>
  </si>
  <si>
    <t>Hauber, E (corresponding author), Deutsch Zentrum Luft &amp; Raumfahrt DLR, Inst Planetenforsch, Rutheifordstr 2, D-12489 Berlin, Germany.</t>
  </si>
  <si>
    <t>Ernst.Hauber@dlr.de</t>
  </si>
  <si>
    <t>Johnsson, Andreas/ADG-9705-2022; Sassenroth, Cynthia/ABE-5091-2020</t>
  </si>
  <si>
    <t>Digital-Globe Foundation</t>
  </si>
  <si>
    <t>We thank the Bundesanstalt fur Geowissenschaften und Rohstoffe (BGR) and A. Laufer, as expedition leader, for inviting EH, JPdV and NS to the GANOVEX XI expedition in the austral summer of 2015-16. The fieldwork during the GANOVEX XI expedition would not have been possible without the logistic support of Felix Goldmann and Christoph Kasch, the crew of the M/V Italica, personnel of Mario Zucchelli Station and pilots and mechanics of Helicopters New Zealand (HNZ). Special thanks are due to our field guides Maurice Conway and Mike Aitkinson. We appreciate the discussions with the entire expedition team, which introduced us to the Antarctic environment. Wegratefully acknowledge the support by the Digital-Globe Foundation which provided World View-2 images. We thank DLR for the TanDEM-X DEM. Climate data from the Italian AWS network were kindly made available by Paolo Grigioni (ENEA). The two detailed and very constructive reviews by Lena Rubensdotter and Joe Levy, which helped to improve the manuscript, are greatly appreciated.</t>
  </si>
  <si>
    <t>978-1-78620-360-1</t>
  </si>
  <si>
    <t>10.1144/SP467.12</t>
  </si>
  <si>
    <t>Astronomy &amp; Astrophysics; Geology; Geosciences, Multidisciplinary</t>
  </si>
  <si>
    <t>Astronomy &amp; Astrophysics; Geology</t>
  </si>
  <si>
    <t>BM9HA</t>
  </si>
  <si>
    <t>WOS:000470918500012</t>
  </si>
  <si>
    <t>Dickson, JL; Head, JW; Levy, JS; Morgan, GA; Marchant, DR</t>
  </si>
  <si>
    <t>Dickson, James L.; Head, James W.; Levy, Joseph S.; Morgan, Gareth A.; Marchant, David R.</t>
  </si>
  <si>
    <t>Gully formation in the McMurdo Dry Valleys, Antarctica: multiple sources of water, temporal sequence and relative importance in gully erosion and deposition processes</t>
  </si>
  <si>
    <t>SOUTHERN VICTORIA LAND; MIOCENE GLACIER ICE; TAYLOR VALLEY; MARS; CLIMATE; PERMAFROST; ECOSYSTEMS; EVOLUTION; DESERT; FLOWS</t>
  </si>
  <si>
    <t>We report on a decade of fieldwork designed to determine the conditions required for erosion of Mars-like gully channels in the McMurdo Dry Valleys (MDV) of Antarctica. We have outlined the major factors in the morphological evolution of gullies in the Inland Mixed Zone of the MDV: (1) the distribution of ice sources; (2) the temporal aspects of ice melting; and (3) the relative significance of melting events in gullies. We show that significant erosion of gully channels can be achieved if geometrical and environmental conditions combine to concentrate ice where it can rapidly melt. In contrast, annual melting of surface ice and snow deposits during late-season discharge events contribute to transport of water, but flux rarely surpasses the infiltration capacity of the active layer. These small discharge events do not erode channels of significant width. Even when the flux is sufficient to carve a c. 10-20 cm deep channel during late summer (January-February) runoff, these small channels seldom persist through multiple seasons, because they are seasonally muted and filled with aeolian deposits. We briefly discuss the application of these results to the study of gully systems on Mars.</t>
  </si>
  <si>
    <t>[Dickson, James L.] CALTECH, Div Geol &amp; Planetary Sci, Pasadena, CA 91125 USA; [Dickson, James L.; Head, James W.] Brown Univ, Dept Earth Environm &amp; Planetary Sci, Providence, RI 02906 USA; [Levy, Joseph S.] Univ Texas Austin, Inst Geophys, Austin, TX 78758 USA; [Levy, Joseph S.] Colgate Univ, Dept Geol, Hamilton, NY 13346 USA; [Morgan, Gareth A.] Smithsonian Inst, Ctr Earth &amp; Planetary Studies, Washington, DC 20013 USA; [Marchant, David R.] Boston Univ, Dept Earth &amp; Environm, Boston, MA 02215 USA</t>
  </si>
  <si>
    <t>California Institute of Technology; Brown University; University of Texas System; University of Texas Austin; Colgate University; Smithsonian Institution; Boston University</t>
  </si>
  <si>
    <t>Dickson, JL (corresponding author), CALTECH, Div Geol &amp; Planetary Sci, Pasadena, CA 91125 USA.;Dickson, JL (corresponding author), Brown Univ, Dept Earth Environm &amp; Planetary Sci, Providence, RI 02906 USA.</t>
  </si>
  <si>
    <t>jdickson@caltech.edu</t>
  </si>
  <si>
    <t>Levy, Joseph/0000-0002-6222-139X</t>
  </si>
  <si>
    <t>National Science Foundation Division of Polar Programs [ANT-0739702, ANT-0944702, PLR-1343649]</t>
  </si>
  <si>
    <t>National Science Foundation Division of Polar Programs(National Science Foundation (NSF))</t>
  </si>
  <si>
    <t>We appreciate detailed and constructive reviews of this paper by Colin Dundas and an anonymous reviewer, as well as the editor, Susan Conway. Field assistance was generously provided by dozens of colleagues who were all essential for instrument implementation. In particular, we thank Mike Wyatt. We are grateful for logistical assistance from Raytheon Polar Services, Antarctic Support Contract, Petroleum Helicopters International and the summer staff of McMurdo Station. We thank the National Science Foundation Division of Polar Programs for funding several projects that contributed to this paper: ANT-0739702 to JWH, ANT-0944702 to DRM and PLR-1343649 to JSL.</t>
  </si>
  <si>
    <t>10.1144/SP467.4</t>
  </si>
  <si>
    <t>Green Accepted</t>
  </si>
  <si>
    <t>WOS:000470918500013</t>
  </si>
  <si>
    <t>Báez, JC; Olivero, J; Salazar-Aravena, LE; Suazo-Galdames, IC</t>
  </si>
  <si>
    <t>Baez, Jose C.; Olivero, Jesus; Salazar-Aravena, Lorena E.; Suazo-Galdames, Ivan C.</t>
  </si>
  <si>
    <t>Effects of atmospheric oscillations on infectious diseases: the case of Chagas disease in Chile</t>
  </si>
  <si>
    <t>MEMORIAS DO INSTITUTO OSWALDO CRUZ</t>
  </si>
  <si>
    <t>atmospheric teleconnections; SOI; AAO; temporal predictions</t>
  </si>
  <si>
    <t>NINO SOUTHERN-OSCILLATION; CLIMATE-CHANGE; EL-NINO; ORAL-TRANSMISSION; TRYPANOSOMA-CRUZI; POPULATIONS; ENSO</t>
  </si>
  <si>
    <t>BACKGROUND Currently, there is an increasing global interest for the study of how infectious diseases could be linked to climate and weather variability. The Chagas disease was described in 1909 by Carlos Chagas, and is caused by the flagellate protozoan Trypanosoma cruzi. The Chagas disease is considered one of the biggest concerns in public health in Latin America. In Chile, the main vectors involved in the transmission of T. cruzi are arthropods of the Triatominae subfamily. Moreover, another main transmission way is through of vectors by fecal-urine way, however, oral way also has been described among others transmission form. OBJECTIVES In order to get understand outbreaks of Chagas-disease, we search for possible relationships between the frequency of cases in the Chilean population and atmospheric oscillations. METHODS We explored the two most important atmospheric oscillations in the Southern Hemisphere: southern oscillation index (SOI) and Antarctic oscillation (AAO), during the available years with official data. Because the number of migrant people born outside from Chile increasing significantively between 2014 and 2018, we used for the analysis two different periods from data available official data: (i) 2001 to 2014, (ii) 2001 to 2017. FINDINGS For both periods we observed a significant and positive relation between AAO one year before. However, for the 2001 to 2014 period positive SOI one year before, which is related with La Nina phases, was the more important variable. MAIN CONCLUSIONS The Chagas disease frequency per year in Chile was found to depend mainly on SOI in previous year, whose values can be determined one year in advance. Therefore, it is possible to partially forecast annual frequency patterns. This could have important applications in public health strategies and for allocating resources for the management of the disease.</t>
  </si>
  <si>
    <t>[Baez, Jose C.; Salazar-Aravena, Lorena E.; Suazo-Galdames, Ivan C.] Univ Autonoma Chile, Fac Ciencias Salud, Inst Ciencias Biomed, Santiago, Chile; [Baez, Jose C.] Inst Espanol Oceanog, Ctr Oceanog Malaga, Malaga, Spain; [Olivero, Jesus] Univ Malaga, Fac Ciencias, Dept Biol Anim, Malaga, Spain</t>
  </si>
  <si>
    <t>Universidad Autonoma de Chile; Spanish Institute of Oceanography; Universidad de Malaga</t>
  </si>
  <si>
    <t>Báez, JC (corresponding author), Univ Autonoma Chile, Fac Ciencias Salud, Inst Ciencias Biomed, Santiago, Chile.;Báez, JC (corresponding author), Inst Espanol Oceanog, Ctr Oceanog Malaga, Malaga, Spain.</t>
  </si>
  <si>
    <t>granbaez_29@hotmail.com</t>
  </si>
  <si>
    <t>Suazo, Iván/AAW-9318-2020; Baez, Jose C/I-2644-2013; Olivero, Jesus/K-8727-2014</t>
  </si>
  <si>
    <t>Suazo, Iván/0000-0002-1689-1632; Baez, Jose Carlos/0000-0003-2049-0409; Olivero, Jesus/0000-0003-1714-0360</t>
  </si>
  <si>
    <t>Spanish Ministerio de Economia, Industria y Competitividad [CGL2016-76747-R]; FEDER Funds</t>
  </si>
  <si>
    <t>Spanish Ministerio de Economia, Industria y Competitividad(Spanish Government); FEDER Funds(European Union (EU))</t>
  </si>
  <si>
    <t>This study was supported partially by the project CGL2016-76747-R of the Spanish Ministerio de Economia, Industria y Competitividad and FEDER Funds.</t>
  </si>
  <si>
    <t>FUNDACO OSWALDO CRUZ</t>
  </si>
  <si>
    <t>RIO DE JANEIRO, RJ</t>
  </si>
  <si>
    <t>AV BRASIL 4365, 21045-900 RIO DE JANEIRO, RJ, BRAZIL</t>
  </si>
  <si>
    <t>0074-0276</t>
  </si>
  <si>
    <t>1678-8060</t>
  </si>
  <si>
    <t>MEM I OSWALDO CRUZ</t>
  </si>
  <si>
    <t>Mem. Inst. Oswaldo Cruz</t>
  </si>
  <si>
    <t>e180569</t>
  </si>
  <si>
    <t>10.1590/0074-02760180569</t>
  </si>
  <si>
    <t>Parasitology; Tropical Medicine</t>
  </si>
  <si>
    <t>IC2FI</t>
  </si>
  <si>
    <t>WOS:000470775200001</t>
  </si>
  <si>
    <t>Schuklin, D; Roeber, J; Stadelmayer, M; Mai, T; Weigel, R; Hagelauer, A</t>
  </si>
  <si>
    <t>Schuklin, Dennis; Roeber, Juergen; Stadelmayer, Markus; Mai, Timo; Weigel, Robert; Hagelauer, Amelie</t>
  </si>
  <si>
    <t>Highly Integrated Low Power Photomultiplier Readout ASIC comprising fast ADC to be used in the Antarctic Ice</t>
  </si>
  <si>
    <t>2019 IEEE 19TH TOPICAL MEETING ON SILICON MONOLITHIC INTEGRATED CIRCUITS IN RF SYSTEMS (SIRF)</t>
  </si>
  <si>
    <t>19th IEEE Topical Meeting on Silicon Monolithic Integrated Circuits in RF Systems (SiRF)</t>
  </si>
  <si>
    <t>JAN 20-23, 2019</t>
  </si>
  <si>
    <t>Orlando, FL</t>
  </si>
  <si>
    <t>ADC; Clock Generator; Neutrino; Operational Amplifier; Photomultiplier</t>
  </si>
  <si>
    <t>After the successful launch of IceCube, the work is currently concentrated the next generation neutrino observatory at South Pole, IceCube Gen2. The neutrino detection and post processing accuracy mostly relies on used electronic hardware. The proposed highly integrated, low power photomultiplier readout ASIC is designed for function in low temperatures of Antarctic. The microchip comprises an input pre-amplifier, a clock generator and an ADC with encoder logic featuring sampling rate of 500 MHz, 6 bit output accuracy with a smart extension of input related resolution up to 8 bit in the area of interest. It achieves the same accuracy like a standard 8 bit ADC architecture but with significantly less hardware overhead and power dissipation.</t>
  </si>
  <si>
    <t>[Schuklin, Dennis; Roeber, Juergen; Stadelmayer, Markus; Mai, Timo; Weigel, Robert; Hagelauer, Amelie] Friedrich Alexander Univ Erlangen Nuremberg, Inst Elect Engn, Wetterkreuz 15, D-91058 Erlangen, Germany</t>
  </si>
  <si>
    <t>University of Erlangen Nuremberg</t>
  </si>
  <si>
    <t>Schuklin, D (corresponding author), Friedrich Alexander Univ Erlangen Nuremberg, Inst Elect Engn, Wetterkreuz 15, D-91058 Erlangen, Germany.</t>
  </si>
  <si>
    <t>denis.shuklin@fau.de</t>
  </si>
  <si>
    <t>Hagelauer, Amelie/AAE-6715-2022</t>
  </si>
  <si>
    <t>Hagelauer, Amelie/0000-0001-9113-9531</t>
  </si>
  <si>
    <t>978-1-5386-5950-2</t>
  </si>
  <si>
    <t>10.1109/sirf.2019.8709098</t>
  </si>
  <si>
    <t>BM8SF</t>
  </si>
  <si>
    <t>WOS:000469959600018</t>
  </si>
  <si>
    <t>Makra, L</t>
  </si>
  <si>
    <t>Wexler, P</t>
  </si>
  <si>
    <t>Makra, Laszlo</t>
  </si>
  <si>
    <t>Anthropogenic Air Pollution in Ancient Times</t>
  </si>
  <si>
    <t>TOXICOLOGY IN ANTIQUITY, 2ND EDITION</t>
  </si>
  <si>
    <t>History of Toxicology and Environmental Health Series</t>
  </si>
  <si>
    <t>GREENLAND SNOWS; ANTARCTIC ICE; LEAD; CADMIUM; ROMAN</t>
  </si>
  <si>
    <t>[Makra, Laszlo] Univ Szeged, Fac Agr, Inst Econ &amp; Rural Dev, Szeged, Hungary</t>
  </si>
  <si>
    <t>Szeged University</t>
  </si>
  <si>
    <t>Makra, L (corresponding author), Univ Szeged, Fac Agr, Inst Econ &amp; Rural Dev, Szeged, Hungary.</t>
  </si>
  <si>
    <t>ACADEMIC PRESS LTD-ELSEVIER SCIENCE LTD</t>
  </si>
  <si>
    <t>LONDON</t>
  </si>
  <si>
    <t>125 LONDON WALL, LONDON EC2Y 5AS, ENGLAND</t>
  </si>
  <si>
    <t>978-0-12-815340-6; 978-0-12-815339-0</t>
  </si>
  <si>
    <t>HIST TOXICOL ENVIR</t>
  </si>
  <si>
    <t>10.1016/B978-0-12-815339-0.00018-4</t>
  </si>
  <si>
    <t>History &amp; Philosophy Of Science; Toxicology</t>
  </si>
  <si>
    <t>History &amp; Philosophy of Science; Toxicology</t>
  </si>
  <si>
    <t>BM8WU</t>
  </si>
  <si>
    <t>WOS:000470060200021</t>
  </si>
  <si>
    <t>Yan, Q; Zhang, ZS; Zhang, R</t>
  </si>
  <si>
    <t>Yan Qing; Zhang Zhongshi; Zhang Ran</t>
  </si>
  <si>
    <t>Potential impacts of enhanced tropical cyclone activity on the El Nino-Southern Oscillation and East Asian monsoon in the mid-Piacenzian warm period</t>
  </si>
  <si>
    <t>ATMOSPHERIC AND OCEANIC SCIENCE LETTERS</t>
  </si>
  <si>
    <t>Mid-Piacenzian; climate modeling; tropical cyclone; ENSO</t>
  </si>
  <si>
    <t>ANTARCTIC ICE-SHEET; SEA-LEVEL; PLIOCENE; CLIMATE; MODEL; EUSTASY</t>
  </si>
  <si>
    <t>Tropical cyclones (TCs) not only passively respond to climate change, but also play an important role in vertical mixing of the upper ocean and in driving oceanic heat transport. Using a fully coupled climate model, the authors investigate the potential effect of TC-induced vertical mixing on the El Nino-Southern Oscillation (ENSO) and East Asian monsoon in the mid-Piacenzian, during which global TCs are estimated to have been stronger. Sensitivity experiments indicate that the TC-induced oceanic mixing over global storm basins leads to additional warming over the eastern tropical Pacific and a deeper thermocline in the mid-Piacenzian, whereas it dampens the interannual variability of ENSO. Regarding the East Asian monsoon circulations, low-level (850 hPa) summer and winter winds are intensified in response to enhanced vertical mixing, with a southward/westward shift of the western North Pacific high and westerly jet in summer and a deepened East Asian trough in winter. These climatic features are largely reproduced in the experiment with enhanced vertical mixing only over the central-eastern North Pacific. These results may shed light on TC feedbacks associated with vertical mixing and advance our understanding on mid-Piacenzian climate.</t>
  </si>
  <si>
    <t>[Yan Qing] Chinese Acad Sci, Nansen Zhu Int Res Ctr, Inst Atmospher Phys, Beijing, Peoples R China; [Zhang Zhongshi] China Univ Geosci, Sch Environm Studies, Dept Atmospher Sci, Wuhan, Hubei, Peoples R China; [Zhang Zhongshi] Uni Res Climate, Bjerknes Ctr Climate Res, Bergen, Norway; [Zhang Ran] Chinese Acad Sci, Climate Change Res Ctr, Beijing, Peoples R China</t>
  </si>
  <si>
    <t>Chinese Academy of Sciences; Institute of Atmospheric Physics, CAS; China University of Geosciences; Bjerknes Centre for Climate Research; Chinese Academy of Sciences</t>
  </si>
  <si>
    <t>Yan, Q (corresponding author), Chinese Acad Sci, Nansen Zhu Int Res Ctr, Inst Atmospher Phys, Beijing, Peoples R China.</t>
  </si>
  <si>
    <t>yanqing@mailiap.ac.cn</t>
  </si>
  <si>
    <t>zhang, zhi/HPH-4905-2023; Zhang, Ran/GZG-8709-2022; Zhang, Ran/HTT-1545-2023; Yan, Qing/C-5413-2013; Zhang, zs/GXN-3521-2022; Zhang, Zhongshi/L-2891-2013</t>
  </si>
  <si>
    <t>National Natural Science Foundation of China [41772179]; Young Elite Scientists Sponsorship Program by China Association for Science and Technology [2017QNRC001]</t>
  </si>
  <si>
    <t>National Natural Science Foundation of China(National Natural Science Foundation of China (NSFC)); Young Elite Scientists Sponsorship Program by China Association for Science and Technology</t>
  </si>
  <si>
    <t>This study was jointly funded by the National Natural Science Foundation of China [grant number 41772179] and the Young Elite Scientists Sponsorship Program by China Association for Science and Technology [grant number 2017QNRC001].</t>
  </si>
  <si>
    <t>1674-2834</t>
  </si>
  <si>
    <t>2376-6123</t>
  </si>
  <si>
    <t>ATMOS OCEAN SCI LETT</t>
  </si>
  <si>
    <t>Atmos. Ocean. Sci. Lett.</t>
  </si>
  <si>
    <t>10.1080/16742834.2019.1526621</t>
  </si>
  <si>
    <t>Meteorology &amp; Atmospheric Sciences</t>
  </si>
  <si>
    <t>IA8NI</t>
  </si>
  <si>
    <t>WOS:000469815200001</t>
  </si>
  <si>
    <t>CastroSowinski, S</t>
  </si>
  <si>
    <t>Ecological Role of Micro-Organisms in the Antarctic Environment</t>
  </si>
  <si>
    <t>ECOLOGICAL ROLE OF MICRO-ORGANISMS IN THE ANTARCTIC ENVIRONMENT</t>
  </si>
  <si>
    <t>Book</t>
  </si>
  <si>
    <t>978-3-030-02786-5; 978-3-030-02785-8</t>
  </si>
  <si>
    <t>10.1007/978-3-030-02786-5</t>
  </si>
  <si>
    <t>Ecology; Microbiology</t>
  </si>
  <si>
    <t>Environmental Sciences &amp; Ecology; Microbiology</t>
  </si>
  <si>
    <t>BM8BP</t>
  </si>
  <si>
    <t>WOS:000468822300016</t>
  </si>
  <si>
    <t>Van Goethem, MW; Cowan, DA</t>
  </si>
  <si>
    <t>Van Goethem, Marc W.; Cowan, Don A.</t>
  </si>
  <si>
    <t>Role of Cyanobacteria in the Ecology of Polar Environments</t>
  </si>
  <si>
    <t>Cyanobacteria; Carbon biogeochemical cycling; Nitrogen biogeochemical cycling; Primary production; Interactions in cryptic niches</t>
  </si>
  <si>
    <t>MCMURDO DRY VALLEYS; HYPOLITHIC MICROBIAL COMMUNITIES; NITROGEN-FIXATION; TAYLOR VALLEY; ENDOLITHIC MICROORGANISMS; ANTARCTIC PENINSULA; ORGANIC-MATTER; VICTORIA LAND; MIERS VALLEY; ICE-SHEET</t>
  </si>
  <si>
    <t>Cyanobacteria are the dominant living features of Antarctic terrestrial environments. They have the capacity to directly influence components of the cryosphere including nutrient acquisition, soil stabilisation and driving soil community structure. This book chapter incorporates recent literature to discuss how gradients of cyanobacterial abundance and diversity across Antarctic soil and lithic biotopes influence local biogeochemical cycling regimes, drive community structure and enhance primary productivity. Most recent studies have gleaned novel insights into the ecological importance of Antarctic cyanobacteria by applying so-called multi` omics' technologies. While these breakthroughs have undoubtedly improved our understanding of metabolic potential in polar niches; cultivation-based analyses of cyanobacteria should be leveraged to gain perspectives into actual physiological attributes and morphological variation within Antarctica. Combined, these studies show that members of the cyanobacteria are critical carbon and nitrogen regulators and are essential for making nutrients available to associated community members.</t>
  </si>
  <si>
    <t>[Van Goethem, Marc W.; Cowan, Don A.] Univ Pretoria, Dept Biochem Genet &amp; Microbiol, Ctr Microbial Ecol &amp; Genom, Pretoria, South Africa</t>
  </si>
  <si>
    <t>University of Pretoria</t>
  </si>
  <si>
    <t>Cowan, DA (corresponding author), Univ Pretoria, Dept Biochem Genet &amp; Microbiol, Ctr Microbial Ecol &amp; Genom, Pretoria, South Africa.</t>
  </si>
  <si>
    <t>Don.Cowan@up.ac.za</t>
  </si>
  <si>
    <t>Cowan, Donald A/E-3991-2012; Van Goethem, Marc Warwick/HNC-2411-2023; Van Goethem, Marc/IZE-2222-2023; Van Goethem, Marc/AAV-3022-2020</t>
  </si>
  <si>
    <t>Cowan, Donald A/0000-0001-8059-861X; Van Goethem, Marc Warwick/0000-0001-8688-3323;</t>
  </si>
  <si>
    <t>10.1007/978-3-030-02786-5_1</t>
  </si>
  <si>
    <t>WOS:000468822300002</t>
  </si>
  <si>
    <t>Nakai, R; Imura, S; Naganuma, T</t>
  </si>
  <si>
    <t>Nakai, Ryosuke; Imura, Satoshi; Naganuma, Takeshi</t>
  </si>
  <si>
    <t>Patterns of Microorganisms Inhabiting Antarctic Freshwater Lakes with Special Reference to Aquatic Moss Pillars</t>
  </si>
  <si>
    <t>Antarctic lakes; Freshwater; Microbial mats; Bacteria; Eukaryotes; Phylogenetic diversity</t>
  </si>
  <si>
    <t>MCMURDO DRY VALLEYS; ICE-COVERED LAKES; UV-RADIATION; SP-NOV; DIVERSITY; BACTERIA; ECOLOGY; CYANOBACTERIA; COMMUNITY; GROWTH</t>
  </si>
  <si>
    <t>The Antarctic continent has ice-free areas with many freshwater lakes that support life. These lakes are generally ultra-oligotrophic and possess simplified food chains dominated by microorganisms with algal and cyanobacterial mats often occurring in the lake bottoms. In association with such mats, aquatic mosses sometimes form unique towerlike structures called moss pillars. Previous microflora analysis revealed the presence of several key groups (e.g., Leptolyngbya and Bradyrhizobium species) and uncultivated novel lineages in the pillars and the fact that the bacterial communities differ among the pillar sections. A wide range of eukaryotic phylotypes associated with algae, ciliates, fungi, nematodes, rotifers, and tardigrades, as well as unclassified phylotypes, were detected in the pillars. Moss pillars colonizing the nutrient-limited lakes are likely formed by a synergistic association of diverse organisms including both primary producers and decomposers. Indeed, a potential functional zonation, possibly reflected by different redox conditions within the pillar structure, was identified during the analyses of functional genes (e.g., CO2 fixation-coding genes). Interestingly, multiple sequences related to moss pillar-derived sequences were also observed in other Antarctic habitats. These findings provide clues toward solving a conundrum pertaining to Antarctic lake ecosystems: biomass-rich communities existing in the nutrient-poor conditions.</t>
  </si>
  <si>
    <t>[Nakai, Ryosuke] Natl Inst Adv Ind Sci &amp; Technol, Bioprod Res Inst, Appl Mol Microbiol Res Grp, Sapporo, Hokkaido, Japan; [Imura, Satoshi] Natl Inst Polar Res, Tachikawa, Tokyo, Japan; [Imura, Satoshi] SOKENDAI Grad Univ Adv Studies, Dept Polar Sci, Tachikawa, Tokyo, Japan; [Naganuma, Takeshi] Hiroshima Univ, Grad Sch Biosphere Sci, Higashihiroshima, Japan</t>
  </si>
  <si>
    <t>National Institute of Advanced Industrial Science &amp; Technology (AIST); Research Organization of Information &amp; Systems (ROIS); National Institute of Polar Research (NIPR) - Japan; Graduate University for Advanced Studies - Japan; Hiroshima University</t>
  </si>
  <si>
    <t>Nakai, R (corresponding author), Natl Inst Adv Ind Sci &amp; Technol, Bioprod Res Inst, Appl Mol Microbiol Res Grp, Sapporo, Hokkaido, Japan.</t>
  </si>
  <si>
    <t>nakai-ryosuke@aist.go.jp</t>
  </si>
  <si>
    <t>Nakai, Ryosuke/O-6217-2015; Naganuma, Takeshi/AAX-7064-2021</t>
  </si>
  <si>
    <t>Naganuma, Takeshi/0000-0003-1925-9461</t>
  </si>
  <si>
    <t>10.1007/978-3-030-02786-5_2</t>
  </si>
  <si>
    <t>WOS:000468822300003</t>
  </si>
  <si>
    <t>Vero, S; Garmendia, G; Martínez-Silveira, A; Cavello, I; Wisniewski, M</t>
  </si>
  <si>
    <t>Vero, Silvana; Garmendia, Gabriela; Martinez-Silveira, Adalgisa; Cavello, Ivana; Wisniewski, Michael</t>
  </si>
  <si>
    <t>Yeast Activities Involved in Carbon and Nitrogen Cycles in Antarctica</t>
  </si>
  <si>
    <t>Psychrotrophic and psychrophilic yeasts; Carbon biogeochemical cycling; Nitrogen biogeochemical cycling; Phosphorus biogeochemical cycling; Production of extracellular enzymes</t>
  </si>
  <si>
    <t>EXTRACELLULAR ENZYMATIC-ACTIVITIES; PSYCHROPHILIC YEASTS; AMMONIA FERMENTATION; NITRIC-OXIDE; DIVERSITY; SOIL; NITRATE; DENITRIFICATION; NITRIFICATION; MICROORGANISMS</t>
  </si>
  <si>
    <t>Antarctica and sub-Antarctic regions are characterized by extreme conditions for life such as low temperatures and nutrient availability, high solar irradiation, and dryness; however, microorganisms from the three domains of life have been found as common inhabitants of soils and waters from those zones. Despite bacteria being the most numerous microorganisms in those habitats, a great diversity of psychrotrophic and psychrophilic yeasts have been also isolated and described. Yeasts, as chemoheterotrophic microorganisms, are involved in the recycling and mineralization of organic matter, playing an important role in carbon cycle. The range of organic substrates that they can degrade is wide. Their ability to produce extracellular hydrolytic enzymes involved in the breakdown of natural organic polymers has been well documented. Moreover, they can also use other substrates as n-alkanes or polyphenolic compounds as a sole carbon and energy source, so they could play a role in bioremediation in human-impacted areas. Most yeast obtain their energy by aerobic respiration; however, in anaerobic conditions, some of them carry out fermentation or anaerobic respiration. The use of nitrate or nitrite as the final electron acceptor provides nitrous oxide (a greenhouse gas) as an end product. Thus, those yeasts can be considered as denitrifying microorganisms playing an important role in the nitrogen cycle.</t>
  </si>
  <si>
    <t>[Vero, Silvana; Garmendia, Gabriela; Martinez-Silveira, Adalgisa] Univ Republica, Fac Chem, Dept Biosci, Lab Biotechnol,Microbiol Area, Montevideo, Uruguay; [Cavello, Ivana] UNLP, CINDEFI CONICET La Plata, Res &amp; Dev Ctr Ind Fermentat, La Plata, Buenos Aires, Argentina; [Wisniewski, Michael] ARS, USDA, Appalachian Fruit Res Stn, Kearneysville, WV USA</t>
  </si>
  <si>
    <t>Universidad de la Republica, Uruguay; National University of La Plata; Consejo Nacional de Investigaciones Cientificas y Tecnicas (CONICET); United States Department of Agriculture (USDA)</t>
  </si>
  <si>
    <t>Vero, S (corresponding author), Univ Republica, Fac Chem, Dept Biosci, Lab Biotechnol,Microbiol Area, Montevideo, Uruguay.</t>
  </si>
  <si>
    <t>svero@fq.edu.uy</t>
  </si>
  <si>
    <t>Vero, Silvana/AAF-1887-2019; Martínez-Silveira, Adalgisa/M-6469-2019</t>
  </si>
  <si>
    <t>Vero, Silvana/0000-0002-8934-6379; Martínez-Silveira, Adalgisa/0000-0002-7287-9515</t>
  </si>
  <si>
    <t>10.1007/978-3-030-02786-5_3</t>
  </si>
  <si>
    <t>WOS:000468822300004</t>
  </si>
  <si>
    <t>Marizcurrena, JJ; Cerdá, MF; Alem, D; Castro-Sowinski, S</t>
  </si>
  <si>
    <t>Jose Marizcurrena, Juan; Fernanda Cerda, Maria; Alem, Diego; Castro-Sowinski, Susana</t>
  </si>
  <si>
    <t>Living with Pigments: The Colour Palette of Antarctic Life</t>
  </si>
  <si>
    <t>Microbial production of pigments; UV-resistance; Antioxidant activity; Membrane fluidity; Photosynthesis; Antimicrobial activity</t>
  </si>
  <si>
    <t>BENTHIC MICROBIAL MATS; BACTERIAL PIGMENTS; SP-NOV.; CHROMOBACTERIUM-VIOLACEUM; CYANOBACTERIAL DIVERSITY; SECONDARY METABOLITE; MELANIN PRODUCTION; RADIATION; ARTHROBACTER; INDIGOIDINE</t>
  </si>
  <si>
    <t>The production of pigments is a common feature that may help microorganisms to cope with the harsh conditions found in Antarctica. They have functions such as protection against UV irradiation and superoxide and nitrogen reactive species (antioxidant activity) and modulation of membrane fluidity under cold stress. In addition, they act as antibiotics, modulating the microbial communities in their natural environments, and harvest light for increasing the efficiency of photosynthesis, thus influencing the biogeochemical cycles. This chapter deals with the chemistry and the biological role of microbial pigments (except chlorophylls) in the Antarctic environment and also includes a brief overview of the potential biotechnological use of pigments.</t>
  </si>
  <si>
    <t>[Jose Marizcurrena, Juan; Alem, Diego; Castro-Sowinski, Susana] Univ Republica, Fac Sci, Biochem &amp; Mol Biol, Montevideo, Uruguay; [Fernanda Cerda, Maria] Univ Republica, Fac Sci, Lab Biomat, Montevideo, Uruguay; [Alem, Diego] Inst Invest Biol Clemente Estable, Epigenet &amp; Genom Instabil Lab, Montevideo, Uruguay</t>
  </si>
  <si>
    <t>Universidad de la Republica, Uruguay; Universidad de la Republica, Uruguay; Instituto de Investigaciones Biologicas Clemente Estable Uruguay</t>
  </si>
  <si>
    <t>Castro-Sowinski, S (corresponding author), Univ Republica, Fac Sci, Biochem &amp; Mol Biol, Montevideo, Uruguay.</t>
  </si>
  <si>
    <t>scs@fcien.edu.uy</t>
  </si>
  <si>
    <t>Marizcurrena, Juan Jose/AAB-5482-2020</t>
  </si>
  <si>
    <t>Marizcurrena, Juan Jose/0000-0002-5191-1539; Alem, Diego/0000-0002-0279-8226</t>
  </si>
  <si>
    <t>10.1007/978-3-030-02786-5_4</t>
  </si>
  <si>
    <t>WOS:000468822300005</t>
  </si>
  <si>
    <t>Giménez, M; Azziz, G; Gill, PR; Batista, S</t>
  </si>
  <si>
    <t>Gimenez, Matias; Azziz, Gaston; Gill, Paul R.; Batista, Silvia</t>
  </si>
  <si>
    <t>Horizontal Gene Transfer Elements: Plasmids in Antarctic Microorganisms</t>
  </si>
  <si>
    <t>Horizontal gene transfer; Plastmidome; Global climate change; Animal and human influence; Antibiotic resistance genes</t>
  </si>
  <si>
    <t>MCMURDO ICE SHELF; MOLECULAR CHARACTERIZATION; ANTIBIOTIC-RESISTANCE; CRYPTIC PLASMID; BACTERIA; PSEUDOMONAS; SEQUENCE; EXPRESSION; DIVERSITY; EVOLUTION</t>
  </si>
  <si>
    <t>Plasmids play an important role in the evolution of microbial communities. These mobile genetic elements can improve host survival and may also be involved in horizontal gene transfer (HGT) events between individuals. Diverse culture-dependent and culture-independent approaches have been used to characterize these mobile elements. Culture-dependent methods are usually associated with classical microbiological techniques. In the second approach, development of specific protocols for analysis of metagenomes involves many challenges, including assembly of sequences and availability of a reliable database, which are crucial. In addition, alternative strategies have been developed for the characterization of plasmid DNA in a sample, generically referred to as plasmidome. The Antarctic continent has environments with diverse characteristics, including some with very low temperatures, humidity levels, and nutrients. The presence of microorganisms and genetic elements capable of being transferred horizontally has been confirmed in these environments, and it is generally accepted that some of these elements, such as plasmids, actively participate in adaptation mechanisms of host microorganisms. Information related to structure and function of HGT elements in Antarctic bacteria is very limited compared to what is known about HGT in bacteria from temperate/tropical environments. Some studies are done with biotechnological objectives. The search for mobile elements, such as plasmids, may be related to improve the expression of heterologous genes in host organisms growing at very low temperatures. More recently, however, additional studies have been done to detect plasmids in isolates, associated or not with specific phenotypes such as drug resistance. Although various Antarctic metagenomes are available in public databases, corresponding studies of plasmidomes are needed. The difficulties usually associated with the study of metagenomes are increased in these cases by the limited number of sequences in functionally characterized databases.</t>
  </si>
  <si>
    <t>[Gimenez, Matias; Azziz, Gaston; Batista, Silvia] Inst Invest Biol Clemente Estable, Unidad Microbiol Mol, Montevideo, Uruguay; [Gill, Paul R.] Nevada City Biolabs, Nevada City, CA USA</t>
  </si>
  <si>
    <t>Instituto de Investigaciones Biologicas Clemente Estable Uruguay</t>
  </si>
  <si>
    <t>Batista, S (corresponding author), Inst Invest Biol Clemente Estable, Unidad Microbiol Mol, Montevideo, Uruguay.</t>
  </si>
  <si>
    <t>sbatista@iibce.edu.uy</t>
  </si>
  <si>
    <t>Azziz, Gastón/AAE-4878-2019</t>
  </si>
  <si>
    <t>Azziz, Gaston/0000-0002-8000-724X; Gimenez, Matias/0000-0002-6267-9106</t>
  </si>
  <si>
    <t>10.1007/978-3-030-02786-5_5</t>
  </si>
  <si>
    <t>WOS:000468822300006</t>
  </si>
  <si>
    <t>Lo Giudice, A; Azzaro, M</t>
  </si>
  <si>
    <t>Lo Giudice, Angelina; Azzaro, Maurizio</t>
  </si>
  <si>
    <t>Diversity and Ecological Roles of Prokaryotes in the Changing Antarctic Marine Environment</t>
  </si>
  <si>
    <t>Marine ecosystem; Carbon cycling; Chemoheterotrophs; Organic matter sink; Climate change</t>
  </si>
  <si>
    <t>TERRA-NOVA BAY; SEDIMENT ACCUMULATION RATES; EASTERN WEDDELL SEA; KING GEORGE ISLAND; ROSS ICE SHELF; COMMUNITY STRUCTURE; COASTAL WATERS; POTTER COVE; BACTERIAL COMMUNITIES; CONTINENTAL-SHELF</t>
  </si>
  <si>
    <t>The Antarctic marine ecosystem is particularly vulnerable to climate change, with further exacerbation mainly deriving from the potential impacts of human activities at research stations. Anthropogenic changes in Antarctica pose a serious questioning about the ability of microbial communities to respond to environmental stresses in this extreme and fragile environment. Establishing the base-lines of Antarctic prokaryotic population composition and ecophysiological activities becomes essential to monitor the functioning of ecosystems and the effects of climate change. In this chapter, we present an overview of the prokaryotic communities in the Antarctic marine environment and the potential/current influence of climate change, mainly related to rising temperatures, on their composition and activities. A focus will be done on the role of prokaryotes in the changing polar carbon cycle in seawater, sea-ice and sediments.</t>
  </si>
  <si>
    <t>[Lo Giudice, Angelina; Azzaro, Maurizio] CNR, Inst Biol Resources &amp; Marine Biotechnol, UOS Messina, Messina, Italy</t>
  </si>
  <si>
    <t>Consiglio Nazionale delle Ricerche (CNR); Istituto per le Risorse Biologiche Biotecnologie Marine (IRBIM-CNR)</t>
  </si>
  <si>
    <t>Lo Giudice, A (corresponding author), CNR, Inst Biol Resources &amp; Marine Biotechnol, UOS Messina, Messina, Italy.</t>
  </si>
  <si>
    <t>angelina.logiudice@cnr.it</t>
  </si>
  <si>
    <t>azzaro, Maurizio/AAE-6784-2019</t>
  </si>
  <si>
    <t>azzaro, Maurizio/0000-0001-7885-2340</t>
  </si>
  <si>
    <t>10.1007/978-3-030-02786-5_6</t>
  </si>
  <si>
    <t>WOS:000468822300007</t>
  </si>
  <si>
    <t>Flocco, CG; Mac Cormack, WP; Smalla, K</t>
  </si>
  <si>
    <t>Flocco, Cecilia G.; Mac Cormack, Walter P.; Smalla, Kornelia</t>
  </si>
  <si>
    <t>Antarctic Soil Microbial Communities in a Changing Environment: Their Contributions to the Sustainability of Antarctic Ecosystems and the Bioremediation of Anthropogenic Pollution</t>
  </si>
  <si>
    <t>Soil microbial communities; Anthropogenic disturbances; Chemical contamination; Cold-temperature bioremediation; Gene flow</t>
  </si>
  <si>
    <t>POLYCYCLIC AROMATIC-HYDROCARBONS; PERSISTENT ORGANIC POLLUTANTS; KING GEORGE ISLAND; 16S RIBOSOMAL-RNA; BACTERIAL COMMUNITY; PSEUDOMONAS-PUTIDA; POTTER COVE; BIOSURFACTANT PRODUCTION; DEGRADING BACTERIA; CONTAMINATED SOILS</t>
  </si>
  <si>
    <t>Antarctica, one of the most harsh and isolated environments on Earth, is concurrently facing the shaping forces of global environmental changes and the impact of human activities in the continent, the latter represented by the operation of scientific stations and touristic expeditions which have significantly expanded over the last decades. Although still largely preserved, different types and levels of contamination of soils, sediments, and coastal waters were detected, being petroleum-derived hydrocarbons the predominant pollutants. Since the environmental protocol to the Antarctic Treaty prohibits the application of site-disruptive cleanup methods and the introduction of foreign species, studying the natural capacity of indigenous microbial communities to degrade pollutants (bioremediation) emerges as a key step in the design of suitable in situ pollution remediation strategies. This chapter describes the interactions of environmental and anthropogenic sources of disturbance to Antarctic ecosystems and the recent advances in our understanding of the ecological contributions of indigenous soil prokaryote communities, delving into their capacity to remediate polluted terrestrial environments. The aims are to highlight the crucial contributions of soil microbes to the functioning and sustainability of Antarctic ecosystems and enrich the body of knowledge supporting the engineering of bioremediation strategies for the restoration of terrestrial environments affected by anthropogenic sources of pollution.</t>
  </si>
  <si>
    <t>[Flocco, Cecilia G.; Smalla, Kornelia] Julius Kuhn Inst JKI, Fed Res Ctr Cultivated Plants, Braunschweig, Germany; [Flocco, Cecilia G.; Mac Cormack, Walter P.] Inst Antartico Argentino IAA, Buenos Aires, DF, Argentina; [Flocco, Cecilia G.; Mac Cormack, Walter P.] Univ Buenos Aires, Consejo Nacl Invest Cient &amp; Tecn CONICET, Inst Nanobiotecnol NANOBIOTEC, Buenos Aires, DF, Argentina</t>
  </si>
  <si>
    <t>Julius Kuhn-Institut; University of Buenos Aires; Consejo Nacional de Investigaciones Cientificas y Tecnicas (CONICET)</t>
  </si>
  <si>
    <t>Flocco, CG (corresponding author), Julius Kuhn Inst JKI, Fed Res Ctr Cultivated Plants, Braunschweig, Germany.;Flocco, CG (corresponding author), Inst Antartico Argentino IAA, Buenos Aires, DF, Argentina.;Flocco, CG (corresponding author), Univ Buenos Aires, Consejo Nacl Invest Cient &amp; Tecn CONICET, Inst Nanobiotecnol NANOBIOTEC, Buenos Aires, DF, Argentina.</t>
  </si>
  <si>
    <t>Mac Cormack, Walter/0000-0002-5280-5463; Flocco, Cecilia/0000-0001-9370-6130</t>
  </si>
  <si>
    <t>10.1007/978-3-030-02786-5_7</t>
  </si>
  <si>
    <t>WOS:000468822300008</t>
  </si>
  <si>
    <t>King-Miaow, K; Lee, K; Maki, T; LaCap-Bugler, D; Archer, SDJ</t>
  </si>
  <si>
    <t>King-Miaow, Katie; Lee, Kevin; Maki, Teruya; LaCap-Bugler, Donnabella; Archer, Stephen David James</t>
  </si>
  <si>
    <t>Airborne Microorganisms in Antarctica: Transport, Survival and Establishment</t>
  </si>
  <si>
    <t>Airborne microorganisms; Aerosphere particles; Bioaerosol particles; Microbial survival mechanisms; Propagule bank</t>
  </si>
  <si>
    <t>UPPER-ATMOSPHERE; DRY VALLEYS; BACTERIAL COMMUNITIES; VERTICAL-DISTRIBUTION; GLOBAL ATMOSPHERE; AERIAL DISPERSAL; VASCULAR PLANTS; LAKE VOSTOK; AIR; DIVERSITY</t>
  </si>
  <si>
    <t>Microorganisms are a globally ubiquitous component of the atmosphere, of vital importance to climate, human health and environmental processes. Bioaerosols (which include viable fungi, prokaryotes, pollen and viruses as well as biologically derived remnants) are suspected to have a fundamental role in structuring the composition and function of ecosystems globally. Antarctica presents a tractable opportunity to study the dispersal of airborne microorganisms due to its isolation and its simple, microbially dominated ecosystems. Recent advances in technology have begun to shed light on the poorly understood Antarctic aerosphere, with most research focusing on bacteria. This chapter summarises the current knowledge regarding the movement and behaviour of bioaerosols in the global atmosphere, followed by the role that the air plays as a vector of microbes to Antarctica, and an overview of Antarctic bioaerosol research. Survival mechanisms of microbes in the harsh Antarctic terrestrial and atmospheric environments are outlined, followed by a discussion of the potential effects that aerial input to Antarctic ecosystems may have in the face of climate change. Bioaerosols are found to be highly changeable over space and time, with concentrations and compositions influenced by a myriad of variables, particularly climatic factors such as wind speed and temperature. Although studies of Antarctic bioaerosols have confirmed the extremely low biomass predicted in its atmosphere compared with temperate zones, greater biodiversity has been discovered as technology has improved. Multiple lines of evidence indicate that bioaerosols have been globally transported over great distances. While many microbes are believed to survive in the atmosphere as spores, some species may remain metabolically active and could contribute to certain atmospheric processes. The evidence of continual bioaerosol deposition and theorised significance to current ecosystem structuring suggests that as the Antarctic climate changes, deposited microorganisms could drive rapid community shifts. This chapter identifies numerous knowledge gaps in the field, including the variability, environmental drivers, source (where) and extent (how much) of Antarctic airborne microorganisms. Given the predicted importance of airborne transportation to Antarctic ecosystems, it is essential to substantially increase research effort to gain a more comprehensive view of the extreme Antarctic aerosphere.</t>
  </si>
  <si>
    <t>[King-Miaow, Katie; Lee, Kevin; LaCap-Bugler, Donnabella; Archer, Stephen David James] Auckland Univ Technol, Inst Appl Ecol New Zealand, Auckland, New Zealand; [Maki, Teruya] Kanazawa Univ, Dept Chem Engn, Kanazawa, Ishikawa, Japan; [Archer, Stephen David James] Natl Univ Singapore, Yale NUS Coll, Singapore, Singapore</t>
  </si>
  <si>
    <t>Auckland University of Technology; Kanazawa University; Yale NUS College; National University of Singapore</t>
  </si>
  <si>
    <t>Archer, SDJ (corresponding author), Auckland Univ Technol, Inst Appl Ecol New Zealand, Auckland, New Zealand.;Archer, SDJ (corresponding author), Natl Univ Singapore, Yale NUS Coll, Singapore, Singapore.</t>
  </si>
  <si>
    <t>sarcher@aut.ac.nz</t>
  </si>
  <si>
    <t>Lee, Kevin/Z-5368-2019</t>
  </si>
  <si>
    <t>Lee, Kevin/0000-0003-0210-2628</t>
  </si>
  <si>
    <t>10.1007/978-3-030-02786-5_8</t>
  </si>
  <si>
    <t>WOS:000468822300009</t>
  </si>
  <si>
    <t>Cristina, J</t>
  </si>
  <si>
    <t>Cristina, Juan</t>
  </si>
  <si>
    <t>Molecular Biology of RNA Viruses Isolated in Antarctica</t>
  </si>
  <si>
    <t>RNA viruses; Emergence and spread of virus; Paramyxoviridae; Orthomyxoviridae; Birnaviridae; Flaviviridae; Togaviridae</t>
  </si>
  <si>
    <t>INFLUENZA-A VIRUS; PATHOGENIC AVIAN INFLUENZA; SOUTH POLAR SKUAS; NEWCASTLE-DISEASE; PENGUINS; ANTIBODIES; INFECTION; PATTERNS; BIRDS; NORTH</t>
  </si>
  <si>
    <t>RNA viruses exist as collections of closely related viral genomes, termed quasispecies, subjected to a continuous process of genetic variation, competition among the variants generated, and selection of the most fitted distributions in a given environment. Large population sizes and high evolutionary rates make RNA viruses unique. Detailed studies on the molecular biology and evolution of RNA viruses are extremely important for our understanding of the role of these viruses in Antarctica, as well as to gain insight into their emergence and spread. Antarctic ecosystems are dominated by microorganisms, where RNA viruses play an important role as an active, persistent, and important component of the aquatic microbial community, both at Antarctic sea and freshwater environments. RNA virus infection of Antarctic wildlife is more significant than previously anticipated, where at least members of five different RNA virus families have been identified. RNA plant viruses have been also observed. Recent studies reveal the introduction, persistence, and evolution of emerging RNA viruses of extreme importance for human and/or animal health in Antarctica. To determine the role of Antarctica in the global emergence of these viruses is extremely important for the development of appropriate strategies to control infection caused by these viruses.</t>
  </si>
  <si>
    <t>[Cristina, Juan] Univ Republica, Fac Ciencias, CIN, Lab Virol Mol, Montevideo, Uruguay</t>
  </si>
  <si>
    <t>Universidad de la Republica, Uruguay</t>
  </si>
  <si>
    <t>Cristina, J (corresponding author), Univ Republica, Fac Ciencias, CIN, Lab Virol Mol, Montevideo, Uruguay.</t>
  </si>
  <si>
    <t>cristina@cin.edu.uy</t>
  </si>
  <si>
    <t>10.1007/978-3-030-02786-5_9</t>
  </si>
  <si>
    <t>WOS:000468822300010</t>
  </si>
  <si>
    <t>Amarelle, V; Carrasco, V; Fabiano, E</t>
  </si>
  <si>
    <t>Amarelle, Vanesa; Carrasco, Valentina; Fabiano, Elena</t>
  </si>
  <si>
    <t>The Hidden Life of Antarctic Rocks</t>
  </si>
  <si>
    <t>Lithobiontic communities; Rock environment; Carbon input; Nitrogen input; Adaptation</t>
  </si>
  <si>
    <t>CRYPTOENDOLITHIC MICROBIAL ENVIRONMENT; MCMURDO DRY VALLEYS; FUNCTIONAL ECOLOGY; ROSS DESERT; COMMUNITIES; BACTERIA; ALGAE; MICROORGANISMS; PERMAFROST; ECOSYSTEMS</t>
  </si>
  <si>
    <t>Microbes are able to colonize almost every part on Earth where liquid water is available, and rocks are not an exception. Moreover, in extremely dry and harsh places, like some found in Antarctica, rocks may represent the main refuge for life. Despite its relevance, our understanding of lithobiontic communities is just at the beginnings. In this chapter we present a brief history of research on Antarctic lithobiontic communities and summarize recent advances in our understanding of this fascinating microbial world. We point up methodological approximations used for its characterization, microbial diversity of lithobionts, and the identification of functional traits that drive lithobiont survival and community assembly. These extreme environmental niches can be considered a barely explored source of microbial life whose function in global processes such as global climate changes remains unclear. Understanding the adaptations that allow lithobionts to successfully compete in their environment is a quest for understanding the fundamentals of life.</t>
  </si>
  <si>
    <t>[Amarelle, Vanesa; Carrasco, Valentina; Fabiano, Elena] Biol Res Inst Clemente Estable, Dept Microbial Biochem &amp; Genom, Montevideo, Uruguay</t>
  </si>
  <si>
    <t>Fabiano, E (corresponding author), Biol Res Inst Clemente Estable, Dept Microbial Biochem &amp; Genom, Montevideo, Uruguay.</t>
  </si>
  <si>
    <t>efabiano@iibce.edu.uy</t>
  </si>
  <si>
    <t>Amarelle, Vanesa/AAY-7871-2020; Amarelle, Vanesa/IZE-5717-2023</t>
  </si>
  <si>
    <t>Fabiano, Elena/0000-0003-2868-6393; Amarelle, Vanesa/0000-0003-0405-3321</t>
  </si>
  <si>
    <t>10.1007/978-3-030-02786-5_10</t>
  </si>
  <si>
    <t>WOS:000468822300011</t>
  </si>
  <si>
    <t>Ogaki, MB; de Paula, MT; Ruas, D; Pellizzari, FM; García-Laviña, CX; Rosa, LH</t>
  </si>
  <si>
    <t>Ogaki, Mayara B.; de Paula, Maria T.; Ruas, Daniele; Pellizzari, Franciane M.; Garcia-Lavina, Cesar X.; Rosa, Luiz H.</t>
  </si>
  <si>
    <t>Marine Fungi Associated with Antarctic Macroalgae</t>
  </si>
  <si>
    <t>Marine fungi; Algicolous fungal communities; Bioactive natural products; Ecological role; Dynamics of richness</t>
  </si>
  <si>
    <t>ANGIOSPERMS DESCHAMPSIA-ANTARCTICA; SOUTH SHETLAND ISLANDS; DIVERSITY; COMMUNITIES; ECOLOGY; YEASTS; ASCOMYCETE; PATTERNS; BACTERIA; REGION</t>
  </si>
  <si>
    <t>Fungi are well known for their important roles in terrestrial ecosystems, but filamentous and yeast forms are also active components of microbial communities from marine ecosystems. Marine fungi are particularly abundant and relevant in coastal systems where they can be found in association with large organic substrata, like seaweeds. Antarctica is a rather unexplored region of the planet that is being influenced by strong and rapid climate change. In the past decade, several efforts have been made to get a thorough inventory of marine fungi from different environments, with a particular emphasis on those associated with the large communities of seaweeds that abound in littoral and infralittoral ecosystems. The algicolous fungal communities obtained were characterized by a few dominant species and a large number of singletons, as well as a balance among endemic, indigenous, and cold-adapted cosmopolitan species. The long-term monitoring of this balance and the dynamics of richness, dominance, and distributional patterns of these algicolous fungal communities is proposed to understand and model the influence of climate change on the maritime Antarctic biota. In addition, several fungal isolates from marine Antarctic environments have shown great potential as producers of bioactive natural products and enzymes and may represent attractive sources of biotechnological products.</t>
  </si>
  <si>
    <t>[Ogaki, Mayara B.; de Paula, Maria T.; Ruas, Daniele; Rosa, Luiz H.] Univ Fed Minas Gerais, Dept Microbiol, Belo Horizonte, MG, Brazil; [Pellizzari, Franciane M.] Parana State Univ, Dept Biol Sci, Paranagua, Brazil; [Garcia-Lavina, Cesar X.] Univ Republica, Fac Sci, Biochem &amp; Mol Biol, Montevideo, Uruguay</t>
  </si>
  <si>
    <t>Universidade Federal de Minas Gerais; Universidad de la Republica, Uruguay</t>
  </si>
  <si>
    <t>Rosa, LH (corresponding author), Univ Fed Minas Gerais, Dept Microbiol, Belo Horizonte, MG, Brazil.</t>
  </si>
  <si>
    <t>lhrosa@icb.ufmg.br</t>
  </si>
  <si>
    <t>Ogaki, Mayara/AAE-3088-2021; Pellizzari, Franciane M./JLL-6907-2023</t>
  </si>
  <si>
    <t>de Paula, Maria Theresa Rafaela/0000-0003-3359-2279</t>
  </si>
  <si>
    <t>10.1007/978-3-030-02786-5_11</t>
  </si>
  <si>
    <t>WOS:000468822300012</t>
  </si>
  <si>
    <t>Schultz, J; Rosado, AS</t>
  </si>
  <si>
    <t>Schultz, Junia; Rosado, Alexandre Soares</t>
  </si>
  <si>
    <t>Microbial Role in the Ecology of Antarctic Plants</t>
  </si>
  <si>
    <t>Rhizospheric microbes; Deschampsia antarctica; Colobanthus quitensis; Microbial diversity; Development of plants</t>
  </si>
  <si>
    <t>GROWTH-PROMOTING RHIZOBACTERIA; DESCHAMPSIA-ANTARCTICA; COLOBANTHUS-QUITENSIS; BACTERIAL DIVERSITY; HETEROTROPHIC BACTERIA; VASCULAR PLANTS; SOIL; COMMUNITIES; FUNGAL; BIODIVERSITY</t>
  </si>
  <si>
    <t>Antarctica is a true mosaic of extremes. It is a continent of superlatives, with low temperatures, freezing and thawing cycles, high salinity and intense solar radiation, among other environmental extremes. These unique conditions exert evolutionary pressure, which selects the biological community to develop in place, such as the microbial community. Ice-free soils represent a very small proportion of the total land area of Antarctica, and in these areas, a scarce Antarctic vegetation grows. The vegetation of these ice-free habitats is characterized by low coverage and low productivity, being mainly composed of lower plants, with only two vascular plant species, Deschampsia antarctica and Colobanthus quitensis. Climate change in Antarctica may present new threats to terrestrial ecosystems particularly by increasing the distribution of the native plants but also increasing the successful establishment of non-native species. It is known that the vegetation cover has an important role in the microbial diversity of Antarctic soils due that these microorganisms produce molecules that cooperate with the establishment and development of plants in harsh conditions and vice versa. Our chapter selects and discusses some of the few studies that describe microbe-plant interactions in Antarctica and how these interactions can modulate the distribution, diversity and abundance of native vascular plants and microbial diversity in Antarctica.</t>
  </si>
  <si>
    <t>[Schultz, Junia; Rosado, Alexandre Soares] Univ Fed Rio de Janeiro, Inst Microbiol Paulo de Goes, Lab Mol Microbial Ecol, Rio De Janeiro, Brazil</t>
  </si>
  <si>
    <t>Universidade Federal do Rio de Janeiro</t>
  </si>
  <si>
    <t>Rosado, AS (corresponding author), Univ Fed Rio de Janeiro, Inst Microbiol Paulo de Goes, Lab Mol Microbial Ecol, Rio De Janeiro, Brazil.</t>
  </si>
  <si>
    <t>asrosado@micro.ufrj.br</t>
  </si>
  <si>
    <t>Rosado, Alexandre Soares/G-1955-2012</t>
  </si>
  <si>
    <t>Rosado, Alexandre Soares/0000-0001-5135-1394</t>
  </si>
  <si>
    <t>10.1007/978-3-030-02786-5_12</t>
  </si>
  <si>
    <t>WOS:000468822300013</t>
  </si>
  <si>
    <t>Lo Giudice, A; Azzaro, M; Schiaparelli, S</t>
  </si>
  <si>
    <t>Lo Giudice, Angelina; Azzaro, Maurizio; Schiaparelli, Stefano</t>
  </si>
  <si>
    <t>Microbial Symbionts of Antarctic Marine Benthic Invertebrates</t>
  </si>
  <si>
    <t>Microbial symbionts; Benthic invertebrates; Microbial diversity; Host-specificity; Microbiome</t>
  </si>
  <si>
    <t>DIVERSITY; SPONGES; DIATOMS; COMMUNITIES; BACTERIA; KIRKPATRICK; RESISTANCE; PORIFERA; FEEDERS; ECOLOGY</t>
  </si>
  <si>
    <t>The microbial colonization of living surfaces may be affected by several environmental and biological factors and may play an important role in the development and evolution of the holobiont. Antarctica, as an extreme and isolated environment, offers a unique opportunity to study the peculiar and often strict interactions that are established between a benthic host and its symbionts. Despite this, to date the association between microbes and Antarctic benthic invertebrates has been only seldom investigated, resulting in fragmented and poor information. This chapter will be devoted to showcase our current knowledge on prokaryotic (Bacteria and Archaea) and eukaryotic (yeasts and diatoms) microbial symbionts of Antarctic benthic invertebrate hosts, including mainly Porifera and, at to a lesser extent, Cnidaria, Echinodermata and Annelida.</t>
  </si>
  <si>
    <t>[Lo Giudice, Angelina; Azzaro, Maurizio] CNR, Inst Biol Resources &amp; Marine Biotechnol, UOS Messina, Messina, Italy; [Schiaparelli, Stefano] Univ Genoa, Dept Earth Environm &amp; Life Sci, Genoa, Italy; [Schiaparelli, Stefano] Univ Genoa, Italian Natl Antarctic Museum MNA, Sect Genoa, Genoa, Italy</t>
  </si>
  <si>
    <t>Consiglio Nazionale delle Ricerche (CNR); Istituto per le Risorse Biologiche Biotecnologie Marine (IRBIM-CNR); University of Genoa; University of Genoa</t>
  </si>
  <si>
    <t>10.1007/978-3-030-02786-5_13</t>
  </si>
  <si>
    <t>WOS:000468822300014</t>
  </si>
  <si>
    <t>Sakerin, SM; Golobokova, LP; Kabanov, DM; Kozlov, VS; Pol'kin, VV; Radionov, VF; Chernov, DG</t>
  </si>
  <si>
    <t>Sakerin, S. M.; Golobokova, L. P.; Kabanov, D. M.; Kozlov, V. S.; Pol'kin, V. V.; Radionov, V. F.; Chernov, D. G.</t>
  </si>
  <si>
    <t>Comparison of Average Aerosol Characteristics in Neighboring Arctic Regions</t>
  </si>
  <si>
    <t>ATMOSPHERIC AND OCEANIC OPTICS</t>
  </si>
  <si>
    <t>aerosol; black carbon; ion composition; Spitsbergen; Barents Sea</t>
  </si>
  <si>
    <t>NORTHWESTERN COAST; KANDALAKSHA BAY; NY-ALESUND; ATMOSPHERE; DEPOSITION; CARBON; ALASKA; TRENDS; BARROW; AIR</t>
  </si>
  <si>
    <t>We discuss the results of comparison of the average physicochemical aerosol characteristics in neighboring regions: in the Arctic settlement Barentsburg (Spitsbergen Archipelago) and over the Barents Sea. A small (less than 0.02) excess of the atmospheric aerosol optical depth in the island area over the maritime region is noted. The aerosol microphysical characteristics in the near-ground layer differ strongly: the black carbon concentrations are (a factor of 4) larger in Barentsburg, and particle concentrations are (a factor of 2.4) larger over the sea. The absolute concentrations of ions in the atmosphere of Barentsburg are several-fold smaller than over the sea. However, with respect to the relative content, Na+, Cl- and , ions predominate in both regions, indicating equivalent contributions of continental and maritime sources.</t>
  </si>
  <si>
    <t>[Sakerin, S. M.; Kabanov, D. M.; Kozlov, V. S.; Pol'kin, V. V.; Chernov, D. G.] Russian Acad Sci, VE Zuev Inst Atmospher Opt, Siberian Branch, Tomsk 634055, Russia; [Golobokova, L. P.] Russian Acad Sci, Limnol Inst, Siberian Branch, Irkutsk 664033, Russia; [Radionov, V. F.] Arctic &amp; Antarctic Res Inst, St Petersburg 199397, Russia</t>
  </si>
  <si>
    <t>Zuev Institute of Atmospheric Optics, Siberian Branch of the Russian Academy of Sciences; Russian Academy of Sciences; Irkutsk Science Centre of the Russian Academy of Sciences; Russian Academy of Sciences; Limnological Institute SB RAS; Arctic &amp; Antarctic Research Institute</t>
  </si>
  <si>
    <t>Sakerin, SM (corresponding author), Russian Acad Sci, VE Zuev Inst Atmospher Opt, Siberian Branch, Tomsk 634055, Russia.</t>
  </si>
  <si>
    <t>sms@iao.ru; dkab@iao.ru</t>
  </si>
  <si>
    <t>Radionov, Vladimir F./O-3038-2017; Sakerin, Sergey/A-6508-2014; Kabanov, Dmitry M./A-5805-2014; Kabanov, Dmitry/A-4871-2014</t>
  </si>
  <si>
    <t>Chernov, Dmitriy/0000-0003-1877-6678</t>
  </si>
  <si>
    <t>Siberian Branch of the Russian Academy of Sciences (Complex Program of Basic Research II.1) [0368-2018-0014, 0345-2018-0002]</t>
  </si>
  <si>
    <t>Siberian Branch of the Russian Academy of Sciences (Complex Program of Basic Research II.1)</t>
  </si>
  <si>
    <t>This work was performed in the framework of the program of the Russian Arctic expedition on the Spitsbergen Archipelago (RAE-Sh) in the Arctic and Antarctic Research Institute and with support of the Siberian Branch of the Russian Academy of Sciences (within Complex Program of Basic Research II.1, project nos. 0368-2018-0014 and 0345-2018-0002).</t>
  </si>
  <si>
    <t>PLEIADES PUBLISHING INC</t>
  </si>
  <si>
    <t>PLEIADES PUBLISHING INC, MOSCOW, 00000, RUSSIA</t>
  </si>
  <si>
    <t>1024-8560</t>
  </si>
  <si>
    <t>2070-0393</t>
  </si>
  <si>
    <t>ATMOS OCEAN OPT</t>
  </si>
  <si>
    <t>Atmos. Ocean. Opt.</t>
  </si>
  <si>
    <t>10.1134/S1024856019010147</t>
  </si>
  <si>
    <t>Optics</t>
  </si>
  <si>
    <t>HY3MT</t>
  </si>
  <si>
    <t>WOS:000468031400005</t>
  </si>
  <si>
    <t>Rusinova-Videva, S; Kambourova, M; Alipieva, K; Nachkova, S; Simova, S</t>
  </si>
  <si>
    <t>Rusinova-Videva, Snezhana; Kambourova, Margarita; Alipieva, Kalina; Nachkova, Stefka; Simova, Svetlana</t>
  </si>
  <si>
    <t>Metabolic profiling of Antarctic yeasts by proton nuclear magnetic resonance-based spectroscopy</t>
  </si>
  <si>
    <t>BIOTECHNOLOGY &amp; BIOTECHNOLOGICAL EQUIPMENT</t>
  </si>
  <si>
    <t>Antarctic yeasts; NMR; metabolite profiling</t>
  </si>
  <si>
    <t>SACCHAROMYCES-CEREVISIAE; RHODOTORULA-GLUTINIS; BIOMASS; EXOPOLYSACCHARIDES; FUNDAMENTALS; ENZYMES; STRAINS; MANNAN</t>
  </si>
  <si>
    <t>The continent of Antarctica, as a combination of constantly low temperatures, strong winds, short summer season, and high solar radiation, is a highly extreme habitat suggesting appropriate conditions for growth of psychrophilic microorganisms. Five psychrophilic yeast strains were isolated from the samples taken from the region of the Bulgarian Base on Livingston Island, Antarctica: Cryptococcus laurentii AL(65), Sporobolomyces salmonicolor AL(36), Debaryomyces hansenii, Leucosporidium scotii and Rhodotorula glutinis, and their biomass yield and exopolysaccharides production were investigated. Best growth was observed for L. scotii and C. laurentii AL(65), with 7.5 and 6.0 g/L biomass, respectively, and highest exopolysaccharide yield was established for L. scotii. Metabolic profiling revealed phylogenetically based diversity in the identified metabolic profiles. The proton nuclear magnetic resonance (H-1 NMR) spectroscopy analyses of compounds extracted from the biomass of the strains revealed significant differences in the metabolites between individual yeast strains in our investigation including: among the amino acids alanine, valine, threonine, leucine and tyrosine; some organic acids such as gamma-aminobutyric acid, acetic acid, formic acid and others. Glucose was identified in all investigated strains. The highest diversity of compounds was observed in D. hansenii strain, division Ascomycota. The main compounds in the metabolic profile of Basidiomycota strains were sugars. The statistical analysis revealed significant differences in the studied metabolites among the yeast strains. This result suggests that, together with 16S rRNA gene and enzyme gene analyses, metabolite profiling could be also used as a marker for a phylogenetic distance in fungi evolution.</t>
  </si>
  <si>
    <t>[Rusinova-Videva, Snezhana; Kambourova, Margarita] Bulgarian Acad Sci, Stephan Angeloff Inst Microbiol, Dept Appl Microbiol, Sofia, Bulgaria; [Rusinova-Videva, Snezhana] Univ Plovdiv Paisii Hilendarski, Fac Biol, Dept Bot, Plovdiv, Bulgaria; [Alipieva, Kalina] Bulgarian Acad Sci, Inst Organ Chem Ctr Phytochem, Lab Chem Nat Prod, Sofia, Bulgaria; [Nachkova, Stefka] Univ Plovdiv Paisii Hilendarski, Fac Chem, Dept Analyt Chem &amp; Comp Chem, Plovdiv, Bulgaria; [Simova, Svetlana] Bulgarian Acad Sci, Inst Organ Chem Ctr Phytochem, Lab Bulgarian NMR Ctr, Sofia, Bulgaria</t>
  </si>
  <si>
    <t>Bulgarian Academy of Sciences; Stephan Angeloff Institute of Microbiology, Bulgarian Academy of Sciences; Plovdiv University; Bulgarian Academy of Sciences; Plovdiv University; Bulgarian Academy of Sciences</t>
  </si>
  <si>
    <t>Rusinova-Videva, S (corresponding author), Stephan Angeloff Inst Microbiol, Dept Appl Microbiol, 139 Ruski Blvd, Plovdiv 4000, Bulgaria.</t>
  </si>
  <si>
    <t>jrusinova@abv.bg</t>
  </si>
  <si>
    <t>Alipieva, Kalina/HTN-5677-2023; Kambourova, Margarita/L-9545-2016; Simova, Svetlana Dimitrova/D-4128-2012</t>
  </si>
  <si>
    <t>Alipieva, Kalina/0000-0003-2395-5339; Simova, Svetlana Dimitrova/0000-0002-9565-3850</t>
  </si>
  <si>
    <t>Program for Career Development of Young Scientists, Bulgarian Academy of Sciences [DFNP-60/27.04.2016]</t>
  </si>
  <si>
    <t>Program for Career Development of Young Scientists, Bulgarian Academy of Sciences</t>
  </si>
  <si>
    <t>This study was supported by the Program for Career Development of Young Scientists, Bulgarian Academy of Sciences, under grant number [DFNP-60/27.04.2016].</t>
  </si>
  <si>
    <t>1310-2818</t>
  </si>
  <si>
    <t>1314-3530</t>
  </si>
  <si>
    <t>BIOTECHNOL BIOTEC EQ</t>
  </si>
  <si>
    <t>Biotechnol. Biotechnol. Equip.</t>
  </si>
  <si>
    <t>JAN 1</t>
  </si>
  <si>
    <t>10.1080/13102818.2018.1490201</t>
  </si>
  <si>
    <t>Biotechnology &amp; Applied Microbiology</t>
  </si>
  <si>
    <t>HY0PJ</t>
  </si>
  <si>
    <t>WOS:000467813900001</t>
  </si>
  <si>
    <t>Clark, TJ; Matthiopoulos, J; Bonnet-Lebrun, AS; Campioni, L; Catry, P; Marengo, I; Poncet, S; Wakefield, E</t>
  </si>
  <si>
    <t>Clark, Tyler J.; Matthiopoulos, Jason; Bonnet-Lebrun, Anne-Sophie; Campioni, Letizia; Catry, Paulo; Marengo, Ilaria; Poncet, Sally; Wakefield, Ewan</t>
  </si>
  <si>
    <t>Integrating habitat and partial survey data to estimate the regional population of a globally declining seabird species, the sooty shearwater</t>
  </si>
  <si>
    <t>GLOBAL ECOLOGY AND CONSERVATION</t>
  </si>
  <si>
    <t>Ardenna grisea; Burrowing petrels; Habitat preference; Puffinus griseus; Resource selection function; Species distribution model</t>
  </si>
  <si>
    <t>PUFFINUS-GRISEUS; NEW-ZEALAND; CONSERVATION STATUS; RESOURCE SELECTION; BURROWING SEABIRD; SOUTH ATLANTIC; ISLAND; MODEL; RECOVERY; COLONY</t>
  </si>
  <si>
    <t>Many animal populations are thought to be in flux due to anthropogenic impacts. However, censusing organisms to understand such changes is often impractical. For example, while it is thought that over half of pelagic seabird populations are declining, most breed in burrows or on cliffs, in large, remote colonies, making them difficult to count. Burrow-nesting sooty shearwaters (Ardenna grisea) are abundant but declining in their core (South Pacific) breeding range, potentially due to introduced rodents and habitat loss. In contrast, Kidney Island, their largest colony in the Falkland Islands (Southwest Atlantic), purportedly grew by several orders of magnitude since the mid-1900s. This island is rodent-free, and native tussac grass (Poa flabellata) has increased following cessation of historical exploitation. To estimate the sooty shearwater population in the Falkland Islands, and its relationship with breeding habitat availability, we sampled burrow density and occupancy on Kidney Island and modeled these as functions of habitat. Both indices responded positively to a proxy for historical increases in tussac cover. We estimate that breeding sooty shearwaters occupy similar to 140,000 (95% CI: 90,000-210,000) burrows on Kidney Island. Moreover, using additional survey data and Generalized Functional Response models to account for intra-island variation in habitat availability, we estimate that 25,000 (95% CI: 20,100 - 30,500) burrows could be occupied on nearby islands from which non-native rodents have been recently eradicated. Our study shows that habitat selection functions, generalized where necessary, not only improve population estimates but provide biological insights needed to reverse declines in seabirds and other species. (C) 2019 The Authors. Published by Elsevier B.V.</t>
  </si>
  <si>
    <t>[Clark, Tyler J.; Matthiopoulos, Jason; Wakefield, Ewan] Univ Glasgow, Inst Biodivers Anim Hlth &amp; Comparat Med, Glasgow G12 8QQ, Lanark, Scotland; [Bonnet-Lebrun, Anne-Sophie] Univ Cambridge, Dept Zool, Cambridge CB2 3EJ, England; [Bonnet-Lebrun, Anne-Sophie] Univ Paul Valery Montpellier, CEFE, CNRS, Univ Montpellier,UMR 5175,EPHE, Montpellier, France; [Campioni, Letizia; Catry, Paulo] ISPA Inst Univ, MARE Marine &amp; Environm Sci Ctr, P-1149041 Lisbon, Portugal; [Marengo, Ilaria] SAERI, Stanley FIQQ 1ZZ, Falkland Island; [Poncet, Sally] Antarctic Res Trust, Stanley FIQQ 1ZZ, Falkland Island; [Clark, Tyler J.] Univ Montana, Wildlife Biol Program, Dept Ecosyst &amp; Conservat Sci, WA Franke Coll Forestry &amp; Conservat, Missoula, MT 59812 USA</t>
  </si>
  <si>
    <t>University of Glasgow; University of Cambridge;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Instituto Superior Psicologia Aplicada (ISPA); University of Montana System; University of Montana</t>
  </si>
  <si>
    <t>Clark, TJ (corresponding author), Univ Glasgow, Inst Biodivers Anim Hlth &amp; Comparat Med, Glasgow G12 8QQ, Lanark, Scotland.;Clark, TJ (corresponding author), Univ Montana, Wildlife Biol Program, Dept Ecosyst &amp; Conservat Sci, WA Franke Coll Forestry &amp; Conservat, Missoula, MT 59812 USA.</t>
  </si>
  <si>
    <t>tyler3.clark@umontana.edu</t>
  </si>
  <si>
    <t>Bonnet-Lebrun, Anne-Sophie/GYU-2977-2022; Matthiopoulos, Jason/N-9808-2013; campioni, letizia/AAZ-2888-2020; Catry, Paulo/I-5408-2013</t>
  </si>
  <si>
    <t>Bonnet-Lebrun, Anne-Sophie/0000-0002-7587-615X; Matthiopoulos, Jason/0000-0003-3639-8172; campioni, letizia/0000-0002-6319-6931; Catry, Paulo/0000-0003-3000-0522; Clark-Wolf, Tyler/0000-0003-0115-3482</t>
  </si>
  <si>
    <t>UK Natural Environmental Research Council (NERC) [NE/M017990/1]; Seabird Group; Falkland Islands Government; Fundacao para a Ciencia e a Tecnologia, Portugal [UID/MAR/04292/2013, FCT-SFRH/BPD/89904/2012]; NERC [NE/M017990/1] Funding Source: UKRI</t>
  </si>
  <si>
    <t>UK Natural Environmental Research Council (NERC)(UK Research &amp; Innovation (UKRI)Natural Environment Research Council (NERC)); Seabird Group; Falkland Islands Government; Fundacao para a Ciencia e a Tecnologia, Portugal(Fundacao para a Ciencia e a Tecnologia (FCT)); NERC(UK Research &amp; Innovation (UKRI)Natural Environment Research Council (NERC))</t>
  </si>
  <si>
    <t>Funding was provided by the UK Natural Environmental Research Council (NERC) grant NE/M017990/1, the Seabird Group, the Falkland Islands Government and the Fundacao para a Ciencia e a Tecnologia, Portugal (strategic project UID/MAR/04292/2013 granted to MARE, and FCT-SFRH/BPD/89904/2012 granted to LC). The South Atlantic Environmental Research Institute generously provided logistical support along with access to datasets through the IMS-GIS Data Centre, and Agnes Olin made manuscript corrections.</t>
  </si>
  <si>
    <t>ELSEVIER</t>
  </si>
  <si>
    <t>RADARWEG 29, 1043 NX AMSTERDAM, NETHERLANDS</t>
  </si>
  <si>
    <t>2351-9894</t>
  </si>
  <si>
    <t>GLOB ECOL CONSERV</t>
  </si>
  <si>
    <t>Glob. Ecol. Conserv.</t>
  </si>
  <si>
    <t>e00554</t>
  </si>
  <si>
    <t>10.1016/j.gecco.2019.e00554</t>
  </si>
  <si>
    <t>HU7GI</t>
  </si>
  <si>
    <t>WOS:000465448800046</t>
  </si>
  <si>
    <t>Lavers, JL; Hutton, I; Bond, AL</t>
  </si>
  <si>
    <t>Lavers, Jennifer L.; Hutton, Ian; Bond, Alexander L.</t>
  </si>
  <si>
    <t>Changes in technology and imperfect detection of nest contents impedes reliable estimates of population trends in burrowing seabirds</t>
  </si>
  <si>
    <t>Ardenna carneipes; Detection probability; Flesh-footed Shearwater; Lord Howe Island; Population status</t>
  </si>
  <si>
    <t>FLESH-FOOTED SHEARWATERS; PUFFINUS-CARNEIPES; OCCUPANCY; ABUNDANCE; COLONY; ISLAND; ALBATROSSES; GRISEUS; CENSUS; SOUTH</t>
  </si>
  <si>
    <t>One of the most fundamental aspects of conservation biology is understanding trends in the abundance of species and populations. This influences conservation interventions, threat abatement, and management by implicitly or explicitly setting targets for favourable conservation states, such as an increasing or stable population. Burrow-nesting seabirds present many challenges for determining abundance reliably, which is further hampered by variability in the quality of previous surveys. We used burrow scopes to determine the population status of Flesh-footed Shearwaters (Ardenna carneipes) at their largest colony on Lord Howe Island, Australia, in 2018. We estimated a breeding population of 22,654 breeding pairs (95% CI: 8159-37,909). Comparing burrow scope models used in 2018 found more than half of burrow contents (20/36 burrows examined) were classified differently. If this detection probability is applied retroactively to surveys in 2002 and 2009, we estimate that the Flesh-footed Shearwater population on Lord Howe has decreased by up to 50% in the last decade, but uncertainty around previous surveys' ability to reliably determine burrow contents means a direct comparison is not possible. The decline in burrow density between 2018 and previous years adds further evidence that the population may not be stable. Our results highlight a need for regular surveys to quantify detection probability so that as video technology advances, previous population estimates remain comparable. We urge caution when comparing population counts of burrowing seabirds using different technologies, to ensure comparisons are meaningful. (C) 2019 The Authors. Published by Elsevier B.V.</t>
  </si>
  <si>
    <t>[Lavers, Jennifer L.; Bond, Alexander L.] Univ Tasmania, Inst Marine &amp; Antarctic Studies, 20 Castray Esplanade, Battery Point, Tas 7004, Australia; [Hutton, Ian] Lord Howe Isl Museum, POB 157, Lord Howe Isl, NSW 2898, Australia; [Bond, Alexander L.] Nat Hist Museum, Dept Life Sci, Bird Grp, Akeman St, Tring HP23 6AP, Herts, England</t>
  </si>
  <si>
    <t>University of Tasmania; Natural History Museum London</t>
  </si>
  <si>
    <t>Lavers, JL (corresponding author), Univ Tasmania, Inst Marine &amp; Antarctic Studies, 20 Castray Esplanade, Battery Point, Tas 7004, Australia.</t>
  </si>
  <si>
    <t>Jennifer.Lavers@utas.edu.au</t>
  </si>
  <si>
    <t>Bond, Alexander L/A-3786-2010; Lavers, Jennifer/IWM-5417-2023; Lavers, Jennifer/O-4831-2017</t>
  </si>
  <si>
    <t>Lavers, Jennifer/0000-0001-7596-6588; Bond, Alexander/0000-0003-2125-7238</t>
  </si>
  <si>
    <t>RACAT Group; Natural History Museum; Detached Foundation</t>
  </si>
  <si>
    <t>Special thanks to B. &amp; M. Beard, N. Campbell, D. &amp; A. Haslingden, RACAT Group, The Natural History Museum, and Detached Foundation for providing funding for this project. Work was conducted with the permission of the Lord Howe Island Board (permit no. 06/16) under the approval of the University of Tasmania Animal Ethics Committee (permit no. A16566) and New South Wales Office of Environment &amp; Heritage (licence no. SL100619). We thank N. Carlisle and the Lord Howe Island Board for generously providing access to equipment. Assistance in the field was provided by L. Farr, J. Pearson, and A. Schick. Assistance with Fig. 1 was kindly provided by A. De Schutter. We also extend our sincere thanks to the Lord Howe Island community for granting access to their properties during this survey, especially J. Bretnall, D. Hiscox, J. &amp; T. Makiiti, D. &amp; G. Owens, D. Mattasoni, P. Pavlica, and P. &amp; J. Phillipps. Comments from two anonymous reviewers improved earlier drafts.</t>
  </si>
  <si>
    <t>PO BOX 211, 1000 AE AMSTERDAM, NETHERLANDS</t>
  </si>
  <si>
    <t>e00579</t>
  </si>
  <si>
    <t>10.1016/j.gecco.2019.e00579</t>
  </si>
  <si>
    <t>WOS:000465448800012</t>
  </si>
  <si>
    <t>Mortimer, N; van den Bogaard, P; Hoernle, K; Timm, C; Gans, PB; Werner, R; Riefstahl, F</t>
  </si>
  <si>
    <t>Mortimer, N.; van den Bogaard, P.; Hoernle, K.; Timm, C.; Gans, P. B.; Werner, R.; Riefstahl, F.</t>
  </si>
  <si>
    <t>Late Cretaceous oceanic plate reorganization and the breakup of Zealandia and Gondwana</t>
  </si>
  <si>
    <t>GONDWANA RESEARCH</t>
  </si>
  <si>
    <t>Igneous rocks; 40Ar/39Ar geochronology; Cretaceous; Gondwana; Zealandia; Pacific Plate</t>
  </si>
  <si>
    <t>ONTONG JAVA NUI; INTRAPLATE VOLCANISM; HIKURANGI PLATEAU; TECTONIC RECONSTRUCTION; WISHBONE RIDGE; PACIFIC; MAGMATISM; GEOCHEMISTRY; EVOLUTION; MARGIN</t>
  </si>
  <si>
    <t>New 40Ar/39Ar ages of igneous rocks clarify the nature, timing and rates of movement of the oceanic Pacific, Phoenix, Farallon and Hikurangi plates against Gondwana and Zealandia in the Late Cretaceous. With some qualifications, cessation of spreading at the Osbourn Trough is dated c. 79 Ma, i.e. 30-20 my. later than 110-100 Ma Hikurangi Plateau-Gondwana collision. Oceanic crust of pre-84 Ma is confirmed to be present at the eastern end of the Chatham Rise, and a 99-78 Ma intraplate lava province erupted across juxtaposed Zealandia, Hikurangi Plateau and oceanic crust. We propose a new regional tectonic model in which a mechanically jammed Hikurangi Plateau resulted in the dynamic propagation of small, kinematically misaligned short-length 110-84 Ma spreading centres and long-offset fracture zones. It is only from c. 84 Ma that geometrically stable spreading became localized at what is now the Pacific-Antarctic Ridge, as Zealandia started to split from Gondwana. (C) 2018 International Association for Gondwana Research. Published by Elsevier B.V. All rights reserved.</t>
  </si>
  <si>
    <t>[Mortimer, N.] GNS Sci, Dunedin 9054, New Zealand; [van den Bogaard, P.; Hoernle, K.; Werner, R.] GEOMAR Helmholtz Ctr Ocean Res Kiel, Kiel, Germany; [Hoernle, K.] Christian Albrechts Univ Kiel, Kiel, Germany; [Timm, C.] GNS Sci, Lower Hutt 5040, New Zealand; [Gans, P. B.] Univ Calif Santa Barbara, Santa Barbara, CA 93106 USA; [Riefstahl, F.] AWI Helmholtz Ctr Polar &amp; Marine Res Bremerhaven, Bremerhaven, Germany</t>
  </si>
  <si>
    <t>GNS Science - New Zealand; Helmholtz Association; GEOMAR Helmholtz Center for Ocean Research Kiel; University of Kiel; GNS Science - New Zealand; University of California System; University of California Santa Barbara</t>
  </si>
  <si>
    <t>Mortimer, N (corresponding author), GNS Sci, Dunedin 9054, New Zealand.</t>
  </si>
  <si>
    <t>n.mortimer@gns.cri.nz</t>
  </si>
  <si>
    <t>Werner, Reinhard/AAF-5445-2021; Hoernle, Kaj/AAF-9500-2021; Mortimer, Nick/D-5791-2011</t>
  </si>
  <si>
    <t>Riefstahl, Florian/0000-0002-1198-1698; Timm, Christian/0000-0002-5889-1665; Mortimer, Nick/0000-0002-6812-3379</t>
  </si>
  <si>
    <t>German Ministry of Education and Research (BMBF) [50168 Zealandia]; DFG [HO18/12-1, HO18/12-2]; GEOMAR Helmholtz Centre for Ocean Research; New Zealand Government</t>
  </si>
  <si>
    <t>German Ministry of Education and Research (BMBF)(Federal Ministry of Education &amp; Research (BMBF)); DFG(German Research Foundation (DFG)); GEOMAR Helmholtz Centre for Ocean Research(Helmholtz Association); New Zealand Government</t>
  </si>
  <si>
    <t>We thank the Captain and crew of F/S Sonne 168 Zealandia cruise for dredged rocks and the IODP/DSDP core repository for providing the DSDP 595 samples. The New Zealand Ministry of Foreign Affairs and Trade gave permission to use the data obtained from Bollons Gap. We also thank John Simes, Belinda Smith Lyttle and Jenny Black for technical assistance, and Karsten Gohl, Bryan Davy and Hamish Campbell for discussions. An earlier version of the manuscript was improved by comments from Quinten van der Meer and an anonymous referee. The German Ministry of Education and Research (BMBF; grant 50168 Zealandia), the DFG (grants HO18/12-1 and 2), GEOMAR Helmholtz Centre for Ocean Research and the New Zealand Government (core grant to GNS Science), are gratefully acknowledged for providing funding for this project.</t>
  </si>
  <si>
    <t>1342-937X</t>
  </si>
  <si>
    <t>1878-0571</t>
  </si>
  <si>
    <t>GONDWANA RES</t>
  </si>
  <si>
    <t>Gondwana Res.</t>
  </si>
  <si>
    <t>10.1016/j.gr.2018.07.010</t>
  </si>
  <si>
    <t>HY6NJ</t>
  </si>
  <si>
    <t>WOS:000468246700003</t>
  </si>
  <si>
    <t>Potocka, M; Bayer, RC; Potocki, M</t>
  </si>
  <si>
    <t>Potocka, Marta; Bayer, Robert C.; Potocki, Mariusz</t>
  </si>
  <si>
    <t>Plastic pollution affects American lobsters, Homanis americanus</t>
  </si>
  <si>
    <t>MARINE POLLUTION BULLETIN</t>
  </si>
  <si>
    <t>American lobster; Homarus americans; Plastic pollution; Ingested plastics</t>
  </si>
  <si>
    <t>HYAS-ARANEUS; CRAB; MICROPLASTICS; DEBRIS; CHEMORECEPTION; ALKYLPHENOLS; BEHAVIOR; ESTUARY; BLOOD; MODEL</t>
  </si>
  <si>
    <t>This paper provides the first record of ingestion of plastic debris by American lobster, Homarus americanus. Plastics particles, identified as rubber pieces, were found in the stomachs of 3 from 17 individuals of lobsters kept in laboratory conditions. Debris had evidence of cuts, what suggest they were actively consumed.</t>
  </si>
  <si>
    <t>[Potocka, Marta] Polish Acad Sci, Dept Antarctic Biol, Inst Biochem &amp; Biophys, Pawinskiego St 5a, PL-02106 Warsaw, Poland; [Potocka, Marta; Bayer, Robert C.] Univ Maine, Lobster Inst, 5722 Deering Hall 144, Orono, ME 04469 USA; [Potocki, Mariusz] Univ Maine, Climate Change Inst, Orono, ME 04469 USA; [Potocki, Mariusz] Univ Maine, Sch Earth &amp; Climate Sci, Orono, ME 04469 USA</t>
  </si>
  <si>
    <t>Polish Academy of Sciences; Institute of Biochemistry &amp; Biophysics - Polish Academy of Sciences; University of Maine System; University of Maine Orono; University of Maine System; University of Maine Orono; University of Maine System; University of Maine Orono</t>
  </si>
  <si>
    <t>Potocka, M (corresponding author), Polish Acad Sci, Dept Antarctic Biol, Inst Biochem &amp; Biophys, Pawinskiego St 5a, PL-02106 Warsaw, Poland.</t>
  </si>
  <si>
    <t>mpotocka@ibb.waw.pl</t>
  </si>
  <si>
    <t>Potocka, Marta/0000-0003-0505-6436</t>
  </si>
  <si>
    <t>PERGAMON-ELSEVIER SCIENCE LTD</t>
  </si>
  <si>
    <t>OXFORD</t>
  </si>
  <si>
    <t>THE BOULEVARD, LANGFORD LANE, KIDLINGTON, OXFORD OX5 1GB, ENGLAND</t>
  </si>
  <si>
    <t>0025-326X</t>
  </si>
  <si>
    <t>1879-3363</t>
  </si>
  <si>
    <t>MAR POLLUT BULL</t>
  </si>
  <si>
    <t>Mar. Pollut. Bull.</t>
  </si>
  <si>
    <t>10.1016/j.marpolbul.2018.12.017</t>
  </si>
  <si>
    <t>Environmental Sciences; Marine &amp; Freshwater Biology</t>
  </si>
  <si>
    <t>Environmental Sciences &amp; Ecology; Marine &amp; Freshwater Biology</t>
  </si>
  <si>
    <t>HJ9IQ</t>
  </si>
  <si>
    <t>WOS:000457512500063</t>
  </si>
  <si>
    <t>Ovsepyan, YS; Taldenkova, EE</t>
  </si>
  <si>
    <t>Ovsepyan, Ya. S.; Taldenkova, E. E.</t>
  </si>
  <si>
    <t>Distribution Patterns and Morphology of Islandiella norcrossi (Cushman) in the Upper Quaternary Deposits of the Laptev Sea</t>
  </si>
  <si>
    <t>PALEONTOLOGICAL JOURNAL</t>
  </si>
  <si>
    <t>foraminifera; benthos; morphology; ecology; Laptev Sea; Holocene; Late Pleistocene</t>
  </si>
  <si>
    <t>MODERN BENTHIC FORAMINIFERA; BARENTS; MARGIN; SLOPE; WATER</t>
  </si>
  <si>
    <t>The ecology and taxonomy of Islandiella norcrossi (Cushman, 1933), a typical representative of the Arctic calcareous benthic foraminifers, are analyzed based on microfossils from the Late Pleistocene-Holocene deposits of the Laptev Sea. This species is distributed on the shelf and continental slope of the Arctic seas, and indicates normal marine conditions with a seasonal ice cover and cold Arctic water masses. The species is also associated with a high seasonal productivity in sea-ice marginal zone. Tests are abundant in the Laptev Sea sediments, and show some variability in the size and shape of chambers, which was possibly caused by harsh environmental conditions of the Arctic (limited period of growth and reproduction); aberrant forms with an additional aperture being also present. The population contains tests of macrospherical and microspherical generations, as well as juveniles.</t>
  </si>
  <si>
    <t>[Ovsepyan, Ya. S.] Russian Acad Sci, Geol Inst, Moscow 119017, Russia; [Taldenkova, E. E.] Lomonosov Moscow State Univ, Moscow 119991, Russia; [Ovsepyan, Ya. S.; Taldenkova, E. E.] Arctic &amp; Antarctic Res Inst, St Petersburg 199397, Russia; [Ovsepyan, Ya. S.] Russian Acad Sci, Shirshov Inst Oceanol, Moscow 117997, Russia</t>
  </si>
  <si>
    <t>Geological Institute, Russian Academy of Sciences; Russian Academy of Sciences; Lomonosov Moscow State University; Arctic &amp; Antarctic Research Institute; Russian Academy of Sciences; Shirshov Institute of Oceanology</t>
  </si>
  <si>
    <t>Ovsepyan, YS (corresponding author), Russian Acad Sci, Geol Inst, Moscow 119017, Russia.;Ovsepyan, YS (corresponding author), Arctic &amp; Antarctic Res Inst, St Petersburg 199397, Russia.;Ovsepyan, YS (corresponding author), Russian Acad Sci, Shirshov Inst Oceanol, Moscow 117997, Russia.</t>
  </si>
  <si>
    <t>yaovsepyan@yandex.ru</t>
  </si>
  <si>
    <t>Ovsepyan, Yaroslav/D-4667-2014; Taldenkova, Ekaterina/L-7853-2015</t>
  </si>
  <si>
    <t>Ovsepyan, Yaroslav/0000-0003-1172-4357</t>
  </si>
  <si>
    <t>Ministry of Science and Higher Education of the Russian Federation [RFMEFI61617X0076]; [0135-2019-0057]</t>
  </si>
  <si>
    <t>Ministry of Science and Higher Education of the Russian Federation;</t>
  </si>
  <si>
    <t>Ya.S. Ovsepyan acknowledges financial support of the State Contract to the Geological Institute (GIN) no. 0135-2019-0057, E.E. Taldenkova acknowledges financial support of the Ministry of Science and Higher Education of the Russian Federation, project no. RFMEFI61617X0076 Changing Arctic Transpolar System.</t>
  </si>
  <si>
    <t>PLEIADES HOUSE, 7 W 54 ST, NEW YORK, NY, UNITED STATES</t>
  </si>
  <si>
    <t>0031-0301</t>
  </si>
  <si>
    <t>1555-6174</t>
  </si>
  <si>
    <t>PALEONTOL J+</t>
  </si>
  <si>
    <t>Paleontol. J.</t>
  </si>
  <si>
    <t>10.1134/S0031030119010064</t>
  </si>
  <si>
    <t>HY9RV</t>
  </si>
  <si>
    <t>WOS:000468479900002</t>
  </si>
  <si>
    <t>Goryachkin, SV; Mergelov, NS; Targulian, VO</t>
  </si>
  <si>
    <t>Goryachkin, S. V.; Mergelov, N. S.; Targulian, V. O.</t>
  </si>
  <si>
    <t>Extreme Pedology: Elements of Theory and Methodological Approaches</t>
  </si>
  <si>
    <t>EURASIAN SOIL SCIENCE</t>
  </si>
  <si>
    <t>deserts; Polar regions; high mountains; caves; endoliths; extraterrestrial soil-like bodies; anthropogenic soils; weathering crusts</t>
  </si>
  <si>
    <t>SOIL-LIKE BODIES; ROCKS; CLASSIFICATION; ENVIRONMENTS; FOREST; LIFE</t>
  </si>
  <si>
    <t>Extreme environmental conditions that occur in Arctic, Antarctic, high mountains, extremely arid regions, as well as in toxic or nutrient-poor substrates, shallow waters, under intense anthropogenic impact, and in specific atmosphere or its absence in extraterrestrial systems, lead to the formation of soils and soloids (soil-like bodies) that cannot be adequately described, and their genesis and geography cannot be satisfactorily explained within the framework of the traditional Dokuchaev's pedology. A new scientific direction is proposedextreme pedology (genesis and geography of soils in extreme environments), which requires its own theory, conceptual apparatus, and methodological basis. It is based on the assumption that soils and soloids can develop in extreme conditions under the deficit or surplus of resources. In the first case, soloids are just few millimeters thick; in the second case, they have the profiles of multimeter scale. Various classes of soils and soloids extremeness are specified: factorial, regime-functional, and chorological (extra-areal). The behavior of extreme objects in time and the nature of their pedogenic records can have both specific and common features with normal soils. Morphological and analytical study of soils and soloids of extreme environments requires state-of-the-art methodological approaches and scientific equipment.</t>
  </si>
  <si>
    <t>[Goryachkin, S. V.; Mergelov, N. S.; Targulian, V. O.] Russian Acad Sci, Inst Geog, Per Staromonetnyi 29, Moscow 119017, Russia</t>
  </si>
  <si>
    <t>Russian Academy of Sciences; Institute of Geography, Russian Academy of Sciences</t>
  </si>
  <si>
    <t>Goryachkin, SV (corresponding author), Russian Acad Sci, Inst Geog, Per Staromonetnyi 29, Moscow 119017, Russia.</t>
  </si>
  <si>
    <t>goryachkin@igras.ru</t>
  </si>
  <si>
    <t>Goryachkin, Sergey V/H-3357-2016; Mergelov, Nikita S/D-2585-2015</t>
  </si>
  <si>
    <t>Russian Science Foundation [14-27-00133]; Russian Foundation for Basic Research [16-04-01776]; Russian Geographical Society [17-05-41157]; Russian Science Foundation [17-27-00010] Funding Source: Russian Science Foundation</t>
  </si>
  <si>
    <t>Russian Science Foundation(Russian Science Foundation (RSF)); Russian Foundation for Basic Research(Russian Foundation for Basic Research (RFBR)Spanish Government); Russian Geographical Society; Russian Science Foundation(Russian Science Foundation (RSF))</t>
  </si>
  <si>
    <t>This study was supported by the Russian Science Foundation, project no. 14-27-00133 (conceptual generalization of data); the Russian Foundation for Basic Research, project no. 16-04-01776 (methodological support); and by the joint project of the Russian Foundation for Basic Research and Russian Geographical Society, project no. 17-05-41157 (geographical aspects of the study).</t>
  </si>
  <si>
    <t>1064-2293</t>
  </si>
  <si>
    <t>1556-195X</t>
  </si>
  <si>
    <t>EURASIAN SOIL SCI+</t>
  </si>
  <si>
    <t>Eurasian Soil Sci.</t>
  </si>
  <si>
    <t>10.1134/S1064229319010046</t>
  </si>
  <si>
    <t>Soil Science</t>
  </si>
  <si>
    <t>Agriculture</t>
  </si>
  <si>
    <t>HX5TH</t>
  </si>
  <si>
    <t>WOS:000467465800001</t>
  </si>
  <si>
    <t>Lukashina, NP</t>
  </si>
  <si>
    <t>Lukashina, N. P.</t>
  </si>
  <si>
    <t>Deep-Water Circulation in the Hunter Channel (Southwest Atlantic) in the Late Pleistocene and Holocene Based on Benthic Foraminifera</t>
  </si>
  <si>
    <t>OCEANOLOGY</t>
  </si>
  <si>
    <t>ANTARCTIC BOTTOM WATER; POLAR FRONT REGION; VEMA CHANNEL; CURRENT SPEED; OCEAN; PRODUCTIVITY; FLOW; PALEOTEMPERATURES; SEASONALITY; RESOLUTION</t>
  </si>
  <si>
    <t>Based on benthic foraminifera from three sediment cores, the deep-water circulation near the Hunter Channel (Southwest Atlantic) in the Late Pleistocene and Holocene has been reconstructed (marine isotope stages (MIS) 4-1). Today, the North Atlantic Deep Water (NADW) moves through the Hunter Channel from north to south. At MIS 2 and 4, lower NADW flowed in the same direction. At MIS 3, NADW, Antarctic Bottom Water (AABW), and Lower Circumpolar Deep Water (LCDW) periodically appeared in the Hunter Channel. On the approach to the Hunter Channel from the Argentine Basin, there are no AABW signatures in the Late Pleistocene or Holocene. In the Holocene, carbonates dissolved in the deeper eastern part of the Hunter channel. During glaciations, dissolution processes intensified and also reached the western part of the channel. Dissolution proceeded and continues to proceed not because of AABW but NADW, which becomes aggressive here toward calcium carbonate.</t>
  </si>
  <si>
    <t>[Lukashina, N. P.] Russian Acad Sci, Shirshov Inst Oceanol, Atlantic Branch, Kaliningrad 236022, Russia</t>
  </si>
  <si>
    <t>Russian Academy of Sciences; Shirshov Institute of Oceanology</t>
  </si>
  <si>
    <t>Lukashina, NP (corresponding author), Russian Acad Sci, Shirshov Inst Oceanol, Atlantic Branch, Kaliningrad 236022, Russia.</t>
  </si>
  <si>
    <t>lukashinanp@mail.ru</t>
  </si>
  <si>
    <t>Lukashina, Nadezhda P/L-3351-2016</t>
  </si>
  <si>
    <t>MAIK NAUKA/INTERPERIODICA/SPRINGER</t>
  </si>
  <si>
    <t>233 SPRING ST, NEW YORK, NY 10013-1578 USA</t>
  </si>
  <si>
    <t>0001-4370</t>
  </si>
  <si>
    <t>1531-8508</t>
  </si>
  <si>
    <t>OCEANOLOGY+</t>
  </si>
  <si>
    <t>Oceanology</t>
  </si>
  <si>
    <t>10.1134/S0001437019010132</t>
  </si>
  <si>
    <t>HX6FN</t>
  </si>
  <si>
    <t>WOS:000467499600013</t>
  </si>
  <si>
    <t>Dergunov, AV; Kashkin, VB; Rubleva, TV; Romanov, AA; Odintsov, RV</t>
  </si>
  <si>
    <t>Tsibulskiy, GM; Noskov, MV; Lupyan, EA; Sverdlik, LG; Sagatelian, AK; Kharuk, VI; Kashkin, VB</t>
  </si>
  <si>
    <t>Dergunov, Alexander V.; Kashkin, Valentin B.; Rubleva, Tatyana V.; Romanov, Alexey A.; Odintsov, Roman V.</t>
  </si>
  <si>
    <t>ANTARCTIC OZONE HOLE AS A NATURAL GEOPHYSICAL OBJECT</t>
  </si>
  <si>
    <t>REGIONAL PROBLEMS OF EARTH REMOTE SENSING (RPERS 2018)</t>
  </si>
  <si>
    <t>E3S Web of Conferences</t>
  </si>
  <si>
    <t>Conference on Regional Problems of Earth Remote Sensing (RPERS)</t>
  </si>
  <si>
    <t>Siberian Fed Univ, Inst Space &amp; Informat Technol, Krasnoyarsk, RUSSIA</t>
  </si>
  <si>
    <t>Siberian Fed Univ, Inst Space &amp; Informat Technol</t>
  </si>
  <si>
    <t>Satellite data on total ozone content for 1985-2015 have been used. Methods of evaluating ozone deficit in the polar region and its excess in middle latitudes of the Southern Hemisphere have been developed. In early spring the ozone molecules outflow and the ozone anomaly forms. Ozone inflows the middle latitudes, its total content increases and a ring with elevated TO forms. In October-November the dynamic process reverses, from the ring the ozone molecules transfer to the polar latitudes. The amount of ozone leaving the ring into the polar regions and filling the ozone anomaly is virtually the same. The results produces indicate that the Antarctic ozone hole is a natural geophysical formation.</t>
  </si>
  <si>
    <t>[Dergunov, Alexander V.] RAS, Inst Computat Modeling SB, Krasnoyarsk 660036, Akademgorodok, Russia; [Kashkin, Valentin B.; Rubleva, Tatyana V.; Odintsov, Roman V.] Siberian Fed Univ, Inst Engn Phys &amp; Radioelect, Akad Kirenskogo Str 28-12B, Krasnoyarsk 660074, Russia; [Romanov, Alexey A.] Siberian Fed Univ, Inst Space &amp; Informat Technol, Akad Kirenskogo Str 26-1, Krasnoyarsk 660074, Russia</t>
  </si>
  <si>
    <t>Russian Academy of Sciences; Krasnoyarsk Science Center of the Siberian Branch of the Russian Academy of Sciences; Institute of Computational Modelling of the Siberian Branch of the Russian Academy of Sciences; Siberian Federal University; Siberian Federal University</t>
  </si>
  <si>
    <t>Rubleva, TV (corresponding author), Siberian Fed Univ, Inst Engn Phys &amp; Radioelect, Akad Kirenskogo Str 28-12B, Krasnoyarsk 660074, Russia.</t>
  </si>
  <si>
    <t>tvrubleva@mail.ru</t>
  </si>
  <si>
    <t>Romanov, Aleksey/A-2629-2013</t>
  </si>
  <si>
    <t>Romanov, Aleksey/0000-0001-9612-4240; Dergunov, Alexander/0000-0003-0705-2682</t>
  </si>
  <si>
    <t>2267-1242</t>
  </si>
  <si>
    <t>E3S WEB CONF</t>
  </si>
  <si>
    <t>10.1051/e3sconf/20197502008</t>
  </si>
  <si>
    <t>Geosciences, Multidisciplinary; Remote Sensing</t>
  </si>
  <si>
    <t>Geology; Remote Sensing</t>
  </si>
  <si>
    <t>BM7CH</t>
  </si>
  <si>
    <t>gold, Green Published, Green Submitted</t>
  </si>
  <si>
    <t>WOS:000467728500023</t>
  </si>
  <si>
    <t>Bakunov, NA; Bol'shiyanov, DY; Pravkin, SA</t>
  </si>
  <si>
    <t>Bakunov, N. A.; Bol'shiyanov, D. Yu.; Pravkin, S. A.</t>
  </si>
  <si>
    <t>137Cs in Bottom Sediments of Oligotrophic Lakes: Migration Mechanism</t>
  </si>
  <si>
    <t>RADIOCHEMISTRY</t>
  </si>
  <si>
    <t>cesium-137; lake; bottom sediments; migration; diffusion</t>
  </si>
  <si>
    <t>The 5-17-year migration of Cs-137 in bottom sediments (BSs) of five oligotrophic lakes located on the Chernobyl Cs-137 fallout plume was studied. The layer-by-layer analysis of the Cs-137 levels in BS cores allowed determination of the Cs-137 migration mechanism and of the numerical characteristics of its transfer into the thickness of BSs of low-trophy water bodies. The exponential decrease in the Cs-137 concentration from the core surface to the BS depth was evaluated by the half-loss layer h. The value of h for Chernobyl Cs-137 for BSs of oligotropic lakes was 1.2-2.3 cm. The Cs-137 transfer in BSs of oligotrophic lakes occurred by the diffusion mechanism. The diffusion coefficients (D) of Chernobyl Cs-137 in the lake BS columns were (2.0-4.7) x 10(-8) cm(2) s(-1). The diffusion coefficients in Cs-137 migration increased from the near-surface layer of bottom sediments (approximate to 0-2 cm) to the depth of the bottom soil in the range n x (10(-9)-10(-8)) cm(2) s(-1). The numerical characteristics of the Cs-137 migration (h and D) refer to BSs of oligotrophic lakes in which the flow of sediments to the lake bottom did not exceed 1.8 mm year(-1). In Lake Sukhodol'skoe at a sedimentation rate of 6 mm year(-1) and radionuclide exposure of 31 years, the bulk of BSs was contaminated with Cs-137 by the mixed mechanism: diffusion from the primary accumulation site and sedimentation of suspended matter with Cs-137.</t>
  </si>
  <si>
    <t>[Bakunov, N. A.; Bol'shiyanov, D. Yu.; Pravkin, S. A.] Arctic &amp; Antarctic Res Inst, Ul Beringa 38, St Petersburg 199397, Russia</t>
  </si>
  <si>
    <t>Pravkin, SA (corresponding author), Arctic &amp; Antarctic Res Inst, Ul Beringa 38, St Petersburg 199397, Russia.</t>
  </si>
  <si>
    <t>s.pravkin@aari.ru</t>
  </si>
  <si>
    <t>Bakunov, Nikolay/AAB-4832-2019; Pravkin, Sergey/K-4316-2016</t>
  </si>
  <si>
    <t>1066-3622</t>
  </si>
  <si>
    <t>1608-3288</t>
  </si>
  <si>
    <t>RADIOCHEMISTRY+</t>
  </si>
  <si>
    <t>Radiochemistry</t>
  </si>
  <si>
    <t>10.1134/S1066362219010181</t>
  </si>
  <si>
    <t>Chemistry, Analytical; Chemistry, Inorganic &amp; Nuclear</t>
  </si>
  <si>
    <t>HW5KY</t>
  </si>
  <si>
    <t>WOS:000466729500018</t>
  </si>
  <si>
    <t>Ikeda, A; Ohno, G; Otani, S; Watanabe, K; Imura, S</t>
  </si>
  <si>
    <t>Ikeda, Atsushi; Ohno, Giichiro; Otani, Shinji; Watanabe, Kentaro; Imura, Satoshi</t>
  </si>
  <si>
    <t>Disease and injury statistics of Japanese Antarctic research expeditions during the wintering period: evaluation of 6837 cases in the 1st-56th parties - Antarctic health report in 1956-2016</t>
  </si>
  <si>
    <t>INTERNATIONAL JOURNAL OF CIRCUMPOLAR HEALTH</t>
  </si>
  <si>
    <t>Antarctica; medicine; morbidity; disease distribution; health survey; medical evacuation</t>
  </si>
  <si>
    <t>This study aimed to evaluate disease and injury trends among wintering members of the Japanese Antarctic Research Expedition. Obtained information is indispensable to the advancement of medical system and research. Summation was performed based on medical records of reports prepared by each expedition over the period 1956-2016. The clinical department's classification methods of the names of injuries and diseases varied among expeditions, but the names were integrated following the same classification. Of 1734 members (29 women), 6837 disease or injury cases (4 cases/person) were recorded. The rates of cases were as follows: surgical-orthopaedic (45.3%), internal medical (21.7%), dental (11.6%), dermatological (8.4%), ophthalmological (5.8%), otorhinolaryngological (5.3%), psychiatric (1.6%), and urological (0.1%) cases. There was no major change in rates by type of medical case in each expedition. This analysis made it possible to prepare medical facilities, content of physical examinations to select members, training of physicians before departure, preventive hygiene at sites, and medical research themes.</t>
  </si>
  <si>
    <t>[Ikeda, Atsushi] Univ Tsukuba Hosp, Dept Urol, Tsukuba, Ibaraki, Japan; [Ohno, Giichiro; Watanabe, Kentaro; Imura, Satoshi] Natl Inst Polar Res, Tachikawa, Tokyo, Japan; [Ohno, Giichiro] Tokatsu Hosp, Dept Surg, Nagareyama, Japan; [Otani, Shinji] Tottori Univ, Int Platform Dryland Res &amp; Educ, Tottori, Japan; [Imura, Satoshi] Sokendai Grad Univ Adv Studies, Tokyo, Japan</t>
  </si>
  <si>
    <t>University of Tsukuba; Research Organization of Information &amp; Systems (ROIS); National Institute of Polar Research (NIPR) - Japan; Tottori University; Graduate University for Advanced Studies - Japan</t>
  </si>
  <si>
    <t>Ikeda, A (corresponding author), Univ Tsukuba, Dept Urol, 2-1-1 Amakubo, Tsukuba, Ibaraki 3058576, Japan.</t>
  </si>
  <si>
    <t>scrapsike716@yahoo.co.jp</t>
  </si>
  <si>
    <t>Hubsher, Marshall/Q-1825-2019; Otani, Shinji/B-8273-2019; Ikeda, Atsushi/AAP-8056-2020</t>
  </si>
  <si>
    <t>Hubsher, Marshall/0000-0002-9775-0400; Otani, Shinji/0000-0002-3024-3578; Ikeda, Atsushi/0000-0003-0934-5470; Imura, Satoshi/0000-0002-6803-6996; Hubsher, Marshall/0000-0002-7315-8947; Watanabe, Kentaro/0000-0002-5177-0086</t>
  </si>
  <si>
    <t>NIPR under Ministry of Education, Culture, Sports, Science and Technology</t>
  </si>
  <si>
    <t>The authors acknowledge the support of all members of the JARE, especially wintering party medical doctors. This research is a part of the Science Program of JARE. It was supported by NIPR under Ministry of Education, Culture, Sports, Science and Technology.</t>
  </si>
  <si>
    <t>1239-9736</t>
  </si>
  <si>
    <t>2242-3982</t>
  </si>
  <si>
    <t>INT J CIRCUMPOL HEAL</t>
  </si>
  <si>
    <t>Int. J. Circumpolar Health</t>
  </si>
  <si>
    <t>10.1080/22423982.2019.1611327</t>
  </si>
  <si>
    <t>Science Citation Index Expanded (SCI-EXPANDED); Social Science Citation Index (SSCI)</t>
  </si>
  <si>
    <t>HV9ZV</t>
  </si>
  <si>
    <t>WOS:000466341600001</t>
  </si>
  <si>
    <t>Kitagami, Y; Kanzaki, N; Tanikawa, T; Matsuda, Y</t>
  </si>
  <si>
    <t>Kitagami, Yudai; Kanzaki, Natsumi; Tanikawa, Toko; Matsuda, Yosuke</t>
  </si>
  <si>
    <t>Free-living nematodes associated with pine cones of Pinus thunbergii and P. taeda at Japanese coastal and inland forest sites</t>
  </si>
  <si>
    <t>NEMATOLOGY</t>
  </si>
  <si>
    <t>18S small subunit rRNA; above-ground; anhydrobiosis; Aphelenchoididae; distribution; DNA sequence; Geomonhystera; Japan; morphology; Panagrobelus; Panagrolaimus; Plectus; tylenchids; water stress</t>
  </si>
  <si>
    <t>COMMUNITY STRUCTURE; MOLECULAR PHYLOGENETICS; ANTARCTIC NEMATODE; DISPERSAL; DIVERSITY; ANHYDROBIOSIS; INVERTEBRATES; COLEOPTERA; CONIFERS; GENERA</t>
  </si>
  <si>
    <t>We surveyed the distribution of nematodes in 56 cones of Pinus thunbergii collected from both live branches and on the forest floor in three coastal and inland habitats and in 11 cones of P. taeda collected at different heights. We identified 47 nematodes to family or genera by analysis of an 18S small subunit rRNA gene sequence. The frequencies of occurrence of free-living cone nematodes were 97% in coastal P. thunbergii, 92% in inland P. thunbergii, and 82% in P. taeda. Phylogenetic analysis assigned the nematodes to four clades with high bootstrap values. Nine sequences that were found only in cones on live branches were clustered with Panagrobelus stammeri and an unknown Panagrobelus sp. Our results imply that nematodes are commonly associated with cones in pine forest ecosystems and that a capacity for anhydrobiosis may be a key to surviving above-ground.</t>
  </si>
  <si>
    <t>[Kitagami, Yudai; Matsuda, Yosuke] Mie Univ, Grad Sch Bioresources, Lab Forest Mycol, 1577 Kurimamachiya, Tsu, Mie 5148507, Japan; [Kanzaki, Natsumi; Tanikawa, Toko] Forestry &amp; Forest Prod Res Inst, Kansai Res Ctr, Fushimi Ku, Kyoto 6120855, Japan</t>
  </si>
  <si>
    <t>Mie University; Forestry &amp; Forest Products Research Institute - Japan</t>
  </si>
  <si>
    <t>Kitagami, Y (corresponding author), Mie Univ, Grad Sch Bioresources, Lab Forest Mycol, 1577 Kurimamachiya, Tsu, Mie 5148507, Japan.</t>
  </si>
  <si>
    <t>517D103@m.mie-u.ac.jp</t>
  </si>
  <si>
    <t>Tanikawa, Toko/0000-0002-6042-8071; matsuda, yosuke/0000-0002-7001-3101</t>
  </si>
  <si>
    <t>Japan Society for the Promotion of Science [25304026, 18H02237, 18J13285]; Grants-in-Aid for Scientific Research [18H02237, 18J13285, 25304026]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</si>
  <si>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</si>
  <si>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study was supported in part by the Grants-in-Aid for Scientific Research (B), Nos 25304026, 18H02237 and JSPS Research Fellow 18J13285 from the Japan Society for the Promotion of Science. The funder had no role in study design, data collection and analysis, decision to publish, or preparation of the manuscript. The collection of pine cones was permitted by the staff in Aichi, Mie, Nara and Wakayama prefectures and we thank them for letting us visit the study sites. We thank T. Chikada and members of the Life Science Research Center, Center for Molecular Biology and Genetics, Mie University, for helping with DNA analyses, and members of the laboratory of Forest Mycology at Mie University for their support with field sampling.</t>
  </si>
  <si>
    <t>BRILL ACADEMIC PUBLISHERS</t>
  </si>
  <si>
    <t>PLANTIJNSTRAAT 2, P O BOX 9000, 2300 PA LEIDEN, NETHERLANDS</t>
  </si>
  <si>
    <t>1388-5545</t>
  </si>
  <si>
    <t>Nematology</t>
  </si>
  <si>
    <t>10.1163/15685411-00003221</t>
  </si>
  <si>
    <t>Zoology</t>
  </si>
  <si>
    <t>HV7HT</t>
  </si>
  <si>
    <t>WOS:000466152800004</t>
  </si>
  <si>
    <t>Pleskachevsky, A; Jacobsen, S; Tings, B; Schwarz, E</t>
  </si>
  <si>
    <t>Pleskachevsky, Andrey; Jacobsen, Sven; Tings, Bjoern; Schwarz, Egbert</t>
  </si>
  <si>
    <t>Estimation of sea state from Sentinel-1 Synthetic aperture radar imagery for maritime situation awareness</t>
  </si>
  <si>
    <t>INTERNATIONAL JOURNAL OF REMOTE SENSING</t>
  </si>
  <si>
    <t>OCEAN WAVE SPECTRA; SAR; ICE; RETRIEVAL; ALGORITHM</t>
  </si>
  <si>
    <t>A new empirical algorithm CWAVE_S1-IW for estimation of significant wave height H-s including swell and wind sea from C-band satellite-borne Synthetic Aperture Radar (SAR) data has been developed for Sentinel-1 (S1) Interferometric Wide Swatrh Mode (IW) imagery. The algorithm was implemented into the Sea Sate Processor (SSP) for fully automatic processing for near real time (NRT) services and allow the estimation of wave fields of thousands of kilometres in the flight direction and 250km swath from S1 IW scenes consisting of a sequence of individual images.The priority of CWAVE_S1-IW development was an automatic, fast and robust raster processing independent of wave patterns, applicable even when only clutter is visible in the SAR images. The algorithm is based on the spectral analysis of subscenes in wavenumber space. The empirical function allows direct H-s estimation from image spectra without first converting them into wave spectra and uses integrated image spectra parameters as well as estimated local wind information. A texture analysis based on Grey Level Co-occurrence Matrices (GLCM) is also applied. In this way, also the parameters of short waves can be estimated, which are not visible in S1 IW images and are only represented by clutter.The algorithm was tuned worldwide using in-situ collocated measurements of 92 buoys with more than 2500 acquisitions. The validated SSP allows automatic processing of worldwide S1 IW images in VV or HH polarization, including Atlantic storms, cyclones, and huge storms in the Gulf of Alaska with a root-mean-square (RMSE)error of 80 cm for H-s. For the closed seas like the North Sea, Baltic Seas and Black Sea the accuracy is higher with an RMSE=55 cm. The algorithm is integrated into a demonstration service, used for further validation at the DLR ground station in Neustrelitz. The NRT processing has been tested by supporting a research ship cruise in the Antarctic Sea.</t>
  </si>
  <si>
    <t>[Pleskachevsky, Andrey; Jacobsen, Sven; Tings, Bjoern; Schwarz, Egbert] German Aerosp Ctr DLR, Remote Sensing Technol Inst, Maritime Safety &amp; Secur Lab, Bremen, Germany</t>
  </si>
  <si>
    <t>Helmholtz Association; German Aerospace Centre (DLR)</t>
  </si>
  <si>
    <t>Pleskachevsky, A (corresponding author), German Aerosp Ctr DLR, Remote Sensing Technol Inst, Maritime Safety &amp; Secur Lab, Bremen, Germany.</t>
  </si>
  <si>
    <t>Andrey.Pleskachevsky@dlr.de</t>
  </si>
  <si>
    <t>Jacobsen, Sven/K-1200-2013</t>
  </si>
  <si>
    <t>German Aerospace Center (DLR)</t>
  </si>
  <si>
    <t>German Aerospace Center (DLR)(Helmholtz AssociationGerman Aerospace Centre (DLR))</t>
  </si>
  <si>
    <t>This study was supported by the German Aerospace Center (DLR) within the scope of the project ' EMSec - Real-time services for the maritime security.' Special thanks go to the German Weather Service in Hamburg for modelling data support, highly qualified advice concerning sea state and navigation and for suggestions concerning algorithm development towards practical use.</t>
  </si>
  <si>
    <t>0143-1161</t>
  </si>
  <si>
    <t>1366-5901</t>
  </si>
  <si>
    <t>INT J REMOTE SENS</t>
  </si>
  <si>
    <t>Int. J. Remote Sens.</t>
  </si>
  <si>
    <t>10.1080/01431161.2018.1558377</t>
  </si>
  <si>
    <t>Remote Sensing; Imaging Science &amp; Photographic Technology</t>
  </si>
  <si>
    <t>HU4LH</t>
  </si>
  <si>
    <t>Green Accepted, hybrid</t>
  </si>
  <si>
    <t>WOS:000465245700003</t>
  </si>
  <si>
    <t>Sinha, RK; Krishnan, KP; Thomas, FA; Binish, MB; Mohan, M; Kurian, PJ</t>
  </si>
  <si>
    <t>Sinha, Rupesh Kumar; Krishnan, K. P.; Thomas, Femi Anna; Binish, M. B.; Mohan, Mahesh; Kurian, P. John</t>
  </si>
  <si>
    <t>Polyphasic approach revealed complex bacterial community structure and function in deep sea sediment of ultra-slow spreading Southwest Indian Ridge</t>
  </si>
  <si>
    <t>ECOLOGICAL INDICATORS</t>
  </si>
  <si>
    <t>Southwest Indian Ridge; 16S metagenome; Complex organic matter; Deep-sea sediment; Bacterial community</t>
  </si>
  <si>
    <t>POLYCYCLIC AROMATIC-HYDROCARBONS; SP-NOV.; HYDROTHERMAL VENTS; MICROBIAL DIVERSITY; EMENDED DESCRIPTION; OXIDIZING BACTERIA; MARINE-BACTERIA; GENOME SEQUENCE; ALCANIVORAX; MICROORGANISMS</t>
  </si>
  <si>
    <t>The Southwest Indian Ridge (SWIR) is one of the least explored mid-ocean ridges and contains a high frequency of hydrothermal vents. We examined the bacterial community structure and metabolic potential of surface sediments collected from a sea mount at 2681 m depth and a ridge-flank at 3776 m in SWIR. High throughput 16S rRNA amplicon sequencing combined with Community Level Physiological Profiling (CLPP) revealed that hydrothermal sediments hosted a diverse microbial community with significant difference in structure and function between seamount and ridge-flank. The ridge-flank community was primarily comprised of facultative chemoautotrophic members of Burkholderiales (43.0%) while copiotrophic members of Alteromonadales (56.9%) and Oceanospirillales (14.6%) were dominant in seamount sample. These results coincided with CLPP of microbial community with higher utilization of carbohydrates such as D-cellobiose, beta-methyl-D-glucoside, glucose 1-phosophate and pyruvic acid methyl ester observed in seamount. Culture-dependent approach using array of nutrient media enabled the isolation of heterotrophic genera that exhibited ability to degrade refractory organic matter such as phenanthrene, anthracene, pyrene, fluorene and fluoranthene. These results indicate that bacterial community present in the deep-sea hydrothermal sediment can act as bioreactor for mineralization of refractory organic matter. Thus our study emphasize on the significance of polyphasic approach in comprehensive and rapid assessment of physiological and taxonomic characteristics of the deep seabed bacterial community and further suggested that the bacterial community can act as ecological indicators of the metabolic sources prevalent in the ridge environment.</t>
  </si>
  <si>
    <t>[Sinha, Rupesh Kumar; Krishnan, K. P.; Thomas, Femi Anna; Kurian, P. John] Natl Ctr Antarctic &amp; Ocean Res, Vasco Da Gama 403804, Goa, India; [Binish, M. B.; Mohan, Mahesh] Mahatma Gandhi Univ, Sch Environm Sci, Kottayam 686560, Kerala, India</t>
  </si>
  <si>
    <t>Ministry of Earth Sciences (MoES) - India; National Centre for Polar and Ocean Research (NCPOR); Mahatma Gandhi University, Kerala</t>
  </si>
  <si>
    <t>Sinha, RK; Krishnan, KP (corresponding author), Natl Ctr Antarctic &amp; Ocean Res, Vasco Da Gama 403804, Goa, India.</t>
  </si>
  <si>
    <t>kineto.magnetic@gmail.com; kpkrishnan@gmail.com</t>
  </si>
  <si>
    <t>Mohan, Mahesh/C-3076-2011; P, Krishnan K/ABF-8783-2020; Sinha, Rupesh/ABB-8319-2020</t>
  </si>
  <si>
    <t>Mohan, Mahesh/0000-0003-1003-5357; Thomas, Femi/0000-0002-4151-7757; Sinha, Rupesh Kumar/0000-0002-2080-0975; MECHIRACKAL BALAN, BINISH/0000-0001-6879-5637</t>
  </si>
  <si>
    <t>Ministry of Earth Sciences, Government of India</t>
  </si>
  <si>
    <t>Ministry of Earth Sciences, Government of India(Ministry of Earth Science (MoES), Government of India)</t>
  </si>
  <si>
    <t>The authors wish to express their gratitude to Dr. M. Ravichandran, Director, ESSO-NCAOR for his interest in this work. Thanks are due to Dr. Karthik Anantharaman, Assistant Professor, Department of Bacteriology, University of Wisconsin - Madison, USA for critically reviewing the manuscript for content and language. We acknowledge Mr. Mahesh Narayan and Mr. Bijesh C.M., Scientist at ESSO-NCAOR for their help in plotting the SWIR map using Fledermaus software. This work was undertaken as part of the project 'Study of seafloor hydro thermal system in mid oceanic ridges' funded by Ministry of Earth Sciences, Government of India. This is ESSO-NCAOR contribution number 43/2018.</t>
  </si>
  <si>
    <t>1470-160X</t>
  </si>
  <si>
    <t>1872-7034</t>
  </si>
  <si>
    <t>ECOL INDIC</t>
  </si>
  <si>
    <t>Ecol. Indic.</t>
  </si>
  <si>
    <t>10.1016/j.ecolind.2018.08.063</t>
  </si>
  <si>
    <t>HT9KZ</t>
  </si>
  <si>
    <t>WOS:000464889600004</t>
  </si>
  <si>
    <t>Bajjouk, T; Mouquet, P; Ropert, M; Quod, JP; Hoarau, L; Bigot, L; Le Dantec, N; Delacourt, C; Populus, J</t>
  </si>
  <si>
    <t>Bajjouk, Touria; Mouquet, Pascal; Ropert, Michel; Quod, Jean-Pascal; Hoarau, Ludovic; Bigot, Lionel; Le Dantec, Nicolas; Delacourt, Christophe; Populus, Jacques</t>
  </si>
  <si>
    <t>Detection of changes in shallow coral reefs status: Towards a spatial approach using hyperspectral and multispectral data</t>
  </si>
  <si>
    <t>Change detection; Coral to Algae Index; Hyperspectral; Reef geomorphology; Remote sensing monitoring; Reunion Island</t>
  </si>
  <si>
    <t>REUNION-ISLAND; SPECTRAL DISCRIMINATION; IN-SITU; LA REUNION; COMMUNITIES; EUTROPHICATION; RESILIENCE; HURRICANES; HEALTHY; IMAGES</t>
  </si>
  <si>
    <t>Coral reef degradation due to environmental change, including anthropogenic disturbances, is a major concern worldwide. Detecting and assessing both temporal and spatial changes in benthic cover is a crucial requirement to inform policy makers and guide conservation measures. Here, we introduce a spatial approach based on high resolution multispectral and hyperspectral image analysis, developed in order to detect and quantify changes in benthic cover in a highly heterogeneous shallow coral reef flat in Reunion Island in the South-West Indian Ocean. We propose a new index called HCAI (Hyperspectral Coral to Algae Index), defined as the ratio of living coral cover to the sum of living coral and algal covers. Benthic cover estimates were derived from airborne hyperspectral image processing using water column correction and unmixing models implemented with the four main coral reef benthic components: corals, algae, seagrass and sand. Ground truth and LIDAR data acquired simultaneously were used to validate processing accuracy. A significant positive correlation (adjusted R-2 = 0.72, p-value &lt; 0.001) was obtained between coral cover recorded in situ and estimated from image analysis. Moreover, 13 habitat classes based on the four main benthic component covers were mapped at a scale of an entire reef. Diachronic analyses of hyperspectral images between 2009 and 2015 revealed an overall decrease of the HCAI index and a decrease in the area of all the dominant coral classes along the reef (-28.24% for the coral class for example), while the area of habitat classes dominated by algae strongly increased during the same period. Moreover, we detected and documented the spatial and temporal evolutions of coral geomorphological features composed with coral rubble deposits called rubble tongues (RTs) using different available sensors (i.e. hyperspectral, satellite, and orthophotography). Since 2003, four detected (RTs) have spread shoreward at a mean rate of 8.4 m.y(-1) including significant loss of reef structural complexity and heterogeneity, a spreading pattern which was confirmed by 2009 and 2015 hyperspectral data. Remote sensing and more specifically airborne hyperspectral approaches open new perspectives for coral reef monitoring, at high temporal and spatial resolutions.</t>
  </si>
  <si>
    <t>[Bajjouk, Touria; Populus, Jacques] IFREMER Ctr Brest, DYNECO LEBCO, BP 70, F-29280 Plouzane, France; [Mouquet, Pascal] Univ La Reunion, UMR ESPACE DEV, Antenne SEAS OI, 40 Ave Soweto, F-97410 St Pierre, La Reunion, France; [Ropert, Michel; Hoarau, Ludovic] IFREMER, Delegat Ocean Indien, Rue Jean BERTHO,BP60, F-97822 Le Port, La Reunion, France; [Quod, Jean-Pascal] Pareto, 15 Impasse Hymenees, F-97438 St Marie, La Reunion, France; [Hoarau, Ludovic] 3R Rehabil Reunion Isl Reef, F-97435 St Paul, La Reunion, France; [Bigot, Lionel] Univ La Reunion, UMR 9220 ENTROPIE, Lab Excellence CORAIL, IRD,CNRS, BP 7151, F-97715 St Denis 9, La Reunion, France; [Le Dantec, Nicolas] CEREMA Ctr Etud &amp; Expertise Risques, Environm Mobilite &amp; Amenagement, DTecEMF, F-29280 Plouzane, France; [Le Dantec, Nicolas; Delacourt, Christophe] Univ Bretagne Occidentale, Lab Geosci Ocean UMR 6538, IUEM, Technopole Brest Iroise,Rue Dumont DUrville, F-29280 Plouzane, France</t>
  </si>
  <si>
    <t>Ifremer; Institut de Recherche pour le Developpement (IRD); Universite de Montpellier; Universite des Antilles; University of La Reunion; Ifremer; Institut de Recherche pour le Developpement (IRD); University of La Reunion; Centre National de la Recherche Scientifique (CNRS); Universite de Bretagne Occidentale; Institut Universitaire Europeen de la Mer (IUEM)</t>
  </si>
  <si>
    <t>Bajjouk, T (corresponding author), IFREMER Ctr Brest, DYNECO LEBCO, BP 70, F-29280 Plouzane, France.</t>
  </si>
  <si>
    <t>touria.bajjouk@ifremer.fr</t>
  </si>
  <si>
    <t>Hoarau, Ludovic/O-5548-2019; delacourt, christophe/A-8240-2008; Le Dantec, Nicolas/G-9529-2013</t>
  </si>
  <si>
    <t>Hoarau, Ludovic/0000-0002-9910-5114; Mouquet, Pascal/0000-0003-0361-4131; Delacourt, Christophe/0000-0003-2484-1464; BAJJOUK, TOURIA/0000-0001-9039-0660; Ropert, Michel/0000-0002-5837-6268</t>
  </si>
  <si>
    <t>SPECTRHABENT-OI project - Prefecture; Directorate for Environment, Development and Housing (DEAL) of Reunion Island; French Southern and Antarctic Lands (TAAF); French Marine Protected Area Agency (AAMP); Ifremer; HYSCORES project - Reunion Water Office; University of Western Brittany; Tosca program (Hypercoral project)</t>
  </si>
  <si>
    <t>This work was supported by (i) the SPECTRHABENT-OI project, funded by the Prefecture and the Directorate for Environment, Development and Housing (DEAL) of Reunion Island, the French Southern and Antarctic Lands (TAAF), the French Marine Protected Area Agency (AAMP) and Ifremer and (ii) the HYSCORES project, funded by the Reunion Water Office, Ifremer, the University of Western Brittany and the Tosca program (Hypercoral project).</t>
  </si>
  <si>
    <t>10.1016/j.ecolind.2018.08.052</t>
  </si>
  <si>
    <t>WOS:000464889600018</t>
  </si>
  <si>
    <t>Andrade, H</t>
  </si>
  <si>
    <t>Andrade Junior, Hermes</t>
  </si>
  <si>
    <t>Frozen empires: an environmental history of the Antarctic Peninsula</t>
  </si>
  <si>
    <t>TEMPO E ARGUMENTO</t>
  </si>
  <si>
    <t>Portuguese</t>
  </si>
  <si>
    <t>Book Review</t>
  </si>
  <si>
    <t>[Andrade Junior, Hermes] Univ Catolica Portuguesa UC FFCS CEFH, Braga, Portugal</t>
  </si>
  <si>
    <t>Universidade Catolica Portuguesa</t>
  </si>
  <si>
    <t>Andrade, H (corresponding author), Univ Catolica Portuguesa UC FFCS CEFH, Braga, Portugal.</t>
  </si>
  <si>
    <t>handradejunior@gmail.com</t>
  </si>
  <si>
    <t>UNIV ESTADO SANTA CATARINA-UDESC</t>
  </si>
  <si>
    <t>FLORIANOPOLIS</t>
  </si>
  <si>
    <t>RUA VISCONDE OURO PRETO 457, CENTRO, FLORIANOPOLIS, SC 88020-04, BRAZIL</t>
  </si>
  <si>
    <t>2175-1803</t>
  </si>
  <si>
    <t>TEMPO ARGUM</t>
  </si>
  <si>
    <t>Tempo Argum.</t>
  </si>
  <si>
    <t>JAN-APR</t>
  </si>
  <si>
    <t>10.5965/2175180310262019616</t>
  </si>
  <si>
    <t>HT6JM</t>
  </si>
  <si>
    <t>WOS:000464670300027</t>
  </si>
  <si>
    <t>Hairr, J</t>
  </si>
  <si>
    <t>Hairr, John</t>
  </si>
  <si>
    <t>THE EXPLORATION AND FIRST ASCENT OF MOUNT WHITNEY, CALIFORNIA</t>
  </si>
  <si>
    <t>EARTH SCIENCES HISTORY</t>
  </si>
  <si>
    <t>Mount Whitney; Sierra Nevada; Clarence King; mountaineering</t>
  </si>
  <si>
    <t>Mount Whitney, California, rises 14,505 feet in the Sierra Nevada of California. At the time of its discovery by members of the California Geological Survey in 1864, Mount Whitney was the highest peak in what then comprised the United States and remains the highest peak in the country south of Alaska. This paper examines early attempts to explore the mountain, measure its altitude and accurately plot its location</t>
  </si>
  <si>
    <t>[Hairr, John] POB 1861, Lillington, NC 27546 USA; [Hairr, John] Univ Tasmania, Inst Marine &amp; Antarctic Studies, Sch Humanities, Hobart, Tas, Australia</t>
  </si>
  <si>
    <t>University of Tasmania</t>
  </si>
  <si>
    <t>Hairr, J (corresponding author), POB 1861, Lillington, NC 27546 USA.;Hairr, J (corresponding author), Univ Tasmania, Inst Marine &amp; Antarctic Studies, Sch Humanities, Hobart, Tas, Australia.</t>
  </si>
  <si>
    <t>john.hairr@utas.edu.au</t>
  </si>
  <si>
    <t>HISTORY EARTH SCIENCES SOC</t>
  </si>
  <si>
    <t>SHREWSBURY</t>
  </si>
  <si>
    <t>C/O DAVID I. SPANAGEL, SECRETARY 101 GROVE STREET, SHREWSBURY, MA 01545 USA</t>
  </si>
  <si>
    <t>0736-623X</t>
  </si>
  <si>
    <t>1944-6187</t>
  </si>
  <si>
    <t>EARTH SCI HIST</t>
  </si>
  <si>
    <t>Earth Sci. Hist.</t>
  </si>
  <si>
    <t>10.17704/1944-6178-38.1.28</t>
  </si>
  <si>
    <t>Geology; Geosciences, Multidisciplinary; History &amp; Philosophy Of Science</t>
  </si>
  <si>
    <t>Geology; History &amp; Philosophy of Science</t>
  </si>
  <si>
    <t>HT5OO</t>
  </si>
  <si>
    <t>WOS:000464613400004</t>
  </si>
  <si>
    <t>Brook, MS; Ferrar, S</t>
  </si>
  <si>
    <t>Brook, Martin S.; Ferrar, Susanna</t>
  </si>
  <si>
    <t>HARTLEY TRAVERS FERRAR (1879-1932) AND HIS GEOLOGICAL LEGACY IN ANTARCTICA, EGYPT AND NEW ZEALAND</t>
  </si>
  <si>
    <t>Antarctica; Discovery Expedition; New Zealand; Egypt; geological mapping</t>
  </si>
  <si>
    <t>GLACIER; ROCKS; NORTHLAND; ARC</t>
  </si>
  <si>
    <t>Hartley Travers Ferrar was the geologist on Scott's first expedition to the Antarctic (the `Discovery' Expedition) in 1901-1904. Ferrar undertook the first geological surveys in the Transantarctic Mountains, which he mapped to 83 degrees S, and made some discoveries of major scientific importance, such as fossil leaves, later identified as Glossopteris indica. He then worked in Egypt, Palestine and New Zealand, and was Acting Director of the New Zealand Geological Survey when he died suddenly in 1932. Little has been acknowledged about Ferrar's other contributions to geology, which were vast, and included pioneering work on irrigation and hydrogeology in Egypt, as well as a series of geological mapping campaigns in New Zealand. The latter extended to systematic soil surveys in New Zealand, in particular in Central Otago, where soil types and their properties were characterized in the field and laboratory. This paper outlines some of Ferrar's key contributions to New Zealand geoscience, as well as some of his notable overseas achievements.</t>
  </si>
  <si>
    <t>[Brook, Martin S.] Univ Auckland, Sch Environm, Bag 92019, Auckland 1010, New Zealand; [Ferrar, Susanna] Univ Canterbury, Gateway Antarctica, Private Bag 4800, Christchurch 8140, New Zealand</t>
  </si>
  <si>
    <t>University of Auckland; University of Canterbury</t>
  </si>
  <si>
    <t>Brook, MS (corresponding author), Univ Auckland, Sch Environm, Bag 92019, Auckland 1010, New Zealand.</t>
  </si>
  <si>
    <t>m.brook@auckland.ac.nz</t>
  </si>
  <si>
    <t>10.17704/1944-6178-38.1.43</t>
  </si>
  <si>
    <t>WOS:000464613400005</t>
  </si>
  <si>
    <t>Rangel, CVGT; Orlando, MTD; Jardim, HA; Almeida, ICC; Mendonca, ED; Teixeira, DD; Thomazini, A; Schaefer, CE</t>
  </si>
  <si>
    <t>Gabrig Turbay Rangel, Caio Vinicius; D'Azeredo Orlando, Marcos Tadeu; Jardim, Hannah Almeida; Carreiro Almeida, Ivan Carlos; Mendonca, Eduardo De Sa; Teixeira, Daniel De Bortoli; Thomazini, Andre; Schaefer, Carlos Ernesto</t>
  </si>
  <si>
    <t>PROVENANCE AND ALTERATION OF GLACIAL SEDIMENTS IN KING GEORGE ISLAND, ANTARCTICA</t>
  </si>
  <si>
    <t>JOURNAL OF SEDIMENTARY ENVIRONMENTS</t>
  </si>
  <si>
    <t>Sediment provenance; Alteration; Glaciogenic sediments; Mineralogy; Geochemistry</t>
  </si>
  <si>
    <t>SOUTH-SHETLAND ISLANDS; MAJOR-ELEMENT CHEMISTRY; MARITIME ANTARCTICA; ADMIRALTY BAY; GEOCHEMISTRY; PENINSULA; CRYOSOLS; GENESIS; CLASSIFICATION; CONSTRAINTS</t>
  </si>
  <si>
    <t>Mineralogical and geochemical data of glacial sediments of Low Head, King George Island, Antarctica, are presented to approach its provenance and alterations aspects. Mineralogical analyses were performed using petrography and an x-ray diffraction method, while to the geochemistry was performed by x-ray fluorescence. Comparisons using major elements in the sediments with possible source areas, suggested that they are closest to the King George Island parent rocks, with no contribution of rocks from Antarctic Peninsula. The gravel and sand fractions demonstrate that the till is composed of basaltic and andesitic rock fragments, plagioclase, pyroxene and amphibole, typical of active immature volcanic arc. The mud fraction indicates chemical characteristics consistent with calc-alkaline to tolleitic and metalluminous affinity of source rock of the till and the presence of secondary mineral phases, such as laumontite, brucite and saponite. The values of alteration indices, such as the chemical index of alteration (CIA) and the SiO2/Al2O3 ratio, in the regional rocks and sediments reflect a remarkable degree of alteration, possibly due to hydrothermal activity, exemplified by the presence of laumontite. In addition, bivariate chemical diagrams suggest slight weathering compared to the South Shetland Islands, which may have been responsible for the formation of brucite and saponite. The results suggest that although there are secondary mineral products, some grade of weathering could have acted in the till during sedimentary cycles or the till was strongly influenced by components of local weathered basalts.</t>
  </si>
  <si>
    <t>[Gabrig Turbay Rangel, Caio Vinicius] Univ Fed Bahia, Ctr Formacao Ciencias Ambientais CFCAm, Porto Seguro, BA, Brazil; [D'Azeredo Orlando, Marcos Tadeu] UFES, Dept Fis, Alegre, ES, Brazil; [Jardim, Hannah Almeida] Univ Fed Ouro Preto, Dept Geol, Escola Minas, Ouro Preto, MG, Brazil; [Carreiro Almeida, Ivan Carlos] Inst Fed Norte Minas Gerais, Montes Claros, MG, Brazil; [Mendonca, Eduardo De Sa] UFES, Dept Prod Vegetal, Alegre, ES, Brazil; [Teixeira, Daniel De Bortoli] Univ Estadual Paulista, UNESP, Dept Ciencias Exatas, Sao Paulo, SP, Brazil; [Thomazini, Andre; Schaefer, Carlos Ernesto] Univ Fed Vicosa, Dept Solos, Vicosa, MG, Brazil</t>
  </si>
  <si>
    <t>Universidade Federal da Bahia; Universidade Federal do Espirito Santo; Universidade Federal de Ouro Preto; Instituto Federal do Norte de Minas Gerais (IFNMG); Universidade Federal do Espirito Santo; Universidade Estadual Paulista; Universidade Federal de Vicosa</t>
  </si>
  <si>
    <t>Rangel, CVGT (corresponding author), Univ Fed Bahia, Ctr Formacao Ciencias Ambientais CFCAm, Porto Seguro, BA, Brazil.</t>
  </si>
  <si>
    <t>cturbay@gmail.com</t>
  </si>
  <si>
    <t>De Bortoli Teixeira, Daniel/O-4239-2014; Schaefer, Carlos Ernesto/AAY-4977-2020; Orlando, Marcos/Q-6187-2017</t>
  </si>
  <si>
    <t>De Bortoli Teixeira, Daniel/0000-0001-8172-7911; Turbay, Caio/0000-0003-0398-3391; Orlando, Marcos/0000-0002-8387-6504</t>
  </si>
  <si>
    <t>UNIV ESTADO RIO DE JANEIRO, FAC GEOLOGIA</t>
  </si>
  <si>
    <t>RIO DE JANEIO</t>
  </si>
  <si>
    <t>DEPT PALEONTOLOGIA &amp; ESTRATIGRAFIA, R SAO FRANCISCO XAVIER, 524-SALA 1050-BLOCO F, MARACANA, RIO DE JANEIO, CEP20550-013, BRAZIL</t>
  </si>
  <si>
    <t>2447-9462</t>
  </si>
  <si>
    <t>J SEDIMENT ENVIRON</t>
  </si>
  <si>
    <t>J. Sediment. Environ.</t>
  </si>
  <si>
    <t>JAN-MAR</t>
  </si>
  <si>
    <t>10.12957/jse.2019.41788</t>
  </si>
  <si>
    <t>HS4NU</t>
  </si>
  <si>
    <t>WOS:000463840900007</t>
  </si>
  <si>
    <t>Song, HJ; Kang, JH</t>
  </si>
  <si>
    <t>Song, Hyo-Jong; Kang, Jeon-Ho</t>
  </si>
  <si>
    <t>Effects of the wind-mass balance constraint on ensemble forecasts in the hybrid-4DEnVar</t>
  </si>
  <si>
    <t>QUARTERLY JOURNAL OF THE ROYAL METEOROLOGICAL SOCIETY</t>
  </si>
  <si>
    <t>ensemble forecast; forecast initialization; flow-dependency; hybrid data assimilation; wind-mass balance</t>
  </si>
  <si>
    <t>OBSERVATION-ERROR CHARACTERISTICS; VARIATIONAL DATA ASSIMILATION; CURRENT SOUNDER RADIANCES; OSSE-BASED EVALUATION; COVARIANCE LOCALIZATION; KALMAN FILTER; PART I; SYSTEM; IMPLEMENTATION; SCHEME</t>
  </si>
  <si>
    <t>Ensemble forecast covariance plays an important role in the hybridized background error covariance framework to improve the resultant analysis quality. However, a localization of ensemble samples is needed to fully take advantage of flow-dependent error modes. In this regard, it is an interesting and practical issue as to which variables, composing the ensemble perturbation, the localization should be applied to. This study examines this issue in a boreal-summer month by comparing two experimental sets: (a) a set of model variables, and (b) another set of model wind variables and unbalanced dry mass (temperature and surface pressure) used for the control variables. In the comparison, it is shown that imposing the wind-mass balance on the ensemble perturbation improves the Antarctic lower-stratospheric temperature and tropical mid-/lower-tropospheric humidity. The nonlinear wind-mass balance relationship smooths an evolution of humidity forecast forced by the resultant analysis increments.</t>
  </si>
  <si>
    <t>[Song, Hyo-Jong; Kang, Jeon-Ho] Korea Inst Atmospher Predict Syst, Data Assimilat Team, 4F Pk Sq,35 Boramae Ro 5 Gil, Seoul 07071, South Korea</t>
  </si>
  <si>
    <t>Song, HJ (corresponding author), Korea Inst Atmospher Predict Syst, Data Assimilat Team, 4F Pk Sq,35 Boramae Ro 5 Gil, Seoul 07071, South Korea.</t>
  </si>
  <si>
    <t>hj.song@kiaps.org</t>
  </si>
  <si>
    <t>Korea Meteorological Administration, Korea Institute of Atmospheric Prediction Systems</t>
  </si>
  <si>
    <t>Korea Meteorological Administration, Korea Institute of Atmospheric Prediction Systems.</t>
  </si>
  <si>
    <t>WILEY</t>
  </si>
  <si>
    <t>HOBOKEN</t>
  </si>
  <si>
    <t>111 RIVER ST, HOBOKEN 07030-5774, NJ USA</t>
  </si>
  <si>
    <t>0035-9009</t>
  </si>
  <si>
    <t>1477-870X</t>
  </si>
  <si>
    <t>Q J ROY METEOR SOC</t>
  </si>
  <si>
    <t>Q. J. R. Meteorol. Soc.</t>
  </si>
  <si>
    <t>10.1002/qj.3440</t>
  </si>
  <si>
    <t>HS6HQ</t>
  </si>
  <si>
    <t>WOS:000463971800003</t>
  </si>
  <si>
    <t>Esler, JG; Mester, M</t>
  </si>
  <si>
    <t>Esler, J. Gavin; Mester, Marton</t>
  </si>
  <si>
    <t>Noise-induced vortex-splitting stratospheric sudden warmings</t>
  </si>
  <si>
    <t>stochastic processes; sudden warmings; vortex splits</t>
  </si>
  <si>
    <t>POLAR VORTICES; CLIMATE-CHANGE; VACILLATIONS; WAVES</t>
  </si>
  <si>
    <t>Observed oscillations of the Antarctic stratospheric polar vortex often resemble those in Kida's model of an elliptical vortex in a linear background flow. Here, Kida's model is used to investigate the dynamics of vortex-splitting stratospheric sudden warmings (SSWs), such as the Antarctic event of 2002. SSWs are identified with a bifurcation in the periodic orbits of the model. The influence of tropospheric macroturbulence on the vortex is modelled by allowing the linear background forcing flow to be driven by a random process, with a finite decorrelation time (an Ornstein-Uhlenbeck process). It is shown that this stochasticity generates a random walk across the state-space of periodic orbits, which will eventually lead to a bifurcation point after which an SSW will occur. In certain asymptotic limits, the expected time before an SSW occurs can be found by solving a first passage time problem for a stochastic differential equation, allowing the dependence of the expected time to an SSW on the model parameters to be elucidated. Results are verified using both Kida's model and single-layer quasi-geostrophic simulations. The results point towards a noise-memory paradigm of the winter stratosphere, according to which the forcing history determines whether the vortex is quiescent, whether it undergoes large amplitude nonlinear oscillations or, in extreme cases, whether the vortex will eventually split.</t>
  </si>
  <si>
    <t>[Esler, J. Gavin; Mester, Marton] UCL, Dept Math, Gower St, London WC1E 6BT, England</t>
  </si>
  <si>
    <t>University of London; University College London</t>
  </si>
  <si>
    <t>Esler, JG (corresponding author), UCL, Dept Math, Gower St, London WC1E 6BT, England.</t>
  </si>
  <si>
    <t>j.g.esler@ucl.ac.uk</t>
  </si>
  <si>
    <t>Mester, Marton/0000-0002-8005-2999</t>
  </si>
  <si>
    <t>Leverhulme Trust [RF-2016-158]; EPSRC; EPSRC [1777889] Funding Source: UKRI</t>
  </si>
  <si>
    <t>Leverhulme Trust(Leverhulme Trust); EPSRC(UK Research &amp; Innovation (UKRI)Engineering &amp; Physical Sciences Research Council (EPSRC)); EPSRC(UK Research &amp; Innovation (UKRI)Engineering &amp; Physical Sciences Research Council (EPSRC))</t>
  </si>
  <si>
    <t>Leverhulme Trust RF-2016-158 and an EPSRC</t>
  </si>
  <si>
    <t>10.1002/qj.3443</t>
  </si>
  <si>
    <t>WOS:000463971800006</t>
  </si>
  <si>
    <t>Zou, X; Bromwich, DH; Nicolas, JP; Montenegro, A; Wang, SH</t>
  </si>
  <si>
    <t>Zou, Xun; Bromwich, David H.; Nicolas, Julien P.; Montenegro, Alvaro; Wang, Sheng-Hung</t>
  </si>
  <si>
    <t>West Antarctic surface melt event of January 2016 facilitated by fohn warming</t>
  </si>
  <si>
    <t>fohn warming; Ross Ice Shelf; surface melting; West Antarctic warming</t>
  </si>
  <si>
    <t>ROSS ICE SHELF; POLAR WEATHER RESEARCH; MCMURDO DRY VALLEYS; BOUNDARY-LAYER; FOEHN WINDS; CLIMATE; PENINSULA; SHEET; MODEL; TEMPERATURES</t>
  </si>
  <si>
    <t>The Ross Ice Shelf (RIS) buttresses ice streams from the Antarctic continent and restrains the grounded ice sheet from flowing into the ocean, which is important for the stability of the ice sheet. In recent decades, West Antarctic ice shelves, including the RIS, have experienced more frequent surface melting during summer. We investigated the role of warm, descending fohn winds in a major melt event that occurred on the RIS in January 2016. Only a few summer melt events of this magnitude have been observed since 1979. Backward trajectories from the area of earliest melting were constructed using the Antarctic Mesoscale Prediction System to investigate the dominant mechanisms at the beginning of the melt event, mainly from 10 to 13 January. Analysis was conducted over two distinct areas. The fohn effect contributed around 2-4 degrees C to the surface temperature increase over the coastal mountains of Marie Byrd Land and around 1 degrees C over the much lower Edward VII Peninsula. Most of the fohn warming was caused by isentropic drawdown of air aloft. On 10 January, the second-most important contributor for both mountain ranges was the thermodynamic mechanism. On 11 January, the second-most important mechanism was the sensible and radiative heat flux. This study contributes to a better understanding of surface melt events over the RIS and benefits research associated with the stability of West Antarctic ice shelves.</t>
  </si>
  <si>
    <t>[Zou, Xun; Bromwich, David H.; Nicolas, Julien P.; Wang, Sheng-Hung] Ohio State Univ, Byrd Polar &amp; Climate Res Ctr, Polar Meteorol Grp, Columbus, OH 43210 USA; [Zou, Xun; Bromwich, David H.; Montenegro, Alvaro] Ohio State Univ, Dept Geog, Atmospher Sci Program, Columbus, OH 43210 USA</t>
  </si>
  <si>
    <t>University System of Ohio; Ohio State University; University System of Ohio; Ohio State University</t>
  </si>
  <si>
    <t>Zou, X (corresponding author), Ohio State Univ, Polar Meteorol Grp, 1090 Carmack Rd,Scott Hall, Columbus, OH 43210 USA.</t>
  </si>
  <si>
    <t>zou.219@osu.edu</t>
  </si>
  <si>
    <t>Keyes, Dennis/AAZ-9285-2021; zou, xun/AAV-1306-2020; zou, xun/I-2438-2015</t>
  </si>
  <si>
    <t>zou, xun/0000-0003-1620-3198</t>
  </si>
  <si>
    <t>National Science Foundation (NSF) [PLR1443443, PLR1341695]</t>
  </si>
  <si>
    <t>National Science Foundation (NSF)(National Science Foundation (NSF))</t>
  </si>
  <si>
    <t>National Science Foundation (NSF), PLR1443443, PLR1341695.</t>
  </si>
  <si>
    <t>10.1002/qj.3460</t>
  </si>
  <si>
    <t>WOS:000463971800019</t>
  </si>
  <si>
    <t>Berthelot, C; Clarke, J; Desvignes, T; Detrich, HW; Flicek, P; Peck, LS; Peters, M; Postlethwait, JH; Clark, MS</t>
  </si>
  <si>
    <t>Berthelot, Camille; Clarke, Jane; Desvignes, Thomas; Detrich, H. William, III; Flicek, Paul; Peck, Lloyd S.; Peters, Michael; Postlethwait, John H.; Clark, Melody S.</t>
  </si>
  <si>
    <t>Adaptation of Proteins to the Cold in Antarctic Fish: A Role for Methionine?</t>
  </si>
  <si>
    <t>GENOME BIOLOGY AND EVOLUTION</t>
  </si>
  <si>
    <t>protein folding; gene duplication; positive selection; map kinases; environmental stress response; reactive oxygen species</t>
  </si>
  <si>
    <t>NOTOTHENIOID FISH; TEMPERATURE ADAPTATION; OXIDATIVE STRESS; GENOME SEQUENCE; AMINO-ACID; EXPRESSION; GENE; TRANSCRIPTOME; EVOLUTION; RECONSTRUCTION</t>
  </si>
  <si>
    <t>The evolution of antifreeze glycoproteins has enabled notothenioid fish to flourish in the freezing waters of the Southern Ocean. Whereas successful at the biodiversity level to life in the cold, paradoxically at the cellular level these stenothermal animals have problems producing, folding, and degrading proteins at their ambient temperatures of -1.86 degrees C. In this first multi-species transcriptome comparison of the amino acid composition of notothenioid proteins with temperate teleost proteins, we show that, unlike psychrophilic bacteria, Antarctic fish provide little evidence for the mass alteration of protein amino acid composition to enhance protein folding and reduce protein denaturation in the cold. The exception was the significant overrepresentation of positions where leucine in temperate fish proteins was replaced by methionine in the notothenioid orthologues. We hypothesize that these extra methionines have been preferentially assimilated into the genome to act as redox sensors in the highly oxygenated waters of the Southern Ocean. This redox hypothesis is supported by analyses of notothenioids showing enrichment of genes associated with responses to environmental stress, particularly reactive oxygen species. So overall, although notothenioid fish show cold-associated problems with protein homeostasis, they may have modified only a selected number of biochemical pathways to work efficiently below 0 degrees C. Even a slight warming of the Southern Ocean might disrupt the critical functions of this handful of key pathways with considerable impacts for the functioning of this ecosystem in the future.</t>
  </si>
  <si>
    <t>[Berthelot, Camille] INSERM, U1024, UMR 8197, Lab Dynam &amp; Org Genomes Dyogen,Inst Biol,Ecole No, Paris 05, France; [Berthelot, Camille; Flicek, Paul] European Bioinformat Inst, European Mol Biol Lab, Cambridge, England; [Clarke, Jane] Univ Cambridge, Dept Chem, Cambridge, England; [Desvignes, Thomas; Postlethwait, John H.] Univ Oregon, Inst Neurosci, Eugene, OR 97403 USA; [Detrich, H. William, III; Peters, Michael] Northeastern Univ, Dept Marine &amp; Environm Sci, Ctr Marine Sci, Boston, MA 02115 USA; [Peck, Lloyd S.; Clark, Melody S.] British Antarctic Survey, Nat Environm Res Council, Cambridge, England</t>
  </si>
  <si>
    <t>Institut National de la Sante et de la Recherche Medicale (Inserm); European Molecular Biology Laboratory (EMBL); University of Cambridge; University of Oregon; Northeastern University; UK Research &amp; Innovation (UKRI); Natural Environment Research Council (NERC); NERC British Antarctic Survey</t>
  </si>
  <si>
    <t>Clark, MS (corresponding author), British Antarctic Survey, Nat Environm Res Council, Cambridge, England.</t>
  </si>
  <si>
    <t>mscl@bas.ac.uk</t>
  </si>
  <si>
    <t>Thomas, Desvignes/AAX-3526-2020; Berthelot, Camille/K-5570-2017; Flicek, Paul/JOZ-9351-2023; Clark, Melody/D-7371-2014</t>
  </si>
  <si>
    <t>Thomas, Desvignes/0000-0001-5126-8785; Berthelot, Camille/0000-0001-5054-2690; Flicek, Paul/0000-0002-3897-7955; Clark, Melody/0000-0002-3442-3824</t>
  </si>
  <si>
    <t>NERC/Cambridge University Innovation Award; U.S. National Science Foundation [ANT-1247510, PLR-1444167, PLR-1543383]; Wellcome Trust [WT108749/Z/15/Z]; European Molecular Biology Laboratory; NERC; NERC National Facility for Scientific Diving at Oban; NERC [dml011000, bas0100036] Funding Source: UKRI</t>
  </si>
  <si>
    <t>NERC/Cambridge University Innovation Award; U.S. National Science Foundation(National Science Foundation (NSF)); Wellcome Trust(Wellcome Trust); European Molecular Biology Laboratory; NERC(UK Research &amp; Innovation (UKRI)Natural Environment Research Council (NERC)); NERC National Facility for Scientific Diving at Oban(UK Research &amp; Innovation (UKRI)Natural Environment Research Council (NERC)); NERC(UK Research &amp; Innovation (UKRI)Natural Environment Research Council (NERC))</t>
  </si>
  <si>
    <t>This study was supported by an NERC/Cambridge University Innovation Award (M.S.C., L.S.P., J.C., A.N., P.F., and C.B.); by U.S. National Science Foundation (ANT-1247510 and PLR-1444167 to H.W.D.; PLR-1543383 to J.H.P., T.D., H.W.D.); by the Wellcome Trust (WT108749/Z/15/Z to P.F.); the European Molecular Biology Laboratory (C.B. and P.F.); and NERC core funding to the British Antarctic Survey (M.S.C. and L.S.P.). H.W.D., J.H.P., and T.D. gratefully acknowledge the logistic support provided to their Antarctic field research program, performed at Palmer Station and on the seas of the Palmer Archipelago, by the staff of the Division of Polar Programs of the National Science Foundation, by the personnel of the Antarctic Support Contractor, and by the captains and crews of the ARSV Laurence M. Gould. M.S.C., L.S.P., and J.C. gratefully acknowledge the help of Adrian Nickson (AN) in the early stages of this project, including obtaining the Innovation Award. The authors would like to thank all members of the Rothera Dive Team for providing Harpagifer antarcticus samples and Jamie Oliver at BAS for help with illustrations and Laura Gerrish at BAS for the map. Overall BAS diving support was provided by the NERC National Facility for Scientific Diving at Oban. The EMBL GeneCore is acknowledged for sequence data production. This is contribution 380 from the Marine Science Center at Northeastern University. Sequencing read files are available from ArrayExpress (accession number E-MTAB-6759) and assembled transcriptomes are available from BioStudies (accession number S-BSST132).</t>
  </si>
  <si>
    <t>OXFORD UNIV PRESS</t>
  </si>
  <si>
    <t>GREAT CLARENDON ST, OXFORD OX2 6DP, ENGLAND</t>
  </si>
  <si>
    <t>1759-6653</t>
  </si>
  <si>
    <t>GENOME BIOL EVOL</t>
  </si>
  <si>
    <t>Genome Biol. Evol.</t>
  </si>
  <si>
    <t>10.1093/gbe/evy262</t>
  </si>
  <si>
    <t>Evolutionary Biology; Genetics &amp; Heredity</t>
  </si>
  <si>
    <t>HQ8YD</t>
  </si>
  <si>
    <t>Green Published, Green Submitted, gold, Green Accepted</t>
  </si>
  <si>
    <t>WOS:000462712200016</t>
  </si>
  <si>
    <t>Talbot, SE; Widdicombe, S; Hauton, C; Bruggeman, J</t>
  </si>
  <si>
    <t>Talbot, S. Elizabeth; Widdicombe, Stephen; Hauton, Chris; Bruggeman, Jorn</t>
  </si>
  <si>
    <t>Adapting the dynamic energy budget (DEB) approach to include non-continuous growth (moulting) and provide better predictions of biological performance in crustaceans</t>
  </si>
  <si>
    <t>ICES JOURNAL OF MARINE SCIENCE</t>
  </si>
  <si>
    <t>crustacean growth; dynamic energy budget; metabolic theory; moulting</t>
  </si>
  <si>
    <t>NEPHROPS-NORVEGICUS L; PACIFIC WHITE SHRIMP; OXYGEN-CONSUMPTION; ANTARCTIC KRILL; CLIMATE-CHANGE; NORTHERN KRILL; FARFANTEPENAEUS-PAULENSIS; CHIONOECETES-OPILIO; EUPHAUSIA-PACIFICA; AMMONIA EXCRETION</t>
  </si>
  <si>
    <t>Dynamic energy budget (DEB) theory offers a comprehensive framework for understanding the overall physiological performance (growth, development, respiration, reproduction, etc.) of an organism over the course of its life cycle. We present here a simplified DEB model for the swimming crab Liocarcinus depurator. To the best of our knowledge, this is the first to be presented for this species. Most applications of the standard DEB model assume continuous growth in all size metrics (length, wet mass, carbon content) of the modelled species. However, in crustaceans growth, measured as an increase of carapace length/width, occurs periodically via moult. To account for this, we have extended the model to track the continuous increase in carbon mass as well as the episodic increase in physical size. Model predictions were consistent with the patterns in the observed data, predicting both the moult increment and the intermoult period of an individual. In addition to presenting the model itself, we also make recommendations for further development, and evaluate the potential applications of such a model, both at the individual level (e.g. aquaculture) and as a potential tool for population level dynamics (e.g. fisheries stock assessment).</t>
  </si>
  <si>
    <t>[Talbot, S. Elizabeth; Widdicombe, Stephen; Bruggeman, Jorn] Plymouth Marine Lab, Prospect Pl, Plymouth PL1 3DH, Devon, England; [Talbot, S. Elizabeth; Hauton, Chris] Univ Southampton, Natl Oceanog Ctr Southampton, Ocean &amp; Earth Sci, Waterfront Campus,European Way, Southampton SO14 3ZE, Hants, England</t>
  </si>
  <si>
    <t>Plymouth Marine Laboratory; University of Southampton; NERC National Oceanography Centre</t>
  </si>
  <si>
    <t>Talbot, SE (corresponding author), Plymouth Marine Lab, Prospect Pl, Plymouth PL1 3DH, Devon, England.;Talbot, SE (corresponding author), Univ Southampton, Natl Oceanog Ctr Southampton, Ocean &amp; Earth Sci, Waterfront Campus,European Way, Southampton SO14 3ZE, Hants, England.</t>
  </si>
  <si>
    <t>sat@pml.ac.uk</t>
  </si>
  <si>
    <t>Hauton, Chris/0000-0002-2313-4226; Bruggeman, Jorn/0000-0003-2493-2323; Talbot, Elizabeth/0000-0002-5046-5143</t>
  </si>
  <si>
    <t>National Environment Research Council via the SPITFIRE studentship [NE/L002531/1]; NERC [NE/R015953/1] Funding Source: UKRI</t>
  </si>
  <si>
    <t>National Environment Research Council via the SPITFIRE studentship; NERC(UK Research &amp; Innovation (UKRI)Natural Environment Research Council (NERC))</t>
  </si>
  <si>
    <t>This work was supported by the National Environment Research Council via the SPITFIRE studentship [grant number NE/L002531/1]. We are grateful to the crew of the RV Plymouth Quest for animal collection, and to Joana Nunes for providing practical assistance with experimental setup.</t>
  </si>
  <si>
    <t>1054-3139</t>
  </si>
  <si>
    <t>1095-9289</t>
  </si>
  <si>
    <t>ICES J MAR SCI</t>
  </si>
  <si>
    <t>ICES J. Mar. Sci.</t>
  </si>
  <si>
    <t>10.1093/icesjms/fsy164</t>
  </si>
  <si>
    <t>Fisheries; Marine &amp; Freshwater Biology; Oceanography</t>
  </si>
  <si>
    <t>HQ9GU</t>
  </si>
  <si>
    <t>WOS:000462735600019</t>
  </si>
  <si>
    <t>Bernard, KS; Gunther, LA; Mahaffey, SH; Qualls, KM; Sugla, M; Saenz, BT; Cossio, AM; Walsh, J; Reiss, CS</t>
  </si>
  <si>
    <t>Bernard, Kim S.; Gunther, Lacey A.; Mahaffey, Sean H.; Qualls, Katelyn M.; Sugla, Monisha; Saenz, Benjamin T.; Cossio, Anthony M.; Walsh, Jennifer; Reiss, Christian S.</t>
  </si>
  <si>
    <t>The contribution of ice algae to the winter energy budget of juvenile Antarctic krill in years with contrasting sea ice conditions</t>
  </si>
  <si>
    <t>Antarctic krill; Antarctic Peninsula; energy budget; euphausiids; grazing; ice algae; overwintering; sea ice</t>
  </si>
  <si>
    <t>EUPHAUSIA-SUPERBA CRUSTACEA; PACK-ICE; COPEPOD INTERACTIONS; MARGUERITE BAY; CLIMATE-CHANGE; SOUTH GEORGIA; LIFE-HISTORY; GROWTH-RATES; AUSTRAL FALL; FATTY-ACIDS</t>
  </si>
  <si>
    <t>Krill overwintering strategies vary with ontogeny and year; understanding this variability is essential to predicting how the species will respond to climate change in the future. Overwintering studies have focused on larval and adult krill, but we know little about how juvenile krill overwinter. The late winter diet of juvenile krill is important because it will determine their growth and development rates and consequently their reproductive potential the following spring. A diet rich in ice algae would promote growth and reproductive development. The Bransfield Strait (northern Antarctic Peninsula, AP) is an important overwintering ground for krill; it has been proposed this region offers a food-rich winter environment. We examined the contribution of ice algae to the energy budget of overwintering juvenile krill during 2 years with contrasting sea ice conditions. Grazing on ice algae contributed approximate to 146% to their winter energy budget in 2015, even though ice concentrations were 50% and consisted of newly formed pancake ice. However, when sea ice advanced late in the Bransfield Strait (2016), ice algae contributed significantly less (approximate to 16%) to the winter energy budget of juvenile krill. Delayed sea ice advance may negatively affect growth and reproductive development of overwintering juvenile krill.</t>
  </si>
  <si>
    <t>[Bernard, Kim S.; Gunther, Lacey A.; Mahaffey, Sean H.; Qualls, Katelyn M.; Sugla, Monisha] Oregon State Univ, Coll Earth Ocean &amp; Atmospher Sci, 104 CEOAS Admin Bldg, Corvallis, OR 97330 USA; [Saenz, Benjamin T.] Resource Management Associates, 1756 Picasso Ave,Suite G, Davis, CA 95618 USA; [Cossio, Anthony M.; Walsh, Jennifer; Reiss, Christian S.] NOAA, Antarctic Ecosyst Res Div, Southwest Fisheries Sci Ctr, 8604 La Jolla Shores Dr, La Jolla, CA 92037 USA</t>
  </si>
  <si>
    <t>Oregon State University; National Oceanic Atmospheric Admin (NOAA) - USA</t>
  </si>
  <si>
    <t>Bernard, KS (corresponding author), Oregon State Univ, Coll Earth Ocean &amp; Atmospher Sci, 104 CEOAS Admin Bldg, Corvallis, OR 97330 USA.</t>
  </si>
  <si>
    <t>kbernard@coas.oregonstate.edu</t>
  </si>
  <si>
    <t>Cossio, Anthony/HLX-3335-2023</t>
  </si>
  <si>
    <t>Mahaffey, Sean/0000-0002-5562-3980</t>
  </si>
  <si>
    <t>G. Unger Vetlesen Foundation</t>
  </si>
  <si>
    <t>This work was conducted in collaboration with the NOAA Antarctic Marine Living Resources Program and was funded in part through a donation from the G. Unger Vetlesen Foundation.</t>
  </si>
  <si>
    <t>10.1093/icesjms/fsy145</t>
  </si>
  <si>
    <t>WOS:000462735600020</t>
  </si>
  <si>
    <t>Wu, QE; Fan, CS; Chen, H; Gu, DH</t>
  </si>
  <si>
    <t>Wu, Qing'e; Fan, Changsheng; Chen, Hu; Gu, Donghua</t>
  </si>
  <si>
    <t>Construction of a Neural Network and Its Application on Target Classification</t>
  </si>
  <si>
    <t>Deep learning; convolutional neural network; deep belief network; hydrological feature recognition</t>
  </si>
  <si>
    <t>FAULT-DIAGNOSIS; DEEP; MODEL</t>
  </si>
  <si>
    <t>With the arrival of big data age, the deep convolutional neural networks (DCNNs) with more hidden layers have a more complex network structure and more powerful ability than traditional machine learning methods for feature learning and feature expression. This paper first proposes a model of the DCNN to discuss the basic structure of model, convolutional feature extraction and learning algorithm of convolutional neural network; then, mainly introduces several aspects, that is, the construction of the typical network structure, the training methods, and the parameter settings of network model to be improved and optimized. Moreover, the network model is applied to the classification and recognition of Antarctic hydrological features and compared with some existing classification methods. The novelty of this paper mainly includes two aspects, i.e., the one is that the design and construction of the structure of deep neural network based on deep learning method are performed, namely, connection, weight, calculator, learning training of network, and other design. The other is classifying hydrological characteristics of Pritz Bay in Antarctica's images by the DCNN. The results show that the correct recognition rate of the model method constructed by this paper is the highest. Finally, some problems in the current research are briefly summarized and discussed, and the new direction in the future development is forecasted.</t>
  </si>
  <si>
    <t>[Wu, Qing'e; Fan, Changsheng; Chen, Hu] Zhengzhou Univ Light Ind, Sch Elect &amp; Informat Engn, Zhengzhou 450002, Henan, Peoples R China; [Gu, Donghua] Zhengzhou Univ Light Ind, Engn Training Ctr, Zhengzhou 450002, Henan, Peoples R China</t>
  </si>
  <si>
    <t>Zhengzhou University of Light Industry; Zhengzhou University of Light Industry</t>
  </si>
  <si>
    <t>Wu, QE; Chen, H (corresponding author), Zhengzhou Univ Light Ind, Sch Elect &amp; Informat Engn, Zhengzhou 450002, Henan, Peoples R China.;Gu, DH (corresponding author), Zhengzhou Univ Light Ind, Engn Training Ctr, Zhengzhou 450002, Henan, Peoples R China.</t>
  </si>
  <si>
    <t>wqe969699@163.com; chenhu@zzuli.edu.cn; 435780870@qq.com</t>
  </si>
  <si>
    <t>fan, chang/JKH-8311-2023</t>
  </si>
  <si>
    <t>Wu, QingE/0000-0002-7746-8694</t>
  </si>
  <si>
    <t>Center Plain Science and Technology Innovation Talents [194200510016]; Science and Technology Innovation Team Project of Henan Province University [19IRTSTHN013]; Key Science and Technology Program of Henan Province [172102410063]</t>
  </si>
  <si>
    <t>Center Plain Science and Technology Innovation Talents; Science and Technology Innovation Team Project of Henan Province University; Key Science and Technology Program of Henan Province</t>
  </si>
  <si>
    <t>The work of Q. E. Wu was supported in part by the Center Plain Science and Technology Innovation Talents under Grant 194200510016, and in part by the Science and Technology Innovation Team Project of Henan Province University under Grant 19IRTSTHN013. The work of H. Chen was supported by the Key Science and Technology Program of Henan Province under Grant 172102410063.</t>
  </si>
  <si>
    <t>10.1109/ACCESS.2019.2900578</t>
  </si>
  <si>
    <t>HR2JR</t>
  </si>
  <si>
    <t>WOS:000462962500001</t>
  </si>
  <si>
    <t>Krafft, BA; Krag, LA; Knutsen, T; Skaret, G; Jensen, KHM; Krakstad, JO; Larsen, SH; Melle, W; Iversen, SA; Godo, OR</t>
  </si>
  <si>
    <t>Krafft, Bjorn A.; Krag, Ludvig A.; Knutsen, Tor; Skaret, Georg; Jensen, Knut H. M.; Krakstad, Jens O.; Larsen, Stuart H.; Melle, Webjorn; Iversen, Svein A.; Godo, Olav R.</t>
  </si>
  <si>
    <t>Summer distribution and demography of Antarctic krill Euphausia superba Dana, 1852 (Euphausiacea) at the South Orkney Islands, 2011-2015 (vol 38, pg 682, 2018)</t>
  </si>
  <si>
    <t>JOURNAL OF CRUSTACEAN BIOLOGY</t>
  </si>
  <si>
    <t>Correction</t>
  </si>
  <si>
    <t>Krakstad, Jens-Otto/ABB-1476-2021</t>
  </si>
  <si>
    <t>Knutsen, Tor/0000-0003-3531-5611; Krag, Ludvig Ahm/0000-0002-1531-1499</t>
  </si>
  <si>
    <t>0278-0372</t>
  </si>
  <si>
    <t>1937-240X</t>
  </si>
  <si>
    <t>J CRUSTACEAN BIOL</t>
  </si>
  <si>
    <t>J. Crustac. Biol.</t>
  </si>
  <si>
    <t>10.1093/jcbiol/ruy112</t>
  </si>
  <si>
    <t>Marine &amp; Freshwater Biology; Zoology</t>
  </si>
  <si>
    <t>HQ7EE</t>
  </si>
  <si>
    <t>hybrid</t>
  </si>
  <si>
    <t>WOS:000462581700011</t>
  </si>
  <si>
    <t>Boronina, AS; Popov, SV; Pryakhina, GV</t>
  </si>
  <si>
    <t>Boronina, A. S.; Popov, S., V; Pryakhina, G., V</t>
  </si>
  <si>
    <t>Hydrological characteristics of lakes in the eastern part of the Broknes Peninsula, Larsemann Hills, East Antarctica</t>
  </si>
  <si>
    <t>breakthrough flood; Broknes Peninsula; East Antarctica; hydrological study; Larsemann Hills</t>
  </si>
  <si>
    <t>DYNAMICS; GLACIER</t>
  </si>
  <si>
    <t>Broknes Peninsula (the area of the Progress station, Larsemann Hills, Princess Elisabeth Land, East Antarctica) is characterized by the presence of well developed hydrographic network consisting of reservoirs located not only in the bedrock, but also inside the glacier thickness and on its surface. As a rule, most of them are dammed by natural snow-ice weirs, which are often destroyed during the Antarctic summer. As a result of this process, glacial water outburst may occur. In the course of the summer season of the 63-th Russian Antarctic Expedition (RAE) intensive hydrological field observations were carried out for identification and comprehensive investigation of potentially outburst prone reservoirs located in close proximity to Russian and foreign stations and field bases (area of the Progress station and the field base Law-Racovita). The works included: the organization of temporary pile and depth-stick water gauge stations, mapping positions of the shoreline of lakes (reservoirs), bathymetric surveys of them, as well as field hydro-chemical express analyses. Based on the results of the level measurement, it was found that most of the lakes of the oasis are characterized by a sharp drop in the height of the water surface level associated with the breakthroughs. In particular, the authors witnessed the breakthrough of the Discussion Lake, which occurred on January 22, 2018. This resulted in decrease of the water level by 0.95 m. Based on the data of the bathymetric surveys, the morphometric (hydrometric) characteristics of the lakes were calculated and detailed grids (regular net of rectangular matrices, in the nodes of which some effective values of the mapped values are located) were formed for the following numerical modeling of hypothetical and real breakthroughs of water bodies and construction of estimated hydrographs.</t>
  </si>
  <si>
    <t>[Boronina, A. S.; Popov, S., V; Pryakhina, G., V] St Petersburg State Univ, St Petersburg, Russia; [Popov, S., V] Polar Marine Geosurvey Expedit, St Petersburg, Russia</t>
  </si>
  <si>
    <t>Boronina, AS (corresponding author), St Petersburg State Univ, St Petersburg, Russia.</t>
  </si>
  <si>
    <t>al.b.s@yandex.ru</t>
  </si>
  <si>
    <t>Popov, Sergey/IYJ-2371-2023; Popov, Sergey V./I-2319-2013</t>
  </si>
  <si>
    <t>Popov, Sergey/0000-0002-1830-8658; Popov, Sergey V./0000-0002-1830-8658; Boronina, Alina/0000-0002-3486-5243; Prahina, Galina/0000-0003-3684-4638</t>
  </si>
  <si>
    <t>Russian Foundation for Basic Research [18-05-00421]; RFBR [17-55-12003 NNIO]</t>
  </si>
  <si>
    <t>Russian Foundation for Basic Research(Russian Foundation for Basic Research (RFBR)Spanish Government); RFBR(Russian Foundation for Basic Research (RFBR))</t>
  </si>
  <si>
    <t>The Authors want to thank gratefully their colleagues S.D. Grigorieva, G.A. Deshevykh, A.A. Sukhanova, and also thank the chief of the station Progress 63nd RAE A.V. Voevodin for assistance in realization of field research; to thank the chief of the station Progress 62nd RAE A.V. Mirakin for the provision of photo and video materials, as well as assistance in the organization of the detachment; to thank staff of the Institute of Earth Sciences of St. Petersburg State University, Department of Hydrology for the provided hydrometric equipment. The work was supported by the Russian Foundation for Basic Research in the framework of the scientific project No 18-05-00421. The measurement of the mineralization of the lake water was carried out within the framework of the RFBR scientific project No 17-55-12003 NNIO.</t>
  </si>
  <si>
    <t>10.15356/2076-6734-2019-1-39-48</t>
  </si>
  <si>
    <t>HP6OP</t>
  </si>
  <si>
    <t>WOS:000461805000003</t>
  </si>
  <si>
    <t>Kumar, N; Ramanathan, AL; Tranter, M; Sharma, P; Pandey, M; Ranjan, P; Raju, NJ</t>
  </si>
  <si>
    <t>Kumar, Naveen; Ramanathan, A. L.; Tranter, Martyn; Sharma, Parmanand; Pandey, Manish; Ranjan, Prabhat; Raju, N. Janardhan</t>
  </si>
  <si>
    <t>Switch in chemical weathering caused by the mass balance variability in a Himalayan glacierized basin: a case of Chhota Shigri Glacier</t>
  </si>
  <si>
    <t>HYDROLOGICAL SCIENCES JOURNAL-JOURNAL DES SCIENCES HYDROLOGIQUES</t>
  </si>
  <si>
    <t>benchmark glacier; mass balance; C-ratio; chemical weathering; drainage system</t>
  </si>
  <si>
    <t>SUBGLACIAL DRAINAGE SYSTEM; HIGH-ARCTIC GLACIER; SEA-LEVEL RISE; SUSPENDED SEDIMENT; SOIL CHRONOSEQUENCE; SOLUTE ACQUISITION; GARHWAL HIMALAYA; GANGOTRI GLACIER; WESTERN HIMALAYA; SOUTH SVALBARD</t>
  </si>
  <si>
    <t>Long-term data (2003-2015) on meltwater chemistry, mass balance and discharge of a benchmark glacier (Chhota Shigri Glacier, India) were studied to determine any association between these variables. To infer the factors governing the alteration of chemical weathering processes in glacierized basins, multi-annual records of the hydrochemical indices (Ca2++Mg2+/Na++K+) and the C-ratio were also examined. A succession of negative mass balance years has resulted in a decline in solute concentrations in the runoff, as discharge has increased. The (Ca2++Mg2+/Na++K+) and C-ratio are highest during periods of negative annual mass balance, when the spatial extent of the channelized drainage system increases. Conversely, these ratios are lowest in positive mass balance years, when the spatial extent of the channelized drainage system decreases, and chemical weathering in the distributed drainage system becomes more dominant. This paper is the first to show the inter-annual linkages between meltwater chemistry, mass balance and discharge for a valley glacier.</t>
  </si>
  <si>
    <t>[Kumar, Naveen; Ramanathan, A. L.; Ranjan, Prabhat; Raju, N. Janardhan] Jawaharlal Nehru Univ, Sch Environm Sci, New Delhi, India; [Tranter, Martyn] Univ Bristol, Sch Geog Sci, Bristol, Avon, England; [Sharma, Parmanand] Natl Ctr Antarctic &amp; Ocean Res NCAOR, Vasco Da Gama, India; [Pandey, Manish] Chandigarh Univ, UCRD, Mohali, India</t>
  </si>
  <si>
    <t>Jawaharlal Nehru University, New Delhi; University of Bristol; Ministry of Earth Sciences (MoES) - India; National Centre for Polar and Ocean Research (NCPOR); Chandigarh University</t>
  </si>
  <si>
    <t>Ramanathan, AL (corresponding author), Jawaharlal Nehru Univ, Sch Environm Sci, New Delhi, India.</t>
  </si>
  <si>
    <t>alrjnu@gmail.com</t>
  </si>
  <si>
    <t>AL, Ramanathan -/E-7217-2012; Pandey, Manish/J-4740-2013; Pandey, Manish/J-6825-2019; Tranter, Martyn/E-3722-2010</t>
  </si>
  <si>
    <t>AL, Ramanathan -/0000-0002-3491-2273; Pandey, Manish/0000-0001-8291-2043; Pandey, Manish/0000-0001-8291-2043; Tranter, Martyn/0000-0003-2071-3094; Ranjan, Prabhat/0000-0002-4038-6142; Ranjan, Prabhat/0000-0002-3585-1740</t>
  </si>
  <si>
    <t>Department of Science and Technology (DST), Government of India; Space Application Centre (SAC), Government of India; Bhabha Atomic Research Centre (BARC), Government of India; Science and Engineering Research Board [SR/DGH-93/2014]</t>
  </si>
  <si>
    <t>Department of Science and Technology (DST), Government of India(Department of Science &amp; Technology (India)); Space Application Centre (SAC), Government of India; Bhabha Atomic Research Centre (BARC), Government of India(Department of Atomic Energy (DAE)); Science and Engineering Research Board</t>
  </si>
  <si>
    <t>This work was financially supported by Department of Science and Technology (DST), Government of India. We also acknowledge the Space Application Centre (SAC) and Bhabha Atomic Research Centre (BARC), Government of India, for partial funding for the field trip. Science and Engineering Research Board [SR/DGH-93/2014].</t>
  </si>
  <si>
    <t>0262-6667</t>
  </si>
  <si>
    <t>2150-3435</t>
  </si>
  <si>
    <t>HYDROLOG SCI J</t>
  </si>
  <si>
    <t>Hydrol. Sci. J.-J. Sci. Hydrol.</t>
  </si>
  <si>
    <t>10.1080/02626667.2019.1572152</t>
  </si>
  <si>
    <t>Water Resources</t>
  </si>
  <si>
    <t>HP3JW</t>
  </si>
  <si>
    <t>WOS:000461573900004</t>
  </si>
  <si>
    <t>Gualtieri, D; Pitman, RL</t>
  </si>
  <si>
    <t>Gualtieri, Doug; Pitman, Robert L.</t>
  </si>
  <si>
    <t>Killer Whale (Orcinus orca) Predation on a Gervais' Beaked Whale (Mesoplodon europaeus) in the Eastern Atlantic Ocean</t>
  </si>
  <si>
    <t>AQUATIC MAMMALS</t>
  </si>
  <si>
    <t>[Gualtieri, Doug] POB 1071, Talkeetna, AK 99676 USA; [Pitman, Robert L.] Natl Marine Fisheries Serv, Antarctic Ecosyst Res Div, Southwest Fisheries Sci Ctr, NOAA, 8901 La Jolla Shores Dr, La Jolla, CA 92037 USA</t>
  </si>
  <si>
    <t>National Oceanic Atmospheric Admin (NOAA) - USA</t>
  </si>
  <si>
    <t>Pitman, RL (corresponding author), Natl Marine Fisheries Serv, Antarctic Ecosyst Res Div, Southwest Fisheries Sci Ctr, NOAA, 8901 La Jolla Shores Dr, La Jolla, CA 92037 USA.</t>
  </si>
  <si>
    <t>robert.pitman@noaa.gov</t>
  </si>
  <si>
    <t>EUROPEAN ASSOC AQUATIC MAMMALS</t>
  </si>
  <si>
    <t>MOLINE</t>
  </si>
  <si>
    <t>C/O DR JEANETTE THOMAS, BIOLOGICAL SCIENCES, WESTERN ILLIONIS UNIV-QUAD CITIES, 3561 60TH STREET, MOLINE, IL 61265 USA</t>
  </si>
  <si>
    <t>0167-5427</t>
  </si>
  <si>
    <t>AQUAT MAMM</t>
  </si>
  <si>
    <t>Aquat. Mamm.</t>
  </si>
  <si>
    <t>10.1578/AM.45.2.2019.244</t>
  </si>
  <si>
    <t>HO6WY</t>
  </si>
  <si>
    <t>WOS:000461075600003</t>
  </si>
  <si>
    <t>Galbraith, E; de Lavergne, C</t>
  </si>
  <si>
    <t>Galbraith, Eric; de Lavergne, Casimir</t>
  </si>
  <si>
    <t>Response of a comprehensive climate model to a broad range of external forcings: relevance for deep ocean ventilation and the development of late Cenozoic ice ages</t>
  </si>
  <si>
    <t>CLIMATE DYNAMICS</t>
  </si>
  <si>
    <t>Ocean circulation; Climate; Earth system model; Carbon dioxide; Ice ages; Ocean biogeochemistry</t>
  </si>
  <si>
    <t>LAST GLACIAL MAXIMUM; MERIDIONAL OVERTURNING CIRCULATION; ANTARCTIC SEA-ICE; SOUTHERN-OCEAN; ATMOSPHERIC CO2; NORTH-ATLANTIC; THERMOHALINE CIRCULATION; PLANKTONIC-FORAMINIFERA; DEGLACIAL CLIMATE; WATER CIRCULATION</t>
  </si>
  <si>
    <t>Over the past few million years, the Earth descended from the relatively warm and stable climate of the Pliocene into the increasingly dramatic ice age cycles of the Pleistocene. The influences of orbital forcing and atmospheric CO2 on land-based ice sheets have long been considered as the key drivers of the ice ages, but less attention has been paid to their direct influences on the circulation of the deep ocean. Here we provide a broad view on the influences of CO2, orbital forcing and ice sheet size according to a comprehensive Earth system model, by integrating the model to equilibrium under 40 different combinations of the three external forcings. We find that the volume contribution of Antarctic (AABW) vs. North Atlantic (NADW) waters to the deep ocean varies widely among the simulations, and can be predicted from the difference between the surface densities at AABW and NADW deep water formation sites. Minima of both the AABW-NADW density difference and the AABW volume occur near interglacial CO2 (270-400ppm). At low CO2, abundant formation and northward export of sea ice in the Southern Ocean contributes to very salty and dense Antarctic waters that dominate the global deep ocean. Furthermore, when the Earth is cold, low obliquity (i.e. a reduced tilt of Earth's rotational axis) enhances the Antarctic water volume by expanding sea ice further. At high CO2, AABW dominance is favoured due to relatively warm subpolar North Atlantic waters, with more dependence on precession. Meanwhile, a large Laurentide ice sheet steers atmospheric circulation as to strengthen the Atlantic Meridional Overturning Circulation, but cools the Southern Ocean remotely, enhancing Antarctic sea ice export and leading to very salty and expanded AABW. Together, these results suggest that a sweet spot' of low CO2, low obliquity and relatively small ice sheets would have poised the AMOC for interruption, promoting Dansgaard-Oeschger-type abrupt change. The deep ocean temperature and salinity simulated under the most representative glacial' state agree very well with reconstructions from the Last Glacial Maximum (LGM), which lends confidence in the ability of the model to estimate large-scale changes in water-mass geometry. The model also simulates a circulation-driven increase of preformed radiocarbon reservoir age, which could explain most of the reconstructed LGM-preindustrial ocean radiocarbon change. However, the radiocarbon content of the simulated glacial ocean is still higher than reconstructed for the LGM, and the model does not reproduce reconstructed LGM deep ocean oxygen depletions. These ventilation-related disagreements probably reflect unresolved physical aspects of ventilation and ecosystem processes, but also raise the possibility that the LGM ocean circulation was not in equilibrium. Finally, the simulations display an increased sensitivity of both surface air temperature and AABW volume to orbital forcing under low CO2. We suggest that this enhanced orbital sensitivity contributed to the development of the ice age cycles by amplifying the responses of climate and the carbon cycle to orbital forcing, following a gradual downward trend of CO2.</t>
  </si>
  <si>
    <t>[Galbraith, Eric] ICREA, Pg Lluis Co 23, Barcelona 08010, Spain; [Galbraith, Eric] Univ Autonoma Barcelona, ICTA, Dept Math, E-08193 Barcelona, Spain; [Galbraith, Eric] McGill Univ, Dept Earth &amp; Planetary Sci, Montreal, PQ, Canada; [de Lavergne, Casimir] Univ New South Wales, Sch Math &amp; Stat, Sydney, NSW 2052, Australia</t>
  </si>
  <si>
    <t>ICREA; Autonomous University of Barcelona; McGill University; University of New South Wales Sydney</t>
  </si>
  <si>
    <t>Galbraith, E (corresponding author), ICREA, Pg Lluis Co 23, Barcelona 08010, Spain.;Galbraith, E (corresponding author), Univ Autonoma Barcelona, ICTA, Dept Math, E-08193 Barcelona, Spain.;Galbraith, E (corresponding author), McGill Univ, Dept Earth &amp; Planetary Sci, Montreal, PQ, Canada.</t>
  </si>
  <si>
    <t>eric.d.galbraith@gmail.com</t>
  </si>
  <si>
    <t>; Galbraith, Eric/F-9469-2014</t>
  </si>
  <si>
    <t>de Lavergne, Casimir/0000-0001-9267-7390; Galbraith, Eric/0000-0003-4476-4232</t>
  </si>
  <si>
    <t>Spanish Ministry of Economy and Competitiveness, through the Maria de Maeztu Programme for Centres/Units of Excellence in RD [MDM-2015-0552]; Australian Research Council [FL150100090]</t>
  </si>
  <si>
    <t>Spanish Ministry of Economy and Competitiveness, through the Maria de Maeztu Programme for Centres/Units of Excellence in RD; Australian Research Council(Australian Research Council)</t>
  </si>
  <si>
    <t>We are grateful to Compute Canada and Scinet (University of Toronto) for providing the computational resources to carry out the simulations, and to the Canadian Foundation for Innovation for local computing infrastructure. We thank Rick Slater, Simon Yang and Nicolas Brown for assistance with configuring and running the model, and Tim Merlis, Luke Skinner, Sam Jaccard, Sarah Eggleston, Robbie Toggweiler, Daniel Sigman, Robert Anderson, Jorge Sarmiento and Jaime Palter for discussions. Pearse Buchanan and three anonymous reviewers provided constructive comments on the manuscript. EDG acknowledges financial support from the Spanish Ministry of Economy and Competitiveness, through the Maria de Maeztu Programme for Centres/Units of Excellence in R&amp;D (MDM-2015-0552). CdL acknowledges Australian Research Council support through grant FL150100090. All model runscripts, code and simulation output are freely available from the authors, or can be obtained by download from https://earthsystemdynamics.org/cm2mc-simulation-library/.</t>
  </si>
  <si>
    <t>0930-7575</t>
  </si>
  <si>
    <t>1432-0894</t>
  </si>
  <si>
    <t>CLIM DYNAM</t>
  </si>
  <si>
    <t>Clim. Dyn.</t>
  </si>
  <si>
    <t>1-2</t>
  </si>
  <si>
    <t>10.1007/s00382-018-4157-8</t>
  </si>
  <si>
    <t>HO0UA</t>
  </si>
  <si>
    <t>Green Published, hybrid</t>
  </si>
  <si>
    <t>WOS:000460619200038</t>
  </si>
  <si>
    <t>Pakhomov, EA; Henschke, N; Hunt, BPV; Stowasser, G; Cherel, Y</t>
  </si>
  <si>
    <t>Pakhomov, Evgeny A.; Henschke, Natasha; Hunt, Brian P. V.; Stowasser, Gabriele; Cherel, Yves</t>
  </si>
  <si>
    <t>Utility of salps as a baseline proxy for food web studies</t>
  </si>
  <si>
    <t>JOURNAL OF PLANKTON RESEARCH</t>
  </si>
  <si>
    <t>stable isotope; pelagic tunicate; baseline; food web; salp</t>
  </si>
  <si>
    <t>STABLE-ISOTOPES; TROPHIC POSITION; SOUTHERN-OCEAN; LAZAREV SEA; DELTA-N-15; DELTA-C-13; NITROGEN; CARBON; FRACTIONATION; ZOOPLANKTON</t>
  </si>
  <si>
    <t>In recent years, pelagic tunicates (mostly salps, but potentially doliolids, appendicularians and pyrosomes as well) have been used in isotopic studies as a baseline consumer (trophic position 2) when recreating food web dynamics to overcome the challenges of using particulate organic matter (POM). While pelagic tunicates are continuous filter feeders, recent evidence has shown that they have selective feeding behaviors, and preferentially assimilate certain particles. In this review, we combine available stable isotope data for POM and pelagic tunicates and identify that trophic enrichment in C-13 and N-15 relative to POM is highly variable, and suggests tunicates prefer to consume smaller, heterotrophic organisms. Here we propose that it is not appropriate to consider pelagic tunicates as representative first level consumers in the classical pelagic food web in stable isotope analyses. Rather it needs acknowledgment that they are members of the microbial food web, and thus reflect an alternate food chain.</t>
  </si>
  <si>
    <t>[Pakhomov, Evgeny A.; Henschke, Natasha; Hunt, Brian P. V.] Univ British Columbia, Dept Earth Ocean &amp; Atmospher Sci, 2207 Main Mall, Vancouver, BC V6T 1Z4, Canada; [Pakhomov, Evgeny A.; Hunt, Brian P. V.] Univ British Columbia, Inst Oceans &amp; Fisheries, Vancouver, BC V6T 1Z4, Canada; [Pakhomov, Evgeny A.; Hunt, Brian P. V.] Hakai Inst, POB 309, Heriot Bay, BC, Canada; [Stowasser, Gabriele] NERC, British Antarctic Survey, Madingley Rd, Cambridge CB3 0ET, England; [Cherel, Yves] Univ La Rochelle, CNRS, UMR 7372, CEBC, F-79360 Villiers En Bois, France</t>
  </si>
  <si>
    <t>University of British Columbia; University of British Columbia; Hakai Institute; UK Research &amp; Innovation (UKRI); Natural Environment Research Council (NERC); NERC British Antarctic Survey; Centre National de la Recherche Scientifique (CNRS); CNRS - Institute of Ecology &amp; Environment (INEE); La Rochelle Universite</t>
  </si>
  <si>
    <t>Pakhomov, EA (corresponding author), Univ British Columbia, Dept Earth Ocean &amp; Atmospher Sci, 2207 Main Mall, Vancouver, BC V6T 1Z4, Canada.;Pakhomov, EA (corresponding author), Univ British Columbia, Inst Oceans &amp; Fisheries, Vancouver, BC V6T 1Z4, Canada.;Pakhomov, EA (corresponding author), Hakai Inst, POB 309, Heriot Bay, BC, Canada.</t>
  </si>
  <si>
    <t>epakhomov@eoas.ubc.ca</t>
  </si>
  <si>
    <t>Direction Recherche Etudes Doctorales Europe (D.R.E.D.E.) of the University La Rochelle, France; Institut Polaire Francais Paul Emile Victor [109]; NERC [bas0100035] Funding Source: UKRI</t>
  </si>
  <si>
    <t>Direction Recherche Etudes Doctorales Europe (D.R.E.D.E.) of the University La Rochelle, France; Institut Polaire Francais Paul Emile Victor; NERC(UK Research &amp; Innovation (UKRI)Natural Environment Research Council (NERC))</t>
  </si>
  <si>
    <t>The research was supported by the visiting grant awarded to Dr E.A. Pakhomov by the Direction Recherche Etudes Doctorales Europe (D.R.E.D.E.) of the University La Rochelle, France. The present work was supported financially and logistically by the Institut Polaire Francais Paul Emile Victor (Programme No 109, H. Weimerskirch).</t>
  </si>
  <si>
    <t>0142-7873</t>
  </si>
  <si>
    <t>1464-3774</t>
  </si>
  <si>
    <t>J PLANKTON RES</t>
  </si>
  <si>
    <t>J. Plankton Res.</t>
  </si>
  <si>
    <t>10.1093/plankt/fby051</t>
  </si>
  <si>
    <t>HO0XI</t>
  </si>
  <si>
    <t>WOS:000460628700002</t>
  </si>
  <si>
    <t>Ambroso, S; Salazar, J; Gili, JM; Guardiola, RZ</t>
  </si>
  <si>
    <t>Ambroso, Stefano; Salazar, Janire; Gili, Josep-Maria; Guardiola, Rebeca Zapata</t>
  </si>
  <si>
    <t>LIFE IN EXTREME CONDITIONS THE PARADOX OF ANTARCTIC MARINE BIODIVERSITY</t>
  </si>
  <si>
    <t>METODE SCIENCE STUDIES JOURNAL</t>
  </si>
  <si>
    <t>marine biodiversity; conservation; Antarctica; benthos; gorgonia</t>
  </si>
  <si>
    <t>COMMUNITIES</t>
  </si>
  <si>
    <t>The study of pristine places is very important for learning about the state of the oceans before the impact of human beings. Due to the extreme environmental conditions of the Antarctic continental shelf - its distance from other continents, depth, and the weight of the continental ice - it offers us a great opportunity to better understand how a pristine ecosystem would normally be. In addition to a high level of biodiversity, Antarctic benthic organisms present patterns of demographic and spatial distribution that are different from the communities of the continental shelves in other seas and oceans of the world. This makes Antarctic benthic communities look, more than one might think, like the communities with the highest known biodiversity in the world.</t>
  </si>
  <si>
    <t>[Ambroso, Stefano; Guardiola, Rebeca Zapata] Inst Marine Sci CSIC, Barcelona, Spain; [Salazar, Janire] Oceanog &amp; Marine Environm Management, Barcelona, Spain; [Gili, Josep-Maria] CSIC, Barcelona, Spain; [Gili, Josep-Maria] Inst Marine Sci, Marine Benthos Ecol Grp, Barcelona, Spain; [Gili, Josep-Maria] Inst Marine Sci, Gelatinous Zooplankton Biol Grp, Barcelona, Spain</t>
  </si>
  <si>
    <t>Consejo Superior de Investigaciones Cientificas (CSIC); CSIC - Centro Mediterraneo de Investigaciones Marinas y Ambientales (CMIMA); CSIC - Instituto de Ciencias del Mar (ICM); Consejo Superior de Investigaciones Cientificas (CSIC); Consejo Superior de Investigaciones Cientificas (CSIC); CSIC - Centro Mediterraneo de Investigaciones Marinas y Ambientales (CMIMA); CSIC - Instituto de Ciencias del Mar (ICM); Consejo Superior de Investigaciones Cientificas (CSIC); CSIC - Centro Mediterraneo de Investigaciones Marinas y Ambientales (CMIMA); CSIC - Instituto de Ciencias del Mar (ICM)</t>
  </si>
  <si>
    <t>Ambroso, S (corresponding author), Inst Marine Sci CSIC, Barcelona, Spain.</t>
  </si>
  <si>
    <t>ambroso@icm.csic.es</t>
  </si>
  <si>
    <t>Ambroso, Stefano/IUP-6817-2023</t>
  </si>
  <si>
    <t>UNIV VALENCIA, BOTANICAL GARDEN UV</t>
  </si>
  <si>
    <t>VALENCIA</t>
  </si>
  <si>
    <t>C/QUART, 80, VALENCIA, 46008, SPAIN</t>
  </si>
  <si>
    <t>2174-3487</t>
  </si>
  <si>
    <t>2174-9221</t>
  </si>
  <si>
    <t>METODE SCI STUD J</t>
  </si>
  <si>
    <t>Metode Sci. Stud. J.</t>
  </si>
  <si>
    <t>10.7203/metode.9.11324</t>
  </si>
  <si>
    <t>History &amp; Philosophy Of Science</t>
  </si>
  <si>
    <t>History &amp; Philosophy of Science</t>
  </si>
  <si>
    <t>HN7QX</t>
  </si>
  <si>
    <t>WOS:000460387700011</t>
  </si>
  <si>
    <t>Yasuhara, M</t>
  </si>
  <si>
    <t>Yasuhara, Moriaki</t>
  </si>
  <si>
    <t>MARINE BIODIVERSITY IN SPACE AND TIME WHAT TINY FOSSILS TELL</t>
  </si>
  <si>
    <t>microfossils; evolution; paleontology; biogeography; ecology</t>
  </si>
  <si>
    <t>DIVERSITY; GRADIENT; COLLAPSE; DYNAMICS</t>
  </si>
  <si>
    <t>Biodiversity has been changing both in space and time. For example, we have more species in the tropics and less species in the Arctic and Antarctic regions, constituting the latitudinal diversity gradient, one of the patterns we can see most consistently in this complex world. We know much less regarding the biodiversity gradients with time. This is because it would require a well designed continuous monitoring program, which seldom persist beyond a few decades. But, luckily, we have remains of ancient organisms, called fossils. These are basically the only direct records of past biodiversity.</t>
  </si>
  <si>
    <t>[Yasuhara, Moriaki] Univ Hong Kong, Sch Biol Sci, Hong Kong, Peoples R China; [Yasuhara, Moriaki] Univ Hong Kong, Swire Inst Marine Sci, Hong Kong, Peoples R China</t>
  </si>
  <si>
    <t>University of Hong Kong; University of Hong Kong</t>
  </si>
  <si>
    <t>Yasuhara, M (corresponding author), Univ Hong Kong, Sch Biol Sci, Hong Kong, Peoples R China.;Yasuhara, M (corresponding author), Univ Hong Kong, Swire Inst Marine Sci, Hong Kong, Peoples R China.</t>
  </si>
  <si>
    <t>yasuhara@hku.hk</t>
  </si>
  <si>
    <t>10.7203/metode.9.11404</t>
  </si>
  <si>
    <t>WOS:000460387700012</t>
  </si>
  <si>
    <t>Pitulko, VV; Pavlova, EY</t>
  </si>
  <si>
    <t>Pitulko, V. V.; Pavlova, E. Yu.</t>
  </si>
  <si>
    <t>Upper Palaeolithic Sewing Kit from the Yana Site, Arctic Siberia</t>
  </si>
  <si>
    <t>STRATUM PLUS</t>
  </si>
  <si>
    <t>North Eurasia; Arctic Siberia; Upper Palaeolithic; Yana site; eyed needles; sewing technology; innovations; Neanderthals; anatomically modern humans</t>
  </si>
  <si>
    <t>ANATOMICALLY MODERN HUMANS; MODERN HUMAN-BEHAVIOR; BONE TOOLS; OSSEOUS TECHNOLOGY; GLOBAL DISPERSAL; ANIMAL REMAINS; JEBEL IRHOUD; CLOTHING USE; SMALL PREY; RHS SITE</t>
  </si>
  <si>
    <t>Eyed bone needles and awls constitute the sewing kit used by the ancient humans elsewhere throughout the Stone Age are being found in many archaeological sites of the Northern Hemisphere. They are members of the osseous industry which becomes a hallmark of the Upper Palaeolithic. The osseous industry in general is thought to be one of the most important innovations of the Upper Palaeolithic. If compared to personal ornaments, decorated objects and hunting tools and other nice bone items, the sewing kit for years plays Cinderella of archaeological studies as it looks like as it is -this is just sewing kit, or just two tool types used widely over time and space to make clothing. But indeed, since it serves to produce clothing, footwear, dwelling tarps and gear assembly, sewing becomes the most important, or crucial technology. Finally, it allowed the modern humans to populate open landscapes of the Northern Hemisphere. Eyed bone needles are distributed wide starting possibly 50 000 years ago but generally, they are not many in Palaeolithic contexts. Only few of them yield needle finds with n&gt; 10. The Yana site provides the world largest collection of eyed needles and their fragments (n = 192) which dates to similar to 32 000 calBP. Analysis of the collection performed for this work includes study of morphology, morphometrics and technology of manufacture of these tools but also the relationship between these tools and the rest of the context. Here we discuss the questions of the origin of eyed needles and the Upper Palaeolithic sewing technology, its evolution and role in the human culture.</t>
  </si>
  <si>
    <t>[Pitulko, V. V.] Russian Acad Sci, Inst Hist Mat Culture, Hist Sci, Dvortsovaya Emb 18, St Petersburg 191186, Russia; [Pavlova, E. Yu.] Arctic &amp; Antarctic Res Inst, Bering St 38, St Petersburg 199397, Russia</t>
  </si>
  <si>
    <t>Russian Academy of Sciences; Institute for the History of Material Culture, Russian Academy of Sciences; St. Petersburg Scientific Centre of the Russian Academy of Sciences; Arctic &amp; Antarctic Research Institute</t>
  </si>
  <si>
    <t>Pitulko, VV (corresponding author), Russian Acad Sci, Inst Hist Mat Culture, Hist Sci, Dvortsovaya Emb 18, St Petersburg 191186, Russia.</t>
  </si>
  <si>
    <t>pitulkov@gmail.com; pavloval@rambler.ru</t>
  </si>
  <si>
    <t>Pavlova, Elena/0000-0002-3010-6290; Pitulko, Vladimir/0000-0001-5672-2756</t>
  </si>
  <si>
    <t>Russian Science Fundation [16-18-10265 RNF]; Russian Science Foundation [16-18-10265] Funding Source: Russian Science Foundation</t>
  </si>
  <si>
    <t>Russian Science Fundation; Russian Science Foundation(Russian Science Foundation (RSF))</t>
  </si>
  <si>
    <t>Research is supported by the Russian Science Fundation, project no. 16-18-10265 RNF Late Pleistocene-Holocene Environment of Siberian Arctic and ancient man: human settlement, cultural changes, and adaptations granted to V.V. Pitulko</t>
  </si>
  <si>
    <t>HIGH ANTHROPOLOGICAL SCH UNIV</t>
  </si>
  <si>
    <t>KISHINEV</t>
  </si>
  <si>
    <t>ZIMBRULUI 10A ST, KISHINEV, MD-2024, MOLDOVA</t>
  </si>
  <si>
    <t>1608-9057</t>
  </si>
  <si>
    <t>1857-3533</t>
  </si>
  <si>
    <t>Stratum Plus</t>
  </si>
  <si>
    <t>Archaeology</t>
  </si>
  <si>
    <t>HO0FR</t>
  </si>
  <si>
    <t>WOS:000460577100009</t>
  </si>
  <si>
    <t>Mansilla, GA</t>
  </si>
  <si>
    <t>Mansilla, Gustavo A.</t>
  </si>
  <si>
    <t>Behavior of the Total Electron Content over the Arctic and Antarctic sectors during several intense geomagnetic storms</t>
  </si>
  <si>
    <t>GEODESY AND GEODYNAMICS</t>
  </si>
  <si>
    <t>Geomagnetic storms; TEC; Arctic and Antarctic sectors</t>
  </si>
  <si>
    <t>IONOSPHERIC RESPONSE; THERMOSPHERE; LATITUDE; FIELDS; TEC</t>
  </si>
  <si>
    <t>In this paper, the behavior of TEC at three stations located in the Arctic and Antarctic sectors during some intense geomagnetic storms in the period 2012-2016 is analyzed. The results show the opposite storm effects in the Arctic and Antarctic regions. Both the positive and negative TEC disturbances presented more fluctuations over the Arctic stations than over the Antarctic stations. Moreover, the positive TEC disturbances were more significant in winter. The negative disturbances were generally long-lasting, sometimes interrupted by short-duration positive disturbances. Overall, the increases and decreases in TEC can be mainly attributed to changes (i.e., increase and decreases in the O/N-2 ratio respectively) in the thermospheric composition, but prompt penetration electric field could be responsible for the initial TEC disturbances. The thermospheric circulation and the disturbance dynamo, which are maintained due to prolonged high-energy input at high latitudes, can also play important roles at the end of main phase and during recovery phase. (C) 2019 Institute of Seismology, China Earthquake Administration, etc. Production and hosting by Elsevier B.V. on behalf of KeAi Communications Co., Ltd.</t>
  </si>
  <si>
    <t>[Mansilla, Gustavo A.] Univ Nacl Tucuman, Fac Ciencias Exactas &amp; Tecnol, Dept Fis, Av Independencia 1800, RA-4000 San Miguel De Tucuman, Tucuman, Argentina; [Mansilla, Gustavo A.] Consejo Nacl Invest Cient &amp; Tecn, Godoy Cruz 2290, Caba, Argentina</t>
  </si>
  <si>
    <t>Universidad Nacional de Tucuman; Consejo Nacional de Investigaciones Cientificas y Tecnicas (CONICET)</t>
  </si>
  <si>
    <t>Mansilla, GA (corresponding author), Univ Nacl Tucuman, Fac Ciencias Exactas &amp; Tecnol, Dept Fis, Av Independencia 1800, RA-4000 San Miguel De Tucuman, Tucuman, Argentina.</t>
  </si>
  <si>
    <t>gmansilla@herrera.unt.edu.ar</t>
  </si>
  <si>
    <t>16 DONGHUANGCHENGGEN NORTH ST, BEIJING, 100717, PEOPLES R CHINA</t>
  </si>
  <si>
    <t>1674-9847</t>
  </si>
  <si>
    <t>GEOD GEODYN</t>
  </si>
  <si>
    <t>J. Geod. Geodyn.</t>
  </si>
  <si>
    <t>10.1016/j.geog.2019.01.004</t>
  </si>
  <si>
    <t>HN6RF</t>
  </si>
  <si>
    <t>WOS:000460312700004</t>
  </si>
  <si>
    <t>Villar-Muñoz, L; Vargas-Cordero, I; Bento, JP; Tinivella, U; Fernandoy, F; Giustiniani, M; Behrmann, JH; Calderón-Díaz, S</t>
  </si>
  <si>
    <t>Villar-Munoz, Lucia; Vargas-Cordero, Ivan; Bento, Joaquim P.; Tinivella, Umberta; Fernandoy, Francisco; Giustiniani, Michela; Behrmann, Jan H.; Calderon-Diaz, Sergio</t>
  </si>
  <si>
    <t>Gas Hydrate Estimate in an Area of Deformation and High Heat Flow at the Chile Triple Junction</t>
  </si>
  <si>
    <t>GEOSCIENCES</t>
  </si>
  <si>
    <t>BSR; gas hydrate; methane; seepage; active margin; Chile Triple Junction</t>
  </si>
  <si>
    <t>SPREADING-RIDGE SUBDUCTION; METHANE SEEPAGE AREA; ABIOTIC METHANE; SLOPE FAILURES; MARGIN; ZONE; CONCEPCION; EARTHQUAKE; SEDIMENT; OVERPRESSURE</t>
  </si>
  <si>
    <t>Large amounts of gas hydrate are present in marine sediments offshore Taitao Peninsula, near the Chile Triple Junction. Here, marine sediments on the forearc contain carbon that is converted to methane in a regime of very high heat flow and intense rock deformation above the downgoing oceanic spreading ridge separating the Nazca and Antarctic plates. This regime enables vigorous fluid migration. Here, we present an analysis of the spatial distribution, concentration, estimate of gas-phases (gas hydrate and free gas) and geothermal gradients in the accretionary prism, and forearc sediments offshore Taitao (45.5 degrees-47 degrees S). Velocity analysis of Seismic Profile RC2901-751 indicates gas hydrate concentration values &lt;10% of the total rock volume and extremely high geothermal gradients (&lt;190 degrees C.km(-1)). Gas hydrates are located in shallow sediments (90-280 m below the seafloor). The large amount of hydrate and free gas estimated (7.21 x 10(11) m(3) and 4.1 x 10(10) m(3); respectively), the high seismicity, the mechanically unstable nature of the sediments, and the anomalous conditions of the geothermal gradient set the stage for potentially massive releases of methane to the ocean, mainly through hydrate dissociation and/or migration directly to the seabed through faults. We conclude that the Chile Triple Junction is an important methane seepage area and should be the focus of novel geological, oceanographic, and ecological research.</t>
  </si>
  <si>
    <t>[Villar-Munoz, Lucia; Behrmann, Jan H.] GEOMAR Helmholtz Ctr Ocean Res, Wischhofstr 1-3, D-24148 Kiel, Germany; [Vargas-Cordero, Ivan; Fernandoy, Francisco; Calderon-Diaz, Sergio] Univ Andres Bello, Fac Ingn, Quillota 980, Vina Del Mar 2531015, Chile; [Bento, Joaquim P.] Pontificia Univ Catolica Valparaiso, Escuela Ciencias Mar, Av Altamirano 1480, Valparaiso 2340000, Chile; [Tinivella, Umberta; Giustiniani, Michela] Ist Nazl Oceanog &amp; Geofis Sperimentale OGS, Borgo Grotta Gigante 42-C, I-34010 Sgonico, Italy; [Fernandoy, Francisco] Univ Andres Bello, CIS, Republ 252, Santiago 8370134, Chile</t>
  </si>
  <si>
    <t>Helmholtz Association; GEOMAR Helmholtz Center for Ocean Research Kiel; Universidad Andres Bello; Pontificia Universidad Catolica de Valparaiso; Istituto Nazionale di Oceanografia e di Geofisica Sperimentale; Universidad Andres Bello</t>
  </si>
  <si>
    <t>Villar-Muñoz, L (corresponding author), GEOMAR Helmholtz Ctr Ocean Res, Wischhofstr 1-3, D-24148 Kiel, Germany.</t>
  </si>
  <si>
    <t>lucia.villar@gmail.com; ivan.vargas@unab.cl; jnettojunior@gmail.com; utinivella@inogs.it; francisco.fernandoy@unab.cl; mgiustiniani@inogs.it; jbehrmann@geomar.de; sergio.calderon@unab.cl</t>
  </si>
  <si>
    <t>Bento, Joaquim/ABD-5182-2021; Tinivella, Umberta/AAF-3133-2020</t>
  </si>
  <si>
    <t>Bento, Joaquim/0000-0002-4838-298X; Tinivella, Umberta/0000-0002-1588-6452; Giustiniani, Michela/0000-0002-1620-4599; Fernandoy, Francisco/0000-0003-2252-7746; Vargas Cordero, Ivan de la Cruz/0000-0002-3940-3486</t>
  </si>
  <si>
    <t>CONICYT-Fondecyt de Iniciacion [11140216]</t>
  </si>
  <si>
    <t>CONICYT-Fondecyt de Iniciacion</t>
  </si>
  <si>
    <t>This research was funded by CONICYT-Fondecyt de Iniciacion, 11140216.</t>
  </si>
  <si>
    <t>MDPI</t>
  </si>
  <si>
    <t>BASEL</t>
  </si>
  <si>
    <t>ST ALBAN-ANLAGE 66, CH-4052 BASEL, SWITZERLAND</t>
  </si>
  <si>
    <t>2076-3263</t>
  </si>
  <si>
    <t>Geosciences</t>
  </si>
  <si>
    <t>10.3390/geosciences9010028</t>
  </si>
  <si>
    <t>HM8QQ</t>
  </si>
  <si>
    <t>Green Submitted, gold, Green Accepted, Green Published</t>
  </si>
  <si>
    <t>WOS:000459746300028</t>
  </si>
  <si>
    <t>Bian, WW; Yang, TS; Ma, YM; Jin, JJ; Gao, F; Wang, S; Peng, WX; Zhang, SH; Wu, HC; Li, HY; Cao, LW; Shi, YR</t>
  </si>
  <si>
    <t>Bian, Weiwei; Yang, Tianshui; Ma, Yiming; Jin, Jingjie; Gao, Feng; Wang, Suo; Peng, Wenxiao; Zhang, Shihong; Wu, Huaichun; Li, Haiyan; Cao, Liwan; Shi, Yuruo</t>
  </si>
  <si>
    <t>Paleomagnetic and Geochronological Results From the Zhela and Weimei Formations Lava Flows of the Eastern Tethyan Himalaya: New Insights Into the Breakup of Eastern Gondwana</t>
  </si>
  <si>
    <t>JOURNAL OF GEOPHYSICAL RESEARCH-SOLID EARTH</t>
  </si>
  <si>
    <t>SOUTHERN TIBET EVIDENCE; WESTERN LHASA TERRANE; U-PB AGE; VOLCANIC-ROCKS; GREATER INDIA; 40AR/39AR GEOCHRONOLOGY; MAGNETIC-ANOMALIES; KERGUELEN HOTSPOT; SANGXIU FORMATION; PLATE-TECTONICS</t>
  </si>
  <si>
    <t>The breakup of eastern Gondwana is among the hottest topics in the Earth sciences because of its effect on global climate during the Jurassic-Cretaceous, its influence on the evolution of life, and its importance to paleogeographic reconstruction. To better constrain the Jurassic and Cretaceous paleogeographic position of the Tethyan Himalaya and the breakup of eastern Gondwana, a combined paleomagnetic and geochronological study was performed on the Zhela and Weimei Formations lava flows, dated at similar to 138-135Ma, in the Luozha area of the eastern Tethyan Himalaya. Both positive fold and reversal tests together with a maximum grouping at 100% unfolding indicate that the characteristic remanent magnetization directions are primary magnetizations acquired before folding. The tilt-corrected directions yielded a paleopole at 0.9 degrees N, 293.4 degrees E with A(95)=7.0 degrees and a corresponding paleolatitude of 53.5 degrees S7.0 degrees S for the Luozha sampling area (28.9 degrees N, 91.3 degrees E), validating that the original erupted position of the Zhela and Weimei Formations lava flows was located in the center of the Kerguelen mantle plume. Our new results, together with the published paleomagnetic, geochronological, and geochemical results, demonstrate that the Comei-Bunbury large igneous province originated from the Kerguelen mantle plume. The temporal and spatial relationships between the Comei-Bunbury large igneous province and the Kerguelen mantle plume indicate that eastern Gondwana initially rifted at similar to 147Ma and that the Indian Plate fully separated from the Australian-Antarctic Plate before similar to 124Ma.</t>
  </si>
  <si>
    <t>[Bian, Weiwei; Yang, Tianshui; Ma, Yiming; Jin, Jingjie; Gao, Feng; Wang, Suo; Peng, Wenxiao; Zhang, Shihong; Wu, Huaichun; Li, Haiyan; Cao, Liwan] China Univ Geosci, State Key Lab Biogeol &amp; Environm Geol, Beijing, Peoples R China; [Bian, Weiwei; Yang, Tianshui; Ma, Yiming; Jin, Jingjie; Gao, Feng; Wang, Suo; Peng, Wenxiao; Zhang, Shihong] China Univ Geosci, Sch Earth Sci &amp; Resources, Beijing, Peoples R China; [Ma, Yiming] Chinese Acad Sci, Guangzhou Inst Geochem, Guangzhou, Guangdong, Peoples R China; [Shi, Yuruo] Chinese Acad Geol Sci, Inst Geol, Beijing SHRIMP Ctr, Beijing, Peoples R China</t>
  </si>
  <si>
    <t>China University of Geosciences; China University of Geosciences; Chinese Academy of Sciences; Guangzhou Institute of Geochemistry, CAS; China Geological Survey; Institute of Geology, Chinese Academy of Geological Sciences; Chinese Academy of Geological Sciences</t>
  </si>
  <si>
    <t>Yang, TS (corresponding author), China Univ Geosci, State Key Lab Biogeol &amp; Environm Geol, Beijing, Peoples R China.;Yang, TS (corresponding author), China Univ Geosci, Sch Earth Sci &amp; Resources, Beijing, Peoples R China.</t>
  </si>
  <si>
    <t>yangtsh@cugb.edu.cn</t>
  </si>
  <si>
    <t>Zhang, Shihong/G-8926-2013; Wu, Huaichun/G-3111-2013; Li, Haiyan/IUO-6494-2023</t>
  </si>
  <si>
    <t>Li, Haiyan/0000-0002-6778-663X; Ma, Yiming/0000-0002-7036-7065; Wang, Suo/0000-0001-8225-0238; Shi, Yuruo/0000-0002-3406-8172; Yang, Tianshui/0000-0001-5530-0025</t>
  </si>
  <si>
    <t>National Natural Science Foundation of China [41572205, 41830215]; Fundamental Research Funds for the Central Universities [53200759223, 53200759222]</t>
  </si>
  <si>
    <t>National Natural Science Foundation of China(National Natural Science Foundation of China (NSFC)); Fundamental Research Funds for the Central Universities(Fundamental Research Funds for the Central Universities)</t>
  </si>
  <si>
    <t>We thank Editors Paul Tregoning, Douwe van Hinsbergen, and Annique van der Boon and an anonymous reviewer for constructive comments and suggestions. This research was supported by the National Natural Science Foundation of China (41572205 and 41830215) and Fundamental Research Funds for the Central Universities (53200759223 and 53200759222). We sincerely thank Chenyang Hou, Linlin Li, and Haifan Yuan for their assistance with the zircon U-Pb analysis. Readers can access our data in the supporting information (Table S1).</t>
  </si>
  <si>
    <t>AMER GEOPHYSICAL UNION</t>
  </si>
  <si>
    <t>WASHINGTON</t>
  </si>
  <si>
    <t>2000 FLORIDA AVE NW, WASHINGTON, DC 20009 USA</t>
  </si>
  <si>
    <t>2169-9313</t>
  </si>
  <si>
    <t>2169-9356</t>
  </si>
  <si>
    <t>J GEOPHYS RES-SOL EA</t>
  </si>
  <si>
    <t>J. Geophys. Res.-Solid Earth</t>
  </si>
  <si>
    <t>10.1029/2018JB016403</t>
  </si>
  <si>
    <t>HM8UT</t>
  </si>
  <si>
    <t>WOS:000459758900003</t>
  </si>
  <si>
    <t>Turner, HV; Teixeira, MAC; Methven, J; Vosper, SB</t>
  </si>
  <si>
    <t>Turner, Holly V.; Teixeira, Miguel A. C.; Methven, John; Vosper, Simon B.</t>
  </si>
  <si>
    <t>Sensitivity of the surface orographic gravity wave drag to vertical wind shear over Antarctica</t>
  </si>
  <si>
    <t>gravity wave drag; boundary-layer height; orography; vertical wind shear; Richardson number; Antarctica</t>
  </si>
  <si>
    <t>WEATHER PREDICTION MODELS; GENERAL-CIRCULATION; PARAMETRIZATION; CLIMATE; FLOW</t>
  </si>
  <si>
    <t>The effects of vertical wind shear on orographic gravity wave drag derived previously from inviscid linear theory are evaluated using reanalysis data. Emphasis is placed on the relative importance of uniform and directional shear (associated with first and second vertical derivatives of the wind velocity), which are theoretically predicted, respectively, to reduce and enhance the surface drag. Two levels at which the wind derivatives are estimated are considered for evaluating the shear corrections to the drag: a height just above the parametrized boundary-layer height (BLH) in the ECMWF model, and a height of order the standard deviation of the subgrid-scale orography elevation (SDH), adopted by previous authors. A climatology of the Richardson number (Ri) computed for the decade 2006-2015 suggests that the Antarctic region has a high incidence of low Ri values, implying high shear conditions. Shear estimated at the BLH has a relatively modest impact on the drag, whereas shear estimated at the SDH has a stronger impact. Predicted drag enhancement is more widespread than drag reduction because terms involving second wind derivatives dominate the drag correction for a larger fraction of the time than terms involving first derivatives. A comparison of climatologies of the drag corrections for horizontally elliptical mountains (which represent anisotropic subgrid-scale orography in parametrizations) and axisymmetric mountains always results in drag enhancement over Antarctica, with a maximum during the JJA season, showing qualitative robustness to both calculation height and orography anisotropy. However, this enhancement is smaller when using elliptical instead of axisymmetric orography. This is because the shear vector is predominantly oriented along mountain ridges rather than across them when the orography is anisotropic.</t>
  </si>
  <si>
    <t>[Turner, Holly V.; Teixeira, Miguel A. C.; Methven, John] Univ Reading, Dept Meteorol, Earley Gate 243, Reading RG6 6BB, Berks, England; [Vosper, Simon B.] Met Off, Exeter, Devon, England</t>
  </si>
  <si>
    <t>University of Reading; Met Office - UK</t>
  </si>
  <si>
    <t>Turner, HV (corresponding author), Univ Reading, Dept Meteorol, Earley Gate 243, Reading RG6 6BB, Berks, England.</t>
  </si>
  <si>
    <t>h.v.turner@pgr.reading.ac.uk</t>
  </si>
  <si>
    <t>Methven, John/AAD-8972-2020; Teixeira, Miguel A. C./B-7002-2008</t>
  </si>
  <si>
    <t>Methven, John/0000-0002-7636-6872; Teixeira, Miguel A. C./0000-0003-1205-3233; Vosper, Simon/0000-0002-1117-4351; Turner, Holly/0000-0002-7989-9762</t>
  </si>
  <si>
    <t>NERC [NE/L0025666/1]</t>
  </si>
  <si>
    <t>NERC under PhD studentship NE/L0025666/1,</t>
  </si>
  <si>
    <t>A</t>
  </si>
  <si>
    <t>10.1002/qj.3416</t>
  </si>
  <si>
    <t>HN0GC</t>
  </si>
  <si>
    <t>WOS:000459863300012</t>
  </si>
  <si>
    <t>Zhao, ZJ; Oliver, ECJ; Ballestero, D; Vargas-Hernandez, JM; Holbrook, NJ</t>
  </si>
  <si>
    <t>Zhao, Zijie; Oliver, Eric C. J.; Ballestero, Daniel; Mauro Vargas-Hernandez, Jose; Holbrook, Neil J.</t>
  </si>
  <si>
    <t>Influence of the Madden-Julian oscillation on Costa Rican mid-summer drought timing</t>
  </si>
  <si>
    <t>INTERNATIONAL JOURNAL OF CLIMATOLOGY</t>
  </si>
  <si>
    <t>Costa Rica; Madden-Julian oscillation; mid-summer drought</t>
  </si>
  <si>
    <t>INTERANNUAL VARIABILITY; MJO PREDICTION; CIRCULATION; CLIMATE; ANOMALIES</t>
  </si>
  <si>
    <t>The Central American mid-summer drought (MSD) is the decline of precipitation during the middle of the wet season (July and August) over Central America and southern Mexico. It affects agriculture and favours the initiation of bushfires in Costa Rica's national parks, particularly during El Nino years. The MSD is a seasonal phenomenon that varies in intensity and timing inter-annually. The Madden-Julian oscillation (MJO) has been shown to influence Costa Rican rainfall on intra-seasonal time scales, and therefore may be important to the MSD. In this study we use rainfall data from seven stations in Costa Rica to analyse the MJO's influence on the timing of the onset and end of the MSD. We find that the MSD is more likely to start and end in MJO Phases 1 and 8, respectively. Our findings indicate enhanced MSD predictability on intra-seasonal time scales, which could be beneficial to agricultural planning in Costa Rica.</t>
  </si>
  <si>
    <t>[Zhao, Zijie; Oliver, Eric C. J.; Holbrook, Neil J.] Univ Tasmania, Inst Marine &amp; Antarctic Studies, Hobart, Tas, Australia; [Zhao, Zijie; Oliver, Eric C. J.] Univ Tasmania, Australian Res Council Ctr Excellence Climate Sys, Hobart, Tas, Australia; [Zhao, Zijie] Ocean Univ China, Coll Ocean &amp; Atmospher Sci, Qingdao, Peoples R China; [Oliver, Eric C. J.] Dalhousie Univ, Dept Oceanog, Halifax, NS, Canada; [Ballestero, Daniel; Mauro Vargas-Hernandez, Jose] Univ Nacl, Dept Fis, Heredia, Costa Rica; [Holbrook, Neil J.] Univ Tasmania, Australian Res Council Ctr Excellence Climate Ext, Hobart, Tas, Australia</t>
  </si>
  <si>
    <t>University of Tasmania; University of Tasmania; Ocean University of China; Dalhousie University; Universidad Nacional Costa Rica; University of Tasmania</t>
  </si>
  <si>
    <t>Zhao, ZJ (corresponding author), Univ Tasmania, Inst Marine &amp; Antarctic Studies, Hobart, Tas, Australia.</t>
  </si>
  <si>
    <t>zijiezhaomj@gmail.com</t>
  </si>
  <si>
    <t>Zhao, Zijie/U-7412-2019; Holbrook, Neil/M-7544-2013; Oliver, Eric/G-5118-2014</t>
  </si>
  <si>
    <t>Holbrook, Neil/0000-0002-3523-6254; Zhao, Zijie/0000-0003-3403-878X; Vargas-Hernandez, Jose Mauro/0000-0002-7014-7054; Oliver, Eric/0000-0002-4006-2826</t>
  </si>
  <si>
    <t>Australian Research Council Centre of Excellence for Climate System Science [CE110001028]</t>
  </si>
  <si>
    <t>Australian Research Council Centre of Excellence for Climate System Science(Australian Research Council)</t>
  </si>
  <si>
    <t>Australian Research Council Centre of Excellence for Climate System Science, Grant/Award Number: CE110001028</t>
  </si>
  <si>
    <t>0899-8418</t>
  </si>
  <si>
    <t>1097-0088</t>
  </si>
  <si>
    <t>INT J CLIMATOL</t>
  </si>
  <si>
    <t>Int. J. Climatol.</t>
  </si>
  <si>
    <t>10.1002/joc.5806</t>
  </si>
  <si>
    <t>HM7DV</t>
  </si>
  <si>
    <t>WOS:000459638400022</t>
  </si>
  <si>
    <t>Yurova, A; Bobylev, LP; Zhu, YL; Davy, R; Korzhikov, AY</t>
  </si>
  <si>
    <t>Yurova, Alla; Bobylev, Leonid P.; Zhu, Yali; Davy, Richard; Korzhikov, Alexander Ya</t>
  </si>
  <si>
    <t>Atmospheric heat advection in the Kara Sea region under main synoptic processes</t>
  </si>
  <si>
    <t>atmospheric circulation; heat advection; Kara Sea; sensible heat flux; subjective manual weather classification</t>
  </si>
  <si>
    <t>SINGULAR SPECTRUM ANALYSIS; CIRCULATION TYPES; ICE; VARIABILITY</t>
  </si>
  <si>
    <t>Atmospheric studies document both a periodic variability in the winter temperatures in the Kara Sea region related to internal Arctic climate variability and a recent trend of winter warmingone of the strongest warming trends in the whole Arctic. This study aims to analyse side by side with other energy budget terms the contribution of horizontal heat and moisture advection to the observed recent warming. The atmospheric energy budget terms vertically integrated from the surface up to 500hPa are estimated using the ERA-Interim reanalysis for the period 1979-2014. The core of this study is to relate variability and changes in heat fluxes in the Kara Sea region to synoptic-scale processes using the Russian weather-type classification system. Singular spectrum analysis is applied to the heat flux data which were previously stratified into changes due to changes in frequency and due to changes in amplitude. We have shown that the multi-decadal variations in the horizontal heat advection (now on a rising phase) are comparable to the positive trend in the turbulent heat fluxes due to sea ice reduction, although relatively weaker. We have also found that the changes in sensible heat flux (a constant increase in the first principal component since 1999) is a general regional feature and not related to any weather pattern, while the changes in horizontal heat advection are clearly related to the changes in frequency of the weather type A (characterized by a low-pressure system in the central Arctic surrounded by high pressure in the continents, winds of S, S-W direction and a positive horizontal heat advection and surface temperature anomaly over the Kara Sea) which are periodic in nature with a period of about 22years. In recent years (at least until 2012) not only is warm air advection, associated with A type, more frequent, but it also brings much more energy from the continent to the Kara Sea compared to the reference period (1980-1990). This is most probably related to the increase in the radiatively forced surface air temperature at the source.</t>
  </si>
  <si>
    <t>[Yurova, Alla] St Petersburg State Univ, Inst Earth Sci, Univ Skaya Nab 7-9, St Petersburg 199034, Russia; [Yurova, Alla; Bobylev, Leonid P.] Nansen Int Environm &amp; Remote Sensing Ctr, St Petersburg, Russia; [Zhu, Yali] Chinese Acad Sci, Inst Amtospher Phys, Nansen Zhu Int Res Ctr, Beijing, Peoples R China; [Davy, Richard] Nansen Environm &amp; Remote Sensing Ctr, Bergen, Norway; [Korzhikov, Alexander Ya] Arctic &amp; Antarctic Res Inst, St Petersburg, Russia</t>
  </si>
  <si>
    <t>Saint Petersburg State University; Nansen Environmental &amp; Remote Sensing Center (NERSC); Chinese Academy of Sciences; Nansen Environmental &amp; Remote Sensing Center (NERSC); Arctic &amp; Antarctic Research Institute</t>
  </si>
  <si>
    <t>Yurova, A (corresponding author), St Petersburg State Univ, Inst Earth Sci, Univ Skaya Nab 7-9, St Petersburg 199034, Russia.</t>
  </si>
  <si>
    <t>alla.yurova@spbu.ru</t>
  </si>
  <si>
    <t>Davy, Richard/GWC-5040-2022; Davy, Richard/AAK-9303-2021; Bobylev, Leonid/L-4816-2017; Davy, Richard/H-8387-2016; Yurova, Alla/A-5767-2014</t>
  </si>
  <si>
    <t>Davy, Richard/0000-0001-9639-5980; Davy, Richard/0000-0001-9639-5980; Yurova, Alla/0000-0001-6199-414X</t>
  </si>
  <si>
    <t>Russian Fund for Basic Research [16-55-53031]; Russian Science Foundation [17-17-01151]; Russian Science Foundation [17-17-01151] Funding Source: Russian Science Foundation</t>
  </si>
  <si>
    <t>Russian Fund for Basic Research(Russian Foundation for Basic Research (RFBR)); Russian Science Foundation(Russian Science Foundation (RSF)); Russian Science Foundation(Russian Science Foundation (RSF))</t>
  </si>
  <si>
    <t>Russian Fund for Basic Research, Grant/Award Number: 16-55-53031; Russian Science Foundation, Grant/Award Number: 17-17-01151</t>
  </si>
  <si>
    <t>10.1002/joc.5811</t>
  </si>
  <si>
    <t>WOS:000459638400027</t>
  </si>
  <si>
    <t>Bhushan, B; Yadav, AP; Singh, SB; Ganju, L</t>
  </si>
  <si>
    <t>Bhushan, Brij; Yadav, A. P.; Singh, S. B.; Ganju, L.</t>
  </si>
  <si>
    <t>Diversity and functional analysis of salivary microflora of Indian Antarctic expeditionaries</t>
  </si>
  <si>
    <t>JOURNAL OF ORAL MICROBIOLOGY</t>
  </si>
  <si>
    <t>Antarctica; stress; oral microbiota; saliva; metagenome; metabolism</t>
  </si>
  <si>
    <t>ORAL LACTOBACILLI; DENTAL-CARIES; SPACE ANALOG; MICROBIOTA; STRESS; HEALTH; STREPTOCOCCUS; ASSOCIATIONS; ENTEROCOCCI; NUTRITION</t>
  </si>
  <si>
    <t>Introduction: The human oral microbiota continues to change phenotype by many factors (environment, diet, genetics, stress, etc.), throughout life with a major impact on human physiology, psychology, metabolism and immune system. Amongst one such factor with unique and extreme environmental conditions is Antarctica. The sea voyage to Antarctica has many risks than at station for expedition members. In this study, we investigated the influence of Antarctic sea voyage and stay at the Indian Antarctic station Maitri, on the health of Indian expedition members by using a metagenomic approach to explore oral biodiversity. Methods: Saliva samples were collected from 12 expedition members, at 3 different time points viz. before the start of the ship voyage, after the completion of the voyage and at the end of the stay at Antarctica. Samples were analyzed for whole genome and 16S rRNA sequencing. Result: The oral microbial diversity of the expedition members was significantly changed, during the days of sailing and after the stay at Antarctica. The oral microbiota comprised mainly of the phyla Firmicutes (46%, 29% &amp; 36%); Proteobacteria (40%, 48%, &amp; 44%), Bacteroidetes (10%, 22%, &amp;14%), Fusobacterium and Actinobacteria (5%-1%) and Unclassified (17%, 25% &amp; 23%), at three time points, respectively. Further, the differential analysis of microbes across all the phyla revealed 89, 157 and 157 OTUs genera. The altered microbiota indicated changes in amino acid, lipid and carbohydrate metabolism. Conclusion: Study suggests that understanding the compositional and functional differences in the oral microbiota of Antarctic expedition members, can lay the foundation to relate these differences to their health status. It will further demonstrate the need for providing improved management during ship voyage and stay in Antarctica.</t>
  </si>
  <si>
    <t>[Bhushan, Brij; Yadav, A. P.; Singh, S. B.; Ganju, L.] DIPAS, DRDO, Lucknow Rd, New Delhi 110054, India</t>
  </si>
  <si>
    <t>Defence Research &amp; Development Organisation (DRDO); Defence Institute of Physiology &amp; Allied Sciences (DIPAS)</t>
  </si>
  <si>
    <t>Ganju, L (corresponding author), DIPAS, DRDO, Lucknow Rd, New Delhi 110054, India.</t>
  </si>
  <si>
    <t>lilly.ganju65@gmail.com</t>
  </si>
  <si>
    <t>Bhushan, Brij/GNP-7700-2022</t>
  </si>
  <si>
    <t>Bhushan, Brij/0000-0003-4036-5816</t>
  </si>
  <si>
    <t>2000-2297</t>
  </si>
  <si>
    <t>J ORAL MICROBIOL</t>
  </si>
  <si>
    <t>J. Oral Microbiology</t>
  </si>
  <si>
    <t>10.1080/20002297.2019.1581513</t>
  </si>
  <si>
    <t>Microbiology</t>
  </si>
  <si>
    <t>HM9FF</t>
  </si>
  <si>
    <t>WOS:000459787600001</t>
  </si>
  <si>
    <t>Perkins-Kirkpatrick, SE; King, AD; Cougnon, EA; Grose, MR; Oliver, ECJ; Holbrook, NJ; Lewis, SC; Pourasghar, F</t>
  </si>
  <si>
    <t>Perkins-Kirkpatrick, S. E.; King, A. D.; Cougnon, E. A.; Grose, M. R.; Oliver, E. C. J.; Holbrook, N. J.; Lewis, S. C.; Pourasghar, F.</t>
  </si>
  <si>
    <t>THE ROLE OF NATURAL VARIABILITY AND ANTHROPOGENIC CLIMATE CHANGE IN THE 2017/18 TASMAN SEA MARINE HEATWAVE</t>
  </si>
  <si>
    <t>BULLETIN OF THE AMERICAN METEOROLOGICAL SOCIETY</t>
  </si>
  <si>
    <t>RECORD; TEMPERATURE; ATTRIBUTION; CMIP5</t>
  </si>
  <si>
    <t>[Perkins-Kirkpatrick, S. E.] Univ New South Wales, Climate Change Res Ctr, Sydney, NSW, Australia; [Perkins-Kirkpatrick, S. E.] Univ New South Wales, ARC Ctr Excellence Climate Syst Sci, Sydney, NSW, Australia; [King, A. D.; Lewis, S. C.] Univ Melbourne, ARC Ctr Excellence Climate Syst Sci, Melbourne, Australia; [King, A. D.] Univ Melbourne, Sch Earth Sci, Melbourne, Vic, Australia; [Cougnon, E. A.; Holbrook, N. J.; Pourasghar, F.] Univ Tasmania, Inst Marine &amp; Antarctic Studies, Hobart, Tas, Australia; [Cougnon, E. A.; Holbrook, N. J.] Univ Tasmania, ARC Ctr Excellence Climate Extremes, Hobart, Tas, Australia; [Grose, M. R.] CSIRO Oceans &amp; Atmosphere, Hobart, Tas, Australia; [Oliver, E. C. J.] Dalhousie Univ, Dept Oceanog, Halifax, NS, Canada; [Lewis, S. C.] Australian Natl Univ, Canberra, ACT, Australia; [Pourasghar, F.] Univ Tasmania, ARC Ctr Excellence Climate Syst Sci, Hobart, Tas, Australia</t>
  </si>
  <si>
    <t>University of New South Wales Sydney; University of New South Wales Sydney; ARC Centre of Excellence for Climate System Science; University of Melbourne; University of Melbourne; Melbourne Bioinformatics; University of Tasmania; University of Tasmania; Commonwealth Scientific &amp; Industrial Research Organisation (CSIRO); Dalhousie University; Australian National University; University of Tasmania; ARC Centre of Excellence for Climate System Science</t>
  </si>
  <si>
    <t>Perkins-Kirkpatrick, SE (corresponding author), Univ New South Wales, Climate Change Res Ctr, Sydney, NSW, Australia.;Perkins-Kirkpatrick, SE (corresponding author), Univ New South Wales, ARC Ctr Excellence Climate Syst Sci, Sydney, NSW, Australia.</t>
  </si>
  <si>
    <t>kirkpatrick@unsw.edu.au</t>
  </si>
  <si>
    <t>King, Andrew/AAS-4216-2021; Cougnon, Eva/C-4110-2014; Perkins-Kirkpatrick, Sarah E/O-5042-2015; Grose, Michael/AAV-1119-2021; King, Andrew/AFK-4420-2022; Lewis, Sophie/H-4968-2011; Holbrook, Neil/M-7544-2013; Oliver, Eric/G-5118-2014</t>
  </si>
  <si>
    <t>King, Andrew/0000-0001-9006-5745; Lewis, Sophie/0000-0001-6416-0634; Perkins-Kirkpatrick, Sarah/0000-0001-9443-4915; Holbrook, Neil/0000-0002-3523-6254; Oliver, Eric/0000-0002-4006-2826</t>
  </si>
  <si>
    <t>Australian Research Council (ARC) Future Fellowship [FT170100106]; ARC Centre of Excellence for Climate System Science [CE110001028]; ARC DECRA [DE160100092, DE 180100638]; Australian Government's National Environmental Science Program under the Earth Systems and Climate Change Hub; ARC Centre of Excellence for Climate Extremes [CE170100023]</t>
  </si>
  <si>
    <t>Australian Research Council (ARC) Future Fellowship(Australian Research Council); ARC Centre of Excellence for Climate System Science(Australian Research Council); ARC DECRA(Australian Research Council); Australian Government's National Environmental Science Program under the Earth Systems and Climate Change Hub(Australian Government); ARC Centre of Excellence for Climate Extremes</t>
  </si>
  <si>
    <t>S.E.P.-K. is supported by an Australian Research Council (ARC) Future Fellowship (Grant FT170100106). A.D.K. is supported by the ARC Centre of Excellence for Climate System Science (Grant CE110001028) and ARC DECRA (Grant DE 180100638). S.C.L is supported by an ARC DECRA (Grant DE160100092). F.P is grateful for support from the ARC Centre of Excellence for Climate System Science (Grant CE110001028). E.A.C. and M.R.G are supported by the Australian Government's National Environmental Science Program under the Earth Systems and Climate Change Hub. N.J.H. acknowledges funding from the ARC Centre of Excellence for Climate Extremes (Grant CE170100023).</t>
  </si>
  <si>
    <t>AMER METEOROLOGICAL SOC</t>
  </si>
  <si>
    <t>BOSTON</t>
  </si>
  <si>
    <t>45 BEACON ST, BOSTON, MA 02108-3693 USA</t>
  </si>
  <si>
    <t>0003-0007</t>
  </si>
  <si>
    <t>1520-0477</t>
  </si>
  <si>
    <t>B AM METEOROL SOC</t>
  </si>
  <si>
    <t>Bull. Amer. Meteorol. Soc.</t>
  </si>
  <si>
    <t>S105</t>
  </si>
  <si>
    <t>S110</t>
  </si>
  <si>
    <t>10.1175/BAMS-D-18-0116.1</t>
  </si>
  <si>
    <t>HM8WK</t>
  </si>
  <si>
    <t>Green Accepted, Bronze, Green Published</t>
  </si>
  <si>
    <t>WOS:000459763500025</t>
  </si>
  <si>
    <t>Claudino-Sales, V</t>
  </si>
  <si>
    <t>ClaudinoSales, V</t>
  </si>
  <si>
    <t>Claudino-Sales, Vanda</t>
  </si>
  <si>
    <t>Heard and McDonald Islands, Australia</t>
  </si>
  <si>
    <t>COASTAL WORLD HERITAGE SITES</t>
  </si>
  <si>
    <t>Coastal Research Library</t>
  </si>
  <si>
    <t>The volcanically active islands of Heard and McDonald are in the Southern Ocean, 1700 km. from the Antarctic continent, as part of Australian territory. They are one of the most pristine ecosystems in the world, with complete absence of alien animal and vegetal species and with minimal impact from human activities, As the only volcanic active subantarctic islands, they provide good examples of ongoing tectonic activity, offering a view of plume volcanism, giving direct geological evidence of the action of the longest operational plume system known in the world. The islands also furnish crucial habitat for large populations of marine birds and mammals, and their endemic species demonstrate ongoing evolutionary processes.</t>
  </si>
  <si>
    <t>[Claudino-Sales, Vanda] Fed Univ Ceara State, Fortaleza, Ceara, Brazil</t>
  </si>
  <si>
    <t>Universidade Federal do Ceara</t>
  </si>
  <si>
    <t>Claudino-Sales, V (corresponding author), Fed Univ Ceara State, Fortaleza, Ceara, Brazil.</t>
  </si>
  <si>
    <t>2211-0577</t>
  </si>
  <si>
    <t>2211-0585</t>
  </si>
  <si>
    <t>978-94-024-1528-5; 978-94-024-1526-1</t>
  </si>
  <si>
    <t>COAST RES LIBR</t>
  </si>
  <si>
    <t>10.1007/978-94-024-1528-5_63</t>
  </si>
  <si>
    <t>10.1007/978-94-024-1528-5</t>
  </si>
  <si>
    <t>Environmental Sciences; Environmental Studies; Geosciences, Multidisciplinary; Hospitality, Leisure, Sport &amp; Tourism</t>
  </si>
  <si>
    <t>Environmental Sciences &amp; Ecology; Geology; Social Sciences - Other Topics</t>
  </si>
  <si>
    <t>BL8KD</t>
  </si>
  <si>
    <t>WOS:000456549800064</t>
  </si>
  <si>
    <t>Macquarie Island, Australia</t>
  </si>
  <si>
    <t>COMPLEX</t>
  </si>
  <si>
    <t>Macquarie Island lies 1500 kin southeast of Tasmania, halfway between Australia and the Antarctic continent, It is the only place on Earth where rocks from the Earth's mantle are being actively exposed above sea level. Its unique exposures include active faults, examples of pillow basalts and other extrusive rocks, all geological evidence for seafloor spreading, and continental drift,. It provides a unique opportunity to study, in detail, geological features and processes of oceanic crust formation and plate boundary dynamics. In addition, its remote and windswept landscape of steep escarpments, lakes, and dramatic changes in vegetation provides an outstanding spectacle of wild, natural beauty complemented by vast congregations of wildlife.</t>
  </si>
  <si>
    <t>10.1007/978-94-024-1528-5_64</t>
  </si>
  <si>
    <t>WOS:000456549800065</t>
  </si>
  <si>
    <t>Tang, J; Du, LM; Liang, YM; Daroch, M</t>
  </si>
  <si>
    <t>Tang, Jie; Du, Lian-Ming; Liang, Yuan-Mei; Daroch, Maurycy</t>
  </si>
  <si>
    <t>Complete Genome Sequence and Comparative Analysis of Synechococcus sp. CS-601 (SynAce01), a Cold-Adapted Cyanobacterium from an Oligotrophic Antarctic Habitat</t>
  </si>
  <si>
    <t>INTERNATIONAL JOURNAL OF MOLECULAR SCIENCES</t>
  </si>
  <si>
    <t>Synechococcus; psychrotroph; comparative genomics; cold adaptation; salinity adaptation; oligotrophic environment; Antarctica; high latitudes; cryosphere</t>
  </si>
  <si>
    <t>16S RIBOSOMAL-RNA; PHYLOGENETIC DIVERSITY; WEB TOOL; GENES; TRANSPORTER; PICOCYANOBACTERIA; STRAINS; IDENTIFICATION; ANNOTATION; COMPONENTS</t>
  </si>
  <si>
    <t>Marine picocyanobacteria belonging to Synechococcus are major contributors to the global carbon cycle, however the genomic information of its cold-adapted members has been lacking to date. To fill this void the genome of a cold-adapted planktonic cyanobacterium Synechococcus sp. CS-601 (SynAce01) has been sequenced. The genome of the strain contains a single chromosome of approximately 2.75 MBp and GC content of 63.92%. Gene prediction yielded 2984 protein coding sequences and 44 tRNA genes. The genome contained evidence of horizontal gene transfer events during its evolution. CS-601 appears as a transport generalist with some specific adaptation to an oligotrophic marine environment. It has a broad repertoire of transporters of both inorganic and organic nutrients to survive in inhospitable environments. The cold adaptation of the strain exhibited characteristics of a psychrotroph rather than psychrophile. Its salt adaptation strategy is likely to rely on the uptake and synthesis of osmolytes, like glycerol or glycine betaine. Overall, the genome reveals two distinct patterns of adaptation to the inhospitable environment of Antarctica. Adaptation to an oligotrophic marine environment is likely due to an abundance of genes, probably acquired horizontally, that are associated with increased transport of nutrients, osmolytes, and light harvesting. On the other hand, adaptations to low temperatures are likely due to prolonged evolutionary changes.</t>
  </si>
  <si>
    <t>[Tang, Jie; Du, Lian-Ming] Chengdu Univ, Sch Pharm &amp; Biol Engn, Minist Agr &amp; Rural Affairs, Key Lab Coarse Cereal Proc, Chengdu 610106, Sichuan, Peoples R China; [Tang, Jie] Shenzhen Aone Med Lab Co Ltd, Shenzhen 518107, Peoples R China; [Liang, Yuan-Mei; Daroch, Maurycy] Peking Univ, Shenzhen Grad Sch, Sch Environm &amp; Energy, Shenzhen 518055, Peoples R China</t>
  </si>
  <si>
    <t>Ministry of Agriculture &amp; Rural Affairs; Chengdu University; Peking University</t>
  </si>
  <si>
    <t>Daroch, M (corresponding author), Peking Univ, Shenzhen Grad Sch, Sch Environm &amp; Energy, Shenzhen 518055, Peoples R China.</t>
  </si>
  <si>
    <t>tangjie@cdu.edu.cn; dulianming@cdu.edu.cn; lym@sz.pku.edu.cn; m.daroch@pkusz.edu.cn</t>
  </si>
  <si>
    <t>Daroch, Maurycy/GPS-6211-2022; liang, yuanmei/HMV-1137-2023; Daroch, Maurycy/AAM-7825-2021</t>
  </si>
  <si>
    <t>Daroch, Maurycy/0000-0002-8183-8854; liang, yuanmei/0000-0003-2696-3377; Daroch, Maurycy/0000-0002-8183-8854; Tang, Jie/0000-0002-8973-5200</t>
  </si>
  <si>
    <t>Chengdu University, China [2081917012]</t>
  </si>
  <si>
    <t>Chengdu University, China</t>
  </si>
  <si>
    <t>This research was supported by a startup fund to Jie Tang from Chengdu University, China (2081917012).</t>
  </si>
  <si>
    <t>1422-0067</t>
  </si>
  <si>
    <t>INT J MOL SCI</t>
  </si>
  <si>
    <t>Int. J. Mol. Sci.</t>
  </si>
  <si>
    <t>10.3390/ijms20010152</t>
  </si>
  <si>
    <t>Biochemistry &amp; Molecular Biology; Chemistry, Multidisciplinary</t>
  </si>
  <si>
    <t>Biochemistry &amp; Molecular Biology; Chemistry</t>
  </si>
  <si>
    <t>HM8RD</t>
  </si>
  <si>
    <t>WOS:000459747700152</t>
  </si>
  <si>
    <t>Feuerecker, M; Crucian, BE; Quintens, R; Buchheim, JI; Salam, AP; Rybka, A; Moreels, M; Strewe, C; Stowe, R; Mehta, S; Schelling, G; Thiel, M; Baatout, S; Sams, C; Choukèr, A</t>
  </si>
  <si>
    <t>Feuerecker, Matthias; Crucian, Brian E.; Quintens, Roel; Buchheim, Judith-Irina; Salam, Alex P.; Rybka, Ales; Moreels, Marjan; Strewe, Claudia; Stowe, Raymond; Mehta, Satish; Schelling, Gustav; Thiel, Manfred; Baatout, Sarah; Sams, Clarence; Chouker, Alexander</t>
  </si>
  <si>
    <t>Immune sensitization during 1year in the Antarctic high-altitude Concordia Environment</t>
  </si>
  <si>
    <t>ALLERGY</t>
  </si>
  <si>
    <t>Antarctica; basic mechanisms; exvivo immune test; immune stimulation; T cells</t>
  </si>
  <si>
    <t>T-LYMPHOCYTE ATTENUATOR; POLYMORPHONUCLEAR LEUKOCYTES; CYTOKINE PRODUCTION; GENE-EXPRESSION; HUMAN MONOCYTES; HYPOXIA; ADENOSINE; RECEPTOR; SYSTEM; DISEASE</t>
  </si>
  <si>
    <t>BackgroundAntarctica is a challenging environment for humans. It serves as a spaceflight ground analog, reflecting some conditions of long-duration exploration class space missions. The French-Italian Concordia station in interior Antarctica is a high-fidelity analog, located 1000km from the coast, at an altitude of 3232m. The aim of this field study was to characterize the extent, dynamics, and key mechanisms of the immune adaptation in humans overwintering at Concordia for 1year. MethodsThis study assessed immune functions in fourteen crewmembers. Quantitative and phenotypic analyses from human blood were performed using onsite flow cytometry together with specific tests on receptor-dependent and receptor-independent functional innate and adaptive immune responses. Transcriptome analyses and quantitative identification of key response genes were assessed. ResultsDynamic immune activation and a two-step escalation/activation pattern were observed. The early phase was characterized by moderately sensitized global immune responses, while after 3-4months, immune responses were highly upregulated. The cytokine responses to an exvivo stimulation were markedly raised above baseline levels. These functional observations were reflected at the gene transcriptional level in particular through the modulation of hypoxia-driven pathways. ConclusionsThis study revealed unique insights into the extent, dynamics, and genetics of immune dysfunctions in humans exposed for 1year to the Antarctic environment at the Concordia station. The scale of immune function was imbalanced toward a sensitizing of inflammatory pathways.</t>
  </si>
  <si>
    <t>[Feuerecker, Matthias; Buchheim, Judith-Irina; Strewe, Claudia; Schelling, Gustav; Chouker, Alexander] Ludwig Maximilians Univ Munchen, Dept Anaesthesiol, Lab Translat Res Stress &amp; Immun, Univ Hosp, Marchioninistr 15, D-81377 Munich, Germany; [Crucian, Brian E.; Mehta, Satish; Sams, Clarence] NASA, Johnson Space Ctr, Houston, TX USA; [Quintens, Roel; Moreels, Marjan; Baatout, Sarah] Belgian Nucl Res Ctr SCK CEN, Radiobiol Unit, Mol, Belgium; [Salam, Alex P.; Rybka, Ales] IPEV PNRA ESA Antarctic Program, Dome C, Antarctica, Belgium; [Stowe, Raymond] Microgen Labs, Houston, TX USA; [Thiel, Manfred] Heidelberg Univ, Med Fac Mannheim, Dept Anaesthesiol &amp; Intens Care, Mannheim, Germany</t>
  </si>
  <si>
    <t>University of Munich; National Aeronautics &amp; Space Administration (NASA); Belgian Nuclear Research Centre (SCK CEN); Ruprecht Karls University Heidelberg</t>
  </si>
  <si>
    <t>Choukèr, A (corresponding author), Ludwig Maximilians Univ Munchen, Dept Anaesthesiol, Lab Translat Res Stress &amp; Immun, Univ Hosp, Marchioninistr 15, D-81377 Munich, Germany.</t>
  </si>
  <si>
    <t>alexander.chouker@med.uni-muenchen.de</t>
  </si>
  <si>
    <t>Quintens, Roel/G-5339-2017; Schelling, Gustav/U-2603-2018</t>
  </si>
  <si>
    <t>Quintens, Roel/0000-0002-4359-3403; Schelling, Gustav/0000-0002-6538-0652; Rybka, Ales/0000-0001-6402-6785; Baatout, Sarah/0000-0001-8110-751X</t>
  </si>
  <si>
    <t>European Space Agency (ESA ELIPS 3 program); NASA Human Research Program, Health and Human Countermeasures Element; French (IPEV) polar institute; Italian (PNRA) polar institute; Belgian Science Policy Office (ESA/PRODEX IMPULSE) [42-000-90-380, C4000109861]; German National Space Program (DLR) on behalf of the German Ministry of Economics and Energy (BWMi) [50-WB0719, WB0919, WB1319, WB1622]; European Space Agency (ESA ELIPS 4 program)</t>
  </si>
  <si>
    <t>European Space Agency (ESA ELIPS 3 program); NASA Human Research Program, Health and Human Countermeasures Element; French (IPEV) polar institute; Italian (PNRA) polar institute; Belgian Science Policy Office (ESA/PRODEX IMPULSE); German National Space Program (DLR) on behalf of the German Ministry of Economics and Energy (BWMi); European Space Agency (ESA ELIPS 4 program)</t>
  </si>
  <si>
    <t>The authors are grateful to the support from the European Space Agency (ESA ELIPS 3 and 4 programs), the NASA Human Research Program, Health and Human Countermeasures Element, the French (IPEV) and Italian (PNRA) polar institutes, the Belgian Science Policy Office (grant no. 42-000-90-380, C4000109861 ESA/PRODEX IMPULSE contract), and the German National Space Program (DLR) on behalf of the German Ministry of Economics and Energy (BWMi) (grant numbers 50-WB0719, WB0919, WB1319, and WB1622).</t>
  </si>
  <si>
    <t>0105-4538</t>
  </si>
  <si>
    <t>1398-9995</t>
  </si>
  <si>
    <t>Allergy</t>
  </si>
  <si>
    <t>10.1111/all.13545</t>
  </si>
  <si>
    <t>Allergy; Immunology</t>
  </si>
  <si>
    <t>HM7MX</t>
  </si>
  <si>
    <t>WOS:000459664100007</t>
  </si>
  <si>
    <t>Ciezarek, AG; Osborne, OG; Shipley, ON; Brooks, EJ; Tracey, SR; McAllister, JD; Gardner, LD; Sternberg, MJE; Block, B; Savolainen, V</t>
  </si>
  <si>
    <t>Ciezarek, Adam G.; Osborne, Owen G.; Shipley, Oliver N.; Brooks, Edward J.; Tracey, Sean R.; McAllister, Jaime D.; Gardner, Luke D.; Sternberg, Michael J. E.; Block, Barbara; Savolainen, Vincent</t>
  </si>
  <si>
    <t>Phylotranscriptomic Insights into the Diversification of Endothermic Thunnus Tunas</t>
  </si>
  <si>
    <t>MOLECULAR BIOLOGY AND EVOLUTION</t>
  </si>
  <si>
    <t>endothermy; thermogenesis; phylogenomics; RNA-sequencing; transcriptomics; introgression; positive selection; mitochondrial-nuclear discordance</t>
  </si>
  <si>
    <t>BROWN ADIPOSE-TISSUE; PACIFIC BLUEFIN TUNA; PHYLOGENETIC ANALYSIS; GENE TREES; NUCLEAR INTROGRESSION; MUSCLE TEMPERATURES; CONCATENATED DATA; METABOLIC-RATE; BIGEYE TUNA; MITOCHONDRIAL</t>
  </si>
  <si>
    <t>Birds, mammals, and certain fishes, including tunas, opahs and lamnid sharks, are endothermic, conserving internally generated, metabolic heat to maintain body or tissue temperatures above that of the environment. Bluefin tunas are commercially important fishes worldwide, and some populations are threatened. They are renowned for their endothermy, maintaining elevated temperatures of the oxidative locomotor muscle, viscera, brain and eyes, and occupying cold, productive high-latitude waters. Less cold-tolerant tunas, such as yellowfin tuna, by contrast, remain in warm-temperate to tropical waters year-round, reproducing more rapidly than most temperate bluefin tuna populations, providing resiliency in the face of large-scale industrial fisheries. Despite the importance of these traits to not only fisheries but also habitat utilization and responses to climate change, little is known of the genetic processes underlying the diversification of tunas. In collecting and analyzing sequence data across 29,556 genes, we found that parallel selection on standing genetic variation is associated with the evolution of endothermy in bluefin tunas. This includes two shared substitutions in genes encoding glycerol-3 phosphate dehydrogenase, an enzyme that contributes to thermogenesis in bumblebees and mammals, as well as four genes involved in the Krebs cycle, oxidative phosphorylation, b-oxidation, and superoxide removal. Using phylogenetic techniques, we further illustrate that the eight Thunnus species are genetically distinct, but found evidence of mitochondrial genome introgression across two species. Phylogeny-based metrics highlight conservation needs for some of these species.</t>
  </si>
  <si>
    <t>[Ciezarek, Adam G.; Osborne, Owen G.; Savolainen, Vincent] Imperial Coll London, Dept Life Sci, Silwood Pk Campus, Ascot, Berks, England; [Shipley, Oliver N.; Brooks, Edward J.] Cape Eleuthera Inst, Shark Res &amp; Conservat Program, Rock Sound, Eleuthera, Bahamas; [Shipley, Oliver N.] SUNY Stony Brook, Sch Marine &amp; Atmospher Sci, Stony Brook, NY 11794 USA; [Tracey, Sean R.; McAllister, Jaime D.] Univ Tasmania, Inst Marine &amp; Antarctic Studies, Hobart, Tas, Australia; [Gardner, Luke D.; Block, Barbara] Stanford Univ, Hopkins Marine Stn, Dept Biol, Pacific Grove, CA 93950 USA; [Sternberg, Michael J. E.] Imperial Coll London, Dept Life Sci, Ctr Integrat Syst Biol &amp; Bioinformat, London, England</t>
  </si>
  <si>
    <t>Imperial College London; State University of New York (SUNY) System; State University of New York (SUNY) Stony Brook; University of Tasmania; Stanford University; Imperial College London</t>
  </si>
  <si>
    <t>Savolainen, V (corresponding author), Imperial Coll London, Dept Life Sci, Silwood Pk Campus, Ascot, Berks, England.</t>
  </si>
  <si>
    <t>v.savolainen@imperial.ac.uk</t>
  </si>
  <si>
    <t>Osborne, Owen/AAB-2995-2021; Tracey, Sean/J-7446-2014</t>
  </si>
  <si>
    <t>Osborne, Owen/0000-0002-1213-1169; Sternberg, Michael/0000-0002-1884-5445; Savolainen, Vincent/0000-0001-5350-9984; Tracey, Sean/0000-0002-6735-5899</t>
  </si>
  <si>
    <t>NERC; UK BBSRC; Stanford University; Monterey Bay Aquarium; TAG A Giant Fund of the Ocean Foundation; Leverhulme Trust; Ocean Foundation; NERC [NE/M015742/1] Funding Source: UKRI</t>
  </si>
  <si>
    <t>NERC(UK Research &amp; Innovation (UKRI)Natural Environment Research Council (NERC)); UK BBSRC(UK Research &amp; Innovation (UKRI)Biotechnology and Biological Sciences Research Council (BBSRC)); Stanford University(Stanford University); Monterey Bay Aquarium; TAG A Giant Fund of the Ocean Foundation; Leverhulme Trust(Leverhulme Trust); Ocean Foundation; NERC(UK Research &amp; Innovation (UKRI)Natural Environment Research Council (NERC))</t>
  </si>
  <si>
    <t>The authors thank Alba Herraiz and Chris Wilson for assistance in the laboratory, Alex Norton and TRCC personnel for the care and feeding of Pacific bluefin tuna, Carol Reeb, Martin Brazeau, Jason Hodgson, Armand Leroi, Mario dos Reis, and one anonymous reviewer for comments on the manuscript, Kenneth Monsch for discussion of fossil calibration and NERC, the UK BBSRC, Stanford University and the Monterey Bay Aquarium for support of the Tuna Research and Conservation Center, the Ocean Foundation and the TAG A Giant Fund of the Ocean Foundation, and Leverhulme Trust for funding. The authors declare no competing interests.</t>
  </si>
  <si>
    <t>0737-4038</t>
  </si>
  <si>
    <t>1537-1719</t>
  </si>
  <si>
    <t>MOL BIOL EVOL</t>
  </si>
  <si>
    <t>Mol. Biol. Evol.</t>
  </si>
  <si>
    <t>10.1093/molbev/msy198</t>
  </si>
  <si>
    <t>Biochemistry &amp; Molecular Biology; Evolutionary Biology; Genetics &amp; Heredity</t>
  </si>
  <si>
    <t>HM2UZ</t>
  </si>
  <si>
    <t>hybrid, Green Published, Green Accepted</t>
  </si>
  <si>
    <t>WOS:000459327400008</t>
  </si>
  <si>
    <t>Hooper, R; Brealey, JC; van der Valk, T; Alberdi, A; Durban, JW; Fearnbach, H; Robertson, KM; Baird, RW; Hanson, MB; Wade, P; Gilbert, MTP; Morin, PA; Wolf, JBW; Foote, AD; Guschanski, K</t>
  </si>
  <si>
    <t>Hooper, Rebecca; Brealey, Jaelle C.; van der Valk, Tom; Alberdi, Antton; Durban, John W.; Fearnbach, Holly; Robertson, Kelly M.; Baird, Robin W.; Hanson, M. Bradley; Wade, Paul; Gilbert, M. Thomas P.; Morin, Phillip A.; Wolf, Jochen B. W.; Foote, Andrew D.; Guschanski, Katerina</t>
  </si>
  <si>
    <t>Host-derived population genomics data provides insights into bacterial and diatom composition of the killer whale skin</t>
  </si>
  <si>
    <t>MOLECULAR ECOLOGY</t>
  </si>
  <si>
    <t>Cetacea; contamination; metagenomics; microbiota; Orcinus orca</t>
  </si>
  <si>
    <t>ORCINUS-ORCA; HUMAN MICROBIOME; SP NOV.; TENACIBACULUM-DICENTRARCHI; GENETIC DIFFERENTIATION; EVOLUTION; CONTAMINATION; SEQUENCE; METAGENOMICS; ANNOTATION</t>
  </si>
  <si>
    <t>Recent exploration into the interactions and relationship between hosts and their microbiota has revealed a connection between many aspects of the host's biology, health and associated micro-organisms. Whereas amplicon sequencing has traditionally been used to characterize the microbiome, the increasing number of published population genomics data sets offers an underexploited opportunity to study microbial profiles from the host shotgun sequencing data. Here, we use sequence data originally generated from killer whale Orcinus orca skin biopsies for population genomics, to characterize the skin microbiome and investigate how host social and geographical factors influence the microbial community composition. Having identified 845 microbial taxa from 2.4 million reads that did not map to the killer whale reference genome, we found that both ecotypic and geographical factors influence community composition of killer whale skin microbiomes. Furthermore, we uncovered key taxa that drive the microbiome community composition and showed that they are embedded in unique networks, one of which is tentatively linked to diatom presence and poor skin condition. Community composition differed between Antarctic killer whales with and without diatom coverage, suggesting that the previously reported episodic migrations of Antarctic killer whales to warmer waters associated with skin turnover may control the effects of potentially pathogenic bacteria such as Tenacibaculum dicentrarchi. Our work demonstrates the feasibility of microbiome studies from host shotgun sequencing data and highlights the importance of metagenomics in understanding the relationship between host and microbial ecology.</t>
  </si>
  <si>
    <t>[Hooper, Rebecca; Brealey, Jaelle C.; van der Valk, Tom; Guschanski, Katerina] Uppsala Univ, Dept Ecol &amp; Genet, Evolutionary Biol Ctr, Anim Ecol, Uppsala, Sweden; [Alberdi, Antton; Gilbert, M. Thomas P.] Univ Copenhagen, Ctr GeoGenet, Nat Hist Museum Denmark, Copenhagen K, Denmark; [Durban, John W.; Morin, Phillip A.] NOAA, Marine Mammal &amp; Turtle Div, Southwest Fisheries Sci Ctr, Natl Marine Fisheries Serv, La Jolla, CA USA; [Fearnbach, Holly] SR3, Seattle, WA USA; [Baird, Robin W.] Cascadia Res, Olympia, WA USA; [Robertson, Kelly M.; Hanson, M. Bradley] NOAA, Northwest Fisheries Sci Ctr, Natl Marine Fisheries Serv, Seattle, WA USA; [Robertson, Kelly M.; Wade, Paul] NOAA, Natl Marine Mammal Lab, Alaska Fisheries Sci Ctr, Natl Marine Fisheries Serv, Seattle, WA USA; [Gilbert, M. Thomas P.] NTNU Univ Museum, Trondheim, Norway; [Wolf, Jochen B. W.] Uppsala Univ, Sci Life Labs, Uppsala, Sweden; [Wolf, Jochen B. W.] Uppsala Univ, Dept Evolutionary Biol, Uppsala, Sweden; [Wolf, Jochen B. W.] Ludwig Maximilians Univ Munchen, Sect Evolutionary Biol, Fac Biol, Munich, Germany; [Foote, Andrew D.] Bangor Univ, Sch Biol Sci, Mol Ecol &amp; Fisheries Genet Lab, Bangor, Gwynedd, Wales</t>
  </si>
  <si>
    <t>Uppsala University; University of Copenhagen; National Oceanic Atmospheric Admin (NOAA) - USA; National Oceanic Atmospheric Admin (NOAA) - USA; National Oceanic Atmospheric Admin (NOAA) - USA; Norwegian University of Science &amp; Technology (NTNU); Uppsala University; Uppsala University; University of Munich; Bangor University</t>
  </si>
  <si>
    <t>Brealey, JC; Guschanski, K (corresponding author), Uppsala Univ, Dept Ecol &amp; Genet, Evolutionary Biol Ctr, Anim Ecol, Uppsala, Sweden.;Foote, AD (corresponding author), Bangor Univ, Sch Biol Sci, Mol Ecol &amp; Fisheries Genet Lab, Bangor, Gwynedd, Wales.;Hooper, R (corresponding author), Univ Exeter, Cornwall Campus,Tremough House, Penryn, Cornwall, England.</t>
  </si>
  <si>
    <t>rebecca.hooper@evobio.eu; jaelle.brealey@ebc.uu.se; FooteAD@gmail.com; katerina.guschanski@ebc.uu.se</t>
  </si>
  <si>
    <t>Gilbert, Thomas/JSK-2650-2023; Alberdi, Antton/M-2423-2017; Brealey, Jaelle C./GQA-9473-2022; Morin, Phillip A/E-9515-2010; Wolf, Jochen B. W./U-2243-2017; Baird, Robin William/Y-8230-2019; Gilbert, Marcus/A-8936-2013</t>
  </si>
  <si>
    <t>Alberdi, Antton/0000-0002-2875-6446; Brealey, Jaelle C./0000-0001-7068-2017; Wolf, Jochen B. W./0000-0002-2958-5183; Baird, Robin William/0000-0002-9419-6336; Gilbert, Marcus/0000-0002-5805-7195; Hooper, Rebecca (Beki)/0000-0003-1042-1688; Foote, Andrew/0000-0001-7384-1634</t>
  </si>
  <si>
    <t>Lindblad Expeditions/National Geographic Conservation Fund; European Research Council [ERCStG-336536]; Danish National Research Foundation [DNRF94]; Antarctic Science Bursary; European Union's Horizon 2020 research and innovation programme under the Marie Sklodowska-Curie [663830]; British Ecological Society [SR17\ 1227]; FORMAS [2016-00835]; Danish Council for Independent Research-DFF [5051-00033]; Lundbeckfonden [R250-2017-1351]; Welsh Government through the Ser Cymru National Research Network for Low Carbon, Energy and Environment; Higher Education Funding Council for Wales through the Ser Cymru National Research Network for Low Carbon, Energy and Environment; Formas [2016-00835] Funding Source: Formas</t>
  </si>
  <si>
    <t>Lindblad Expeditions/National Geographic Conservation Fund; European Research Council(European Research Council (ERC)); Danish National Research Foundation(Danmarks Grundforskningsfond); Antarctic Science Bursary; European Union's Horizon 2020 research and innovation programme under the Marie Sklodowska-Curie(Marie Curie Actions); British Ecological Society; FORMAS(Swedish Research Council Formas); Danish Council for Independent Research-DFF(Det Frie Forskningsrad (DFF)); Lundbeckfonden(Lundbeckfonden); Welsh Government through the Ser Cymru National Research Network for Low Carbon, Energy and Environment; Higher Education Funding Council for Wales through the Ser Cymru National Research Network for Low Carbon, Energy and Environment; Formas(Swedish Research Council Formas)</t>
  </si>
  <si>
    <t>Lindblad Expeditions/National Geographic Conservation Fund; European Research Council, Grant/Award Number: ERCStG-336536; Danish National Research Foundation, Grant/Award Number: DNRF94; Antarctic Science Bursary; Welsh Government and Higher Education Funding Council for Wales through the Ser Cymru National Research Network for Low Carbon, Energy and Environment; European Union's Horizon 2020 research and innovation programme under the Marie Sklodowska-Curie, Grant/Award Number: 663830; British Ecological Society, Grant/Award Number: SR17\ 1227; FORMAS, Grant/Award Number: 2016-00835; Danish Council for Independent Research-DFF, Grant/Award Number: 5051-00033; Lundbeckfonden, Grant/Award Number: R250-2017-1351</t>
  </si>
  <si>
    <t>0962-1083</t>
  </si>
  <si>
    <t>1365-294X</t>
  </si>
  <si>
    <t>MOL ECOL</t>
  </si>
  <si>
    <t>Mol. Ecol.</t>
  </si>
  <si>
    <t>SI</t>
  </si>
  <si>
    <t>10.1111/mec.14860</t>
  </si>
  <si>
    <t>Biochemistry &amp; Molecular Biology; Ecology; Evolutionary Biology</t>
  </si>
  <si>
    <t>Biochemistry &amp; Molecular Biology; Environmental Sciences &amp; Ecology; Evolutionary Biology</t>
  </si>
  <si>
    <t>HM3AS</t>
  </si>
  <si>
    <t>Green Published, Green Submitted, hybrid</t>
  </si>
  <si>
    <t>WOS:000459345000024</t>
  </si>
  <si>
    <t>Bostock, H; Jenkins, C; Mackay, K; Carter, L; Nodder, S; Orpin, A; Pallentin, A; Wysoczanski, R</t>
  </si>
  <si>
    <t>Bostock, Helen; Jenkins, Chris; Mackay, Kevin; Carter, Lionel; Nodder, Scott; Orpin, Alan; Pallentin, Arne; Wysoczanski, Richard</t>
  </si>
  <si>
    <t>Distribution of surficial sediments in the ocean around New Zealand/Aotearoa. Part A: continental slope and deep ocean</t>
  </si>
  <si>
    <t>NEW ZEALAND JOURNAL OF GEOLOGY AND GEOPHYSICS</t>
  </si>
  <si>
    <t>Sediment; marine; New Zealand; grainsize; carbonate; GIS</t>
  </si>
  <si>
    <t>WESTERN-BOUNDARY CURRENT; TAUPO VOLCANIC ZONE; ANTARCTIC CIRCUMPOLAR CURRENT; SUBTROPICAL FRONT REGION; MACQUARIE RIDGE COMPLEX; SOUTHERN ALPINE FAULT; OFFSHORE NEW-ZEALAND; MARGIN COOK STRAIT; SW PACIFIC-OCEAN; SOUTHWEST PACIFIC</t>
  </si>
  <si>
    <t>New Zealand has a large and geologically complex marine Exclusive Economic Zone (EEZ) and extended continental shelf (ECS). Data from approximate to 150 published, unpublished, national and international collections covering &gt;30,000 sediment analyses and observations were compiled and integrated to produce a database (nzSEABED) and series of maps characterising the surficial sediments of the entire New Zealand EEZ-ECS. Sediment grainsize/texture and carbonate distributions show distinct spatial patterns, which can be explained by past and present climate, sea level fluctuations, terrigenous (from the land) sediment flux, tectonics and volcanism, complex bathymetry, oceanography, and diagenesis. The results are compared with previous literature, providing a comprehensive review of the distribution of surficial marine sediments for the New Zealand EEZ-ECS.</t>
  </si>
  <si>
    <t>[Bostock, Helen; Mackay, Kevin; Nodder, Scott; Orpin, Alan; Pallentin, Arne; Wysoczanski, Richard] Natl Inst Water &amp; Atmospher Res NIWA, Wellington, New Zealand; [Jenkins, Chris] Univ Colorado, Inst Arctic &amp; Alpine Res INSTAAR, Boulder, CO 80309 USA; [Carter, Lionel] Victoria Univ, Antarctic Res Ctr, Wellington, New Zealand</t>
  </si>
  <si>
    <t>National Institute of Water &amp; Atmospheric Research (NIWA) - New Zealand; University of Colorado System; University of Colorado Boulder; Victoria University Wellington</t>
  </si>
  <si>
    <t>Bostock, H (corresponding author), Natl Inst Water &amp; Atmospher Res NIWA, Wellington, New Zealand.</t>
  </si>
  <si>
    <t>helen.bostock@niwa.co.nz</t>
  </si>
  <si>
    <t>Bostock, Helen/A-6834-2013</t>
  </si>
  <si>
    <t>Bostock, Helen/0000-0002-8903-8958; Orpin, Alan/0000-0003-2054-7081; jenkins, chris/0000-0002-6336-3373; Nodder, Scott/0000-0002-1963-8907</t>
  </si>
  <si>
    <t>NIWA Core and Strategic Science Investment Fund by the Ministry of Business, Innovation and Employment</t>
  </si>
  <si>
    <t>The authors would like to acknowledge all the scientists, technicians, students and crew from all the research voyages that have collected, documented and analysed sediment samples from the southwest Pacific Ocean over the past six decades. Digitisation of the NIWA surficial sediment data and the write up of this work was funded by NIWA Core and Strategic Science Investment Fund funding, provided by the Ministry of Business, Innovation and Employment, to the Marine Geological Processes and Resources programme. We would like to acknowledge Steve Chiswell for his review of the oceanography in this series of papers. The sediment layers (% mud, % sand, % gravel and % carbonate) are available as GIS rasters from the New Zealand Ocean Data Portal (https://nzodn.nz/).</t>
  </si>
  <si>
    <t>0028-8306</t>
  </si>
  <si>
    <t>1175-8791</t>
  </si>
  <si>
    <t>NEW ZEAL J GEOL GEOP</t>
  </si>
  <si>
    <t>N. Z. J. Geol. Geophys.</t>
  </si>
  <si>
    <t>10.1080/00288306.2018.1523198</t>
  </si>
  <si>
    <t>Geology; Geosciences, Multidisciplinary</t>
  </si>
  <si>
    <t>HM6CR</t>
  </si>
  <si>
    <t>WOS:000459562100001</t>
  </si>
  <si>
    <t>Distribution of surficial sediments in the ocean around New Zealand/Aotearoa. Part B: continental shelf</t>
  </si>
  <si>
    <t>Sediment; continental shelf; New Zealand; grainsize; carbonate; oceanography</t>
  </si>
  <si>
    <t>WAIPAOA RIVER SHELF; NEW-ZEALAND; COOK STRAIT; HAURAKI GULF; SEA-LEVEL; SOUTH-ISLAND; HOLOCENE SEDIMENT; FOVEAUX STRAIT; PELORUS SOUND; INTERNAL TIDE</t>
  </si>
  <si>
    <t>This paper provides new maps of the surficial sediment distribution on the continental shelf (0 approximate to 150m water depth) of New Zealand based on a new database- nzSEABED. The maps of percent mud, sand, gravel and carbonate, are compared with previous research to provide a comprehensive update of the surficial sediment distributions on the continental shelf, together with a review of the main environmental (oceanographic and climatic), geomorphological and geological processes and human activities that have influenced sediment deposition. Continental shelves are dynamic regions that are in a constant state of flux from floods, storms, tides, waves, earthquakes and volcanic activity. While some of these events may be captured by individual samples, the compilation of &gt;23,000 samples collected and analysed over 60 years provides a long-term average distribution of sediments on the continental shelf that can inform future research and coastal management.</t>
  </si>
  <si>
    <t>10.1080/00288306.2018.1523199</t>
  </si>
  <si>
    <t>WOS:000459562100002</t>
  </si>
  <si>
    <t>Maestro, A; Ruano, P; Carbonell, PT; Bohoyo, F; Galindo-Zaldívar, J; Pedrera, A; Ruiz-Constán, A; González-Castillo, L; Ibarra, P; López-Martínez, J</t>
  </si>
  <si>
    <t>Maestro, A.; Ruano, P.; Torres Carbonell, P.; Bohoyo, F.; Galindo-Zaldivar, J.; Pedrera, A.; Ruiz-Constan, A.; Gonzalez-Castillo, L.; Ibarra, P.; Lopez-Martinez, J.</t>
  </si>
  <si>
    <t>Stress Field Evolution of the Southernmost Andean Cordillera From Paleostress Analysis (Argentine Tierra del Fuego)</t>
  </si>
  <si>
    <t>TECTONICS</t>
  </si>
  <si>
    <t>Andean Cordillera; neotectonics; paleostress evolution; Scotia Arc; stress deflection</t>
  </si>
  <si>
    <t>MAGALLANES-FAGNANO FAULT; SOUTH-GEORGIA-ISLAND; FOCAL MECHANISM DATA; PLATE BOUNDARY; ANTARCTIC PENINSULA; CRUSTAL DEFORMATION; TECTONIC EVOLUTION; SCOTIA ARC; BASIN; AMERICA</t>
  </si>
  <si>
    <t>The Argentine Tierra del Fuego comprises part of the roughly east-west trending southern end of the Andean Cordillera intensely deformed since the Mesozoic. Mesostructures have been measured in Late Jurassic to Miocene rocks. Taking into account statistical criteria to provide a representative stress tensor from a fault population, this study defines 28 paleostress tensors pertaining to 22 sites. The orientation of sigma(1) shows two main modes trending E-W to ESE-WNW and NE-SW. In addition, extensional sites reveal N-S, NE-SW, ESE-WNW, and NW-SE horizontal sigma(3) and vertical sigma(1). The stress fields obtained are congruous with a regional NE-SW compressive stress direction active in the study zone since the Late Cretaceous. Shortening was coeval with a 30 degrees counterclockwise rotation of the Patagonian orogenic curve and the indentation of the orogenic wedge against a basement high, the Rio Chico Arch, up to the early Miocene. The indentation caused a modification in the orientation of the compressive stress trajectories, showing NE-SW direction in Sorondo Range sector and NW-SE in Mitre Peninsula area. Since the late Miocene, left-lateral activity along the Magallanes-Fagnano Fault System produced local deviations of the NE-SW compressive stress toward an E-W direction. The present-day stress field is also characterized by NE-SW subhorizontal P axis derived from earthquake focal mechanisms and geodetic studies.</t>
  </si>
  <si>
    <t>[Maestro, A.; Bohoyo, F.; Ibarra, P.] Inst Geol &amp; Minero Espana, Madrid, Spain; [Maestro, A.; Lopez-Martinez, J.] Univ Autonoma Madrid, Fac Ciencias, Dept Geol &amp; Geoquim, Madrid, Spain; [Ruano, P.; Galindo-Zaldivar, J.; Gonzalez-Castillo, L.] Univ Granada, Dept Geodinam, Granada, Spain; [Ruano, P.; Galindo-Zaldivar, J.] Inst Andaluz Ciencias Tierra, Granada, Spain; [Torres Carbonell, P.] Consejo Nacl Invest Cient &amp; Tecn, Ctr Austral Invest Cient CADIC, Ushuaia, Argentina; [Pedrera, A.; Ruiz-Constan, A.] Unibersidad Granada, Inst Geol &amp; Minero Espana, Granada, Spain</t>
  </si>
  <si>
    <t>Autonomous University of Madrid; University of Granada; Consejo Superior de Investigaciones Cientificas (CSIC); CSIC - Instituto Andaluz de Ciencias de la Tierra (IACT); Consejo Nacional de Investigaciones Cientificas y Tecnicas (CONICET)</t>
  </si>
  <si>
    <t>Maestro, A (corresponding author), Inst Geol &amp; Minero Espana, Madrid, Spain.;Maestro, A (corresponding author), Univ Autonoma Madrid, Fac Ciencias, Dept Geol &amp; Geoquim, Madrid, Spain.</t>
  </si>
  <si>
    <t>a.maestro@igme.es</t>
  </si>
  <si>
    <t>Lopez-Martinez, Jeronimo/C-5744-2011; Maestro, Adolfo/ABG-7268-2021; Ruano, Patricia/L-9168-2014; Bohoyo, Fernando/AAZ-5990-2021; Bohoyo, Fernando/C-1062-2011; Pedrera, Antonio/L-6463-2014; Galindo-Zaldivar, Jesus/K-3640-2012; Maestro Gonzalez, Adolfo/K-2434-2014</t>
  </si>
  <si>
    <t>Lopez-Martinez, Jeronimo/0000-0002-1750-8287; Bohoyo, Fernando/0000-0002-1044-8816; Bohoyo, Fernando/0000-0002-1044-8816; Pedrera, Antonio/0000-0003-1990-9292; Galindo-Zaldivar, Jesus/0000-0002-3493-2637; Gonzalez Castillo, Lourdes/0000-0002-2997-4971; Maestro Gonzalez, Adolfo/0000-0002-7474-725X; Torres Carbonell, Pablo/0000-0003-2804-8789</t>
  </si>
  <si>
    <t>APN project [049-DRPA]; Spanish RD National Plan [CTM2011-30241-C02-02, CTM2014-60451-C2-2-P, CTM2017-89711-C2-2-P]; PICT from ANPCyT-FONCyT (Argentina)</t>
  </si>
  <si>
    <t>APN project; Spanish RD National Plan(Spanish Government); PICT from ANPCyT-FONCyT (Argentina)</t>
  </si>
  <si>
    <t>The data supporting Figures 3-7 and 9 are available in supporting information Figure S1 and Tables S1-S3 (Bollini &amp; Sabbione, 2014; Bott, 1959; Dziewonski et al., 1981; Ekstrom et al., 2012; Gephart &amp; Forsyth, 1984; Orife &amp; Lisle, 2006; Pelayo &amp; Wiens, 1989; USGS, 2013). This study is dedicated to the memory of Pedro Ibarra, who sadly passed away on 8 August 2018. He will be in our hearts forever. Rest in peace. The authors acknowledge the collaboration of E. Olivero, D. Martinioni, M. Barbagallo and M. Perez (CADIC-CONICET), and A. Imbert during the field work. Permission to work in Parque Nacional Tierra del Fuego was granted by APN project 049-DRPA. We also thank Ian W. D. Dalziel, Mauricio Calderon, Jose Luis Simon, three anonymous reviewers, and the Editors Claudio Faccenna and Laurent Jolivet for their constructive feedback. This work has been funded by projects CTM2011-30241-C02-02, CTM2014-60451-C2-2-P and CTM2017-89711-C2-2-P of the Spanish R&amp;D National Plan and by PICT funding from ANPCyT-FONCyT (Argentina). Jean Sanders is thanked for reviewing the English text.</t>
  </si>
  <si>
    <t>0278-7407</t>
  </si>
  <si>
    <t>1944-9194</t>
  </si>
  <si>
    <t>Tectonics</t>
  </si>
  <si>
    <t>10.1029/2018TC005158</t>
  </si>
  <si>
    <t>HL7ZE</t>
  </si>
  <si>
    <t>WOS:000458959800002</t>
  </si>
  <si>
    <t>Berg, S; Melles, M; Hermichen, WD; McClymont, EL; Bentley, MJ; Hodgson, DA; Kuhn, G</t>
  </si>
  <si>
    <t>Berg, S.; Melles, M.; Hermichen, W. -D.; McClymont, E. L.; Bentley, M. J.; Hodgson, D. A.; Kuhn, G.</t>
  </si>
  <si>
    <t>Evaluation of Mumiyo Deposits From East Antarctica as Archives for the Late Quaternary Environmental and Climatic History</t>
  </si>
  <si>
    <t>GEOCHEMISTRY GEOPHYSICS GEOSYSTEMS</t>
  </si>
  <si>
    <t>mumiyo; paleoecology; Dronning Maud land; polynyas; MIS3; snow petrels</t>
  </si>
  <si>
    <t>FATTY-ACID-COMPOSITION; STOMACH OIL DEPOSITS; SOUTHERN-OCEAN; SEA-ICE; MYCTOPHID FISH; TOP PREDATOR; FOOD-WEB; PETRELS; LIPIDS; ISLAND</t>
  </si>
  <si>
    <t>Mumiyo deposits form in the vicinity of snow petrel (Pagodroma nivea) nesting sites and consist of fossil stomach oil (mumiyo), guano, and minerogenic material. Here we evaluate mumiyo deposits from the inland mountain ranges of central Dronning Maud Land as high-resolution archives for paleoenvironmental reconstructions in Antarctica. Investigation of internal structures and chemical composition shows that the lamination reflects progressive sedimentation, despite the irregular outer morphology of the deposits. Detailed radiocarbon analysis demonstrates that stratigraphies are intact: C-14 ages become successively younger upwards in the deposits. Fatty acid and n-alcohol composition was determined on samples from eight mumiyo deposits. Dominance of low molecular weight compounds (C-14 to C-18) points to a dietary signal; however, the relatively low proportions of unsaturated compounds compared to fresh stomach oils indicates some postdepositional degradation. We found marine diatoms in the mumiyo, which potentially provide a proxy for sea ice conditions in the foraging habitat of the petrels. Age ranges of the investigated deposits suggest occupation of the analyzed sites by snow petrels from 17 ka to &gt; 58 ka. Changes in deposition rates point to higher occupation frequency in Petermann Range from 46 to 42 ka compared to the late marine isotope stage 3 and the Last Glacial Maximum.</t>
  </si>
  <si>
    <t>[Berg, S.; Melles, M.] Univ Cologne, Inst Geol &amp; Mineral, Cologne, Germany; [Hermichen, W. -D.; Kuhn, G.] Helmholtz Zentrum Polar &amp; Meeresforsch, Alfred Wegener Inst, Bremerhaven, Germany; [McClymont, E. L.; Bentley, M. J.; Hodgson, D. A.] Univ Durham, Dept Geog, Durham, England; [Hodgson, D. A.] British Antarctic Survey, Cambridge, England</t>
  </si>
  <si>
    <t>University of Cologne; Helmholtz Association; Alfred Wegener Institute, Helmholtz Centre for Polar &amp; Marine Research; Durham University; UK Research &amp; Innovation (UKRI); Natural Environment Research Council (NERC); NERC British Antarctic Survey</t>
  </si>
  <si>
    <t>Berg, S (corresponding author), Univ Cologne, Inst Geol &amp; Mineral, Cologne, Germany.</t>
  </si>
  <si>
    <t>sberg0@uni-koeln.de</t>
  </si>
  <si>
    <t>Berg, Sonja/AAW-3817-2021; Melles, Martin/J-4070-2012; McClymont, Erin/AAX-3567-2020; Bentley, Michael J/F-7386-2011; McClymont, Erin/AAX-3657-2020</t>
  </si>
  <si>
    <t>Melles, Martin/0000-0003-0977-9463; McClymont, Erin/0000-0003-1562-8768; Bentley, Michael J/0000-0002-2048-0019; McClymont, Erin/0000-0003-1562-8768; Berg, Sonja/0000-0002-9629-6007; Kuhn, Gerhard/0000-0001-6069-7485</t>
  </si>
  <si>
    <t>Deutsche Forschungsgemeinschaft (DFG) [BE 4764/4-1]; NERC [NE/K003674/1, bas0100030] Funding Source: UKRI</t>
  </si>
  <si>
    <t>Deutsche Forschungsgemeinschaft (DFG)(German Research Foundation (DFG)); NERC(UK Research &amp; Innovation (UKRI)Natural Environment Research Council (NERC))</t>
  </si>
  <si>
    <t>This work was funded by the Deutsche Forschungsgemeinschaft (DFG) in the framework of the priority program Antarctic Research with comparative investigations in Arctic ice areas (grant BE 4764/4-1). Data are available on PANGAEA (https://doi.org/10.1594/PANGAEA.895334).U.Wand and the field team of the GEOMAUD 97/98 expedition are thanked for sample collection. We thank J. Rethemeyer for 14 C analyses at the Cologne AMS and S. Opitz for TOC analysis in preparation of the project (both University of Cologne). The study was further supported by E. Ferandez Galego (diatom analysis, University of Cologne), P. Grunert and H. Chieszynski (Scanning Electron Microscopy, University of Cologne), and H. Grobe and A. Jaeschke (subsampling of mumiyo deposits, Alfred-Wegener Institute, Bremerhaven). We also thank D. Ainley and B. Davies for their constructive comments on an earlier version of the manuscript.</t>
  </si>
  <si>
    <t>1525-2027</t>
  </si>
  <si>
    <t>GEOCHEM GEOPHY GEOSY</t>
  </si>
  <si>
    <t>Geochem. Geophys. Geosyst.</t>
  </si>
  <si>
    <t>10.1029/2018GC008054</t>
  </si>
  <si>
    <t>HL3IL</t>
  </si>
  <si>
    <t>Bronze, Green Accepted, Green Published</t>
  </si>
  <si>
    <t>WOS:000458607200013</t>
  </si>
  <si>
    <t>Wu, FL; Miao, YF; Meng, QQ; Fang, XM; Sun, JM</t>
  </si>
  <si>
    <t>Wu, Fuli; Miao, Yunfa; Meng, Qingquan; Fang, Xiaomin; Sun, Jimin</t>
  </si>
  <si>
    <t>Late Oligocene Tibetan Plateau Warming and Humidity: Evidence From a Sporopollen Record</t>
  </si>
  <si>
    <t>late Oligocene warming; sporopollen; Nima Basin; coniferous trees; south Asian monsoon</t>
  </si>
  <si>
    <t>ASIAN MONSOON; LUNPOLA BASIN; CLIMATE; MA; MIOCENE; CARBON; UPLIFT</t>
  </si>
  <si>
    <t>Dramatic warming in the late Oligocene occurred after 8 Ma, characterized by ocean warming and a collapse of the Antarctic ice sheet (the late Oligocene warming event [LOWE]); however, few terrestrial records have yet been employed to verify the LOWE and investigate its associated driving forces. The Nima Basin, located in the central Tibetan Plateau contains thick Oligocene sediments, allowing its ecological record to be used as verification of the LOWE. Here we used the reconstructed vegetation record from the Nima Basin in the 1,100-m-thick DZC section, aided with zircon U-Pb dating of the interbedded tuffite layers. Two tuffite layers yielded ages of about 23.4 and 24.8 Ma; thus, the sedimentary age of the whole section is predicted to be 27.5-22.4 Ma. Sporopollen analysis revealed that the dominant taxa throughout the whole section were conifers (over 85%), including Piceapollis, Pinuspollenites, and Abietpollenites. One notable feature is that the broad-leaved trees (e.g., Quercoidites and Meliaceoidites) increased obviously (averaging from 0.9% to 6.6%, max 41.2%) after 25.6 Ma. This change could be interpreted as a response to late Oligocene global warming, which changed the forest line and corresponding plant species composition. The mean average precipitation of 400-850 and 800-1,000 mm, respectively, inferred from the above vegetation types in the Nima Basin, both exceed the present 150 mm. This indicates that the south Asian monsoon had already developed in the Oligocene and that the LOW event accompanied the global warming.</t>
  </si>
  <si>
    <t>[Wu, Fuli; Fang, Xiaomin] Chinese Acad Sci, Inst Tibetan Plateau Res, Key Lab Continental Collis &amp; Plateau Uplift, Beijing, Peoples R China; [Wu, Fuli; Miao, Yunfa; Fang, Xiaomin; Sun, Jimin] CAS Ctr Excellence Tibetan Plateau Earth Sci, Beijing, Peoples R China; [Miao, Yunfa] Chinese Acad Sci, Cold &amp; Arid Reg Environm &amp; Engn Inst, Key Lab Desert &amp; Desertificat, Lanzhou, Gansu, Peoples R China; [Meng, Qingquan] Lanzhou Univ, Sch Earth Sci, Lanzhou, Gansu, Peoples R China; [Sun, Jimin] Chinese Acad Sci, Inst Geol &amp; Geophys, Key Lab Cenozo Geol &amp; Environm, Beijing, Peoples R China</t>
  </si>
  <si>
    <t>Chinese Academy of Sciences; Institute of Tibetan Plateau Research, CAS; Chinese Academy of Sciences; Cold &amp; Arid Regions Environmental &amp; Engineering Research Institute, CAS; Lanzhou University; Chinese Academy of Sciences; Institute of Geology &amp; Geophysics, CAS</t>
  </si>
  <si>
    <t>Wu, FL (corresponding author), Chinese Acad Sci, Inst Tibetan Plateau Res, Key Lab Continental Collis &amp; Plateau Uplift, Beijing, Peoples R China.;Wu, FL (corresponding author), CAS Ctr Excellence Tibetan Plateau Earth Sci, Beijing, Peoples R China.</t>
  </si>
  <si>
    <t>wufuli@itpcas.ac.cn</t>
  </si>
  <si>
    <t>Sun, Jimin/F-1240-2018</t>
  </si>
  <si>
    <t>Sun, Jimin/0000-0003-3516-1413; Meng, Qingquan/0000-0002-9773-3686</t>
  </si>
  <si>
    <t>Strategic Priority Research Program of the Chinese Academy of Sciences [XDB03020103, XDA20070201]; CAS Light of West China Program</t>
  </si>
  <si>
    <t>Strategic Priority Research Program of the Chinese Academy of Sciences(Chinese Academy of Sciences); CAS Light of West China Program</t>
  </si>
  <si>
    <t>The data measured and supporting figures are available in the supporting information. This work is supported by the Strategic Priority Research Program of the Chinese Academy of Sciences (XDB03020103, XDA20070201) and CAS Light of West China Program. Many thanks to Tao Deng, Lin Ding, Liu Cao, Editor Adina Paytan, and two anonymous reviewers for their valuable suggestions; to Chunsheng Jin, Yan Zhao, Fenjun Tang, Shoujie Gao, Miaomiao Shen, Ying Feng, Congrong An, Aizhi Sun, and Yibo Yang for their field and laboratory assistances; and to Dave Chandler for help with improvement of the English.</t>
  </si>
  <si>
    <t>10.1029/2018GC007775</t>
  </si>
  <si>
    <t>WOS:000458607200022</t>
  </si>
  <si>
    <t>Troshichev, OA; Sormakov, DA</t>
  </si>
  <si>
    <t>Troshichev, O. A.; Sormakov, D. A.</t>
  </si>
  <si>
    <t>PC index as a proxy of the solar wind energy that entered into the magnetosphere: 4. Relationship between the solar wind dynamic pressure (Psw) impulses and PC, AL indices</t>
  </si>
  <si>
    <t>JOURNAL OF ATMOSPHERIC AND SOLAR-TERRESTRIAL PHYSICS</t>
  </si>
  <si>
    <t>Solar wind dynamic pressure impulses; SI events; Interplanetary electric field E-KL; Solar wind energy; Magnetic substorms; PC index; AL index</t>
  </si>
  <si>
    <t>MAGNETIC BAYS; FIELD; SUBSTORMS</t>
  </si>
  <si>
    <t>The solar wind dynamic pressure (P-sw) impulses impacting on the magnetosphere were separated on the basis of solar wind parameters measured in the point of libration L1 in 1998-2017. Comparison of the estimated P-sw impulses reduced to the Earth's magnetopause with the appropriate sudden impulses (SI), revealed in the ground-based 1-min SymH index, Showed that features of the really observed sudden impulses (moment of beginning, time evolution, intensity) can be significantly different from characteristics of the estimated P-sw impulses. Because of this the preference was given to the real SI events over the estimated P-sw impulses. Only the events with sudden impulses starting against the background of steady quiet pressure levels were taken for the analysis (N = 143). Relationship between the positive (leaps) and negative (drops) SI events, on the one hand, and PC and AL indices, on the other hand, were examined under the various solar wind conditions, such as: growing and steady solar wind speed at negative and positive values of the IMF B-z component, fluctuating B-z and solar wind speed, steady solar wind speed and B-z = 0. Analysis of SI events showed that the solar wind dynamic pressure impulses themselves are not promote (or insignificantly promote) the solar wind energy input into the magnetosphere, which is controlled by the interplanetary electric field E-KL = VSW*(B-Y(2) +B-Z(2))(1/2) and is displayed by the polar cap magnetic activity PC index. When the p(sw) impulses (leaps or drops) are accompanied by the corresponding changes in E-KL field, the PC index correlates (increases or decreases) with the p(sw )changes. Inconsistency between the P-sw and PC behavior becomes evident as soon as the E(KL )and P-sw courses start to diverge. Development of magnetic disturbances (AL index) is governed only by the E-KL, field and PC index increase irrespective of the p(sw) impulses magnitude and time evolution.</t>
  </si>
  <si>
    <t>[Troshichev, O. A.; Sormakov, D. A.] Arctic &amp; Antarctic Res Inst, St Petersburg 199397, Russia</t>
  </si>
  <si>
    <t>Troshichev, OA (corresponding author), Arctic &amp; Antarctic Res Inst, St Petersburg 199397, Russia.</t>
  </si>
  <si>
    <t>olegtro@aari.ru</t>
  </si>
  <si>
    <t>Sormakov, Dmitry A/K-1695-2014</t>
  </si>
  <si>
    <t>Russian Foundation for Basic Research (RFBR) [N 18-05-80004]</t>
  </si>
  <si>
    <t>Russian Foundation for Basic Research (RFBR)(Russian Foundation for Basic Research (RFBR))</t>
  </si>
  <si>
    <t>The work was supported by Russian Foundation for Basic Research (RFBR grant N 18-05-80004). The solar wind and IMF data were obtained from the GSFC/SPDF OMNI/Web interface at http://omniweb.gsfc.nasa.gov.The AL indices were provided by WDC-C2 Kyoto (http://wdc.kugi.kyoto-u.ac.jp/wdc).The PC indices produced by data from northern (PCN) and southern (PCS) polar caps. The 1-min PCS and PCN indices calculated by the unified method in AARI and in the Space Institute of the Danish Technical University (DTU) are published on-line at site: http://pcindex.org.</t>
  </si>
  <si>
    <t>1364-6826</t>
  </si>
  <si>
    <t>1879-1824</t>
  </si>
  <si>
    <t>J ATMOS SOL-TERR PHY</t>
  </si>
  <si>
    <t>J. Atmos. Sol.-Terr. Phys.</t>
  </si>
  <si>
    <t>10.1016/j.jastp.2018.12.001</t>
  </si>
  <si>
    <t>Geochemistry &amp; Geophysics; Meteorology &amp; Atmospheric Sciences</t>
  </si>
  <si>
    <t>HL7SL</t>
  </si>
  <si>
    <t>WOS:000458941200023</t>
  </si>
  <si>
    <t>Bougamont, M; Christoffersen, P; Nias, I; Vaughan, DG; Smith, AM; Brisbourne, A</t>
  </si>
  <si>
    <t>Bougamont, M.; Christoffersen, P.; Nias, I.; Vaughan, D. G.; Smith, A. M.; Brisbourne, A.</t>
  </si>
  <si>
    <t>Contrasting Hydrological Controls on Bed Properties During the Acceleration of Pine Island Glacier, West Antarctica</t>
  </si>
  <si>
    <t>JOURNAL OF GEOPHYSICAL RESEARCH-EARTH SURFACE</t>
  </si>
  <si>
    <t>ice streams; Pine Island Glacier; Numerical inversions; Subglacial hydrology; West Antarctica; Ice flow modelling</t>
  </si>
  <si>
    <t>ICE STREAM-B; AMUNDSEN SEA EMBAYMENT; GROUNDING LINE RETREAT; SUBGLACIAL WATER-FLOW; THWAITES GLACIER; BASAL MECHANICS; SHEET DYNAMICS; BENEATH; SURFACE; MODEL</t>
  </si>
  <si>
    <t>In the Amundsen sector of West Antarctica, the flow of glaciers accelerates when intrusion of warm ocean water onto the continental shelf induces strong melting beneath ice shelves and thinning near the glaciers' grounding line. Predicting the future of these glaciers is, however, hindered by a poor understanding of the dynamical processes that may exacerbate, or on the contrary modulate, the inland ice sheet response. This study seeks to investigate processes occurring at the base of Pine Island Glacier through numerical inversions of surface velocities observed in 1996 and 2014, a period of time during which the glacier accelerated significantly. The outputs show that substantial changes took place in the basal environment, which we interpret with models of undrained subglacial till and hydrological routing. The annual basal melt production increased by 25% on average. Basal drag weakened by 15% over nearly two thirds of the region of accelerated flow, largely due to the direct assimilation of locally produced basal meltwater into the underlying subglacial sediment. In contrast, regions of increased drag are found to follow several of the glacier's shear margins and furthermore to coincide with inferred hydrological pathways. We interpret this basal strengthening as signature of an efficient hydrological system, where low-pressure water channels have reduced the surrounding basal water pressure. These are the first identified stabilization mechanisms to have developed alongside Pine Island ice flow acceleration. Indeed, these processes could become more significant with increased meltwater availability and may limit the glacier's response to perturbation near its grounding line.</t>
  </si>
  <si>
    <t>[Bougamont, M.; Christoffersen, P.] Univ Cambridge, Scott Polar Res Inst, Cambridge, England; [Nias, I.] Univ Bristol, Bristol Glaciol Ctr, Bristol, Avon, England; [Nias, I.] Univ Maryland, Earth Syst Sci Interdisciplinary Ctr, College Pk, MD 20742 USA; [Nias, I.] NASA, Cryospher Sci Lab, Goddard Space Flight Ctr, Greenbelt, MD USA; [Vaughan, D. G.; Smith, A. M.; Brisbourne, A.] British Antarctic Survey, Nat Environm Res Council, Cambridge, England</t>
  </si>
  <si>
    <t>University of Cambridge; University of Bristol; University System of Maryland; University of Maryland College Park; National Aeronautics &amp; Space Administration (NASA); NASA Goddard Space Flight Center; UK Research &amp; Innovation (UKRI); Natural Environment Research Council (NERC); NERC British Antarctic Survey</t>
  </si>
  <si>
    <t>Bougamont, M (corresponding author), Univ Cambridge, Scott Polar Res Inst, Cambridge, England.</t>
  </si>
  <si>
    <t>mb627@cam.ac.uk</t>
  </si>
  <si>
    <t>Vaughan, David/C-8348-2011; Christoffersen, Poul/W-3708-2019; Brisbourne, Alex/E-6198-2013</t>
  </si>
  <si>
    <t>Christoffersen, Poul/0000-0003-2643-8724; Nias, Isabel/0000-0002-5657-8691; SMITH, ANDREW/0000-0001-8577-482X; Brisbourne, Alex/0000-0002-9887-7120; Bougamont, Marion Heidi/0000-0001-7196-4171</t>
  </si>
  <si>
    <t>Natural Environment Research Council (NERC) iSTAR programme [NE/J005800/1, NE/J005738, NE/J005754/1]; Isaac Newton Trust; NERC [NE/J005754/1, bas0100034, NE/J005800/1, NE/J005738/1] Funding Source: UKRI</t>
  </si>
  <si>
    <t>Natural Environment Research Council (NERC) iSTAR programme; Isaac Newton Trust; NERC(UK Research &amp; Innovation (UKRI)Natural Environment Research Council (NERC))</t>
  </si>
  <si>
    <t>This work was funded by the Natural Environment Research Council (NERC) iSTAR programme (NE/J005800/1, NE/J005738, and NE/J005754/1) and the Isaac Newton Trust. The numerical code can be downloaded from https://cism.github.io.The mass conserved geometry required to replicate this work is available to download from the UK Polar Data Centre's Discovery Metadata System (http://doi.org/cj88) and the observed velocity from Enveo (http://cryoportal.enveo.at).The model output presented is available to download from the UK Polar Data Centre's Discovery Metadata System (https://doi.org/ct8b).We are grateful to the Editor, Associate Editor, and three anonymous reviewers for their helpful comments.</t>
  </si>
  <si>
    <t>2169-9003</t>
  </si>
  <si>
    <t>2169-9011</t>
  </si>
  <si>
    <t>J GEOPHYS RES-EARTH</t>
  </si>
  <si>
    <t>J. Geophys. Res.-Earth Surf.</t>
  </si>
  <si>
    <t>10.1029/2018JF004707</t>
  </si>
  <si>
    <t>HL4XS</t>
  </si>
  <si>
    <t>Green Published, hybrid, Green Accepted</t>
  </si>
  <si>
    <t>WOS:000458729900005</t>
  </si>
  <si>
    <t>Brisbourne, AM; Martín, C; Smith, AM; Baird, AF; Kendall, JM; Kingslake, J</t>
  </si>
  <si>
    <t>Brisbourne, A. M.; Martin, C.; Smith, A. M.; Baird, A. F.; Kendall, J. M.; Kingslake, J.</t>
  </si>
  <si>
    <t>Constraining Recent Ice Flow History at Korff Ice Rise, West Antarctica, Using Radar and Seismic Measurements of Ice Fabric</t>
  </si>
  <si>
    <t>Antarctica; anisotropy; fabric; ice sheet history; seismic; radar</t>
  </si>
  <si>
    <t>WEDDELL SEA SECTOR; ANISOTROPIC ICE; WAVE PROPAGATION; GROUNDING-LINE; CORE; DOME; SHEETS; STREAM; DEFORMATION; TEXTURES</t>
  </si>
  <si>
    <t>The crystal orientation fabric of ice reflects its flow history, information which is required to better constrain projections of future ice sheet behavior. Here we present a novel combination of polarimetric phase-sensitive radar and seismic anisotropy measurements to provide independent and consistent constraints on ice fabric at Korff Ice Rise, within the Weddell Sea sector of West Antarctica. The nature and depth distribution of fabric in the ice column is constrained using the azimuthal variation in (1) the received power anomaly and phase difference of polarimetric vertical radar soundings and (2) seismic velocities and shear wave splitting measurements. Radar and seismic observations are modeled separately to determine the nature and strength of fabric within the ice column. Both methods indicate ice fabric above 200-m depth which is consistent with present-day ice-divide flow. However, both measurements also indicate an oblique girdle fabric below 230-m depth within the ice column, inconsistent with steady state divide flow. Our interpretation is that this deeper fabric is a remnant fabric from a previous episode of flow, which is currently being overwritten by ongoing fabric development associated with the present-day flow regime. The preexisting fabric is consistent with ice flow from the south prior to ice-divide formation, in agreement with models of Holocene ice sheet evolution. These findings apply new constraints to the flow history at Korff Ice Rise prior to divide formation and demonstrate the capacity of radar and seismic measurements to map fabric and thus constrain past ice flow.</t>
  </si>
  <si>
    <t>[Brisbourne, A. M.; Martin, C.; Smith, A. M.] British Antarctic Survey, Nat Environm Res Council, Cambridge, England; [Baird, A. F.; Kendall, J. M.] Univ Bristol, Sch Earth Sci, Bristol, Avon, England; [Kingslake, J.] Columbia Univ, Lamont Doherty Earth Observ, New York, NY USA</t>
  </si>
  <si>
    <t>UK Research &amp; Innovation (UKRI); Natural Environment Research Council (NERC); NERC British Antarctic Survey; University of Bristol; Columbia University</t>
  </si>
  <si>
    <t>Martín, C (corresponding author), British Antarctic Survey, Nat Environm Res Council, Cambridge, England.</t>
  </si>
  <si>
    <t>cama@bas.ac.uk</t>
  </si>
  <si>
    <t>Kendall, Michael/D-5973-2011; Baird, Alan F/H-6939-2013; Brisbourne, Alex/E-6198-2013</t>
  </si>
  <si>
    <t>Kendall, Michael/0000-0002-1486-3945; Baird, Alan F/0000-0002-8740-9516; Brisbourne, Alex/0000-0002-9887-7120; SMITH, ANDREW/0000-0001-8577-482X</t>
  </si>
  <si>
    <t>British Antarctic Survey; Natural Environmental Research Council grant [NE/J008087/1]; NERC [bas0100034, NE/J008087/1] Funding Source: UKRI</t>
  </si>
  <si>
    <t>British Antarctic Survey; Natural Environmental Research Council grant; NERC(UK Research &amp; Innovation (UKRI)Natural Environment Research Council (NERC))</t>
  </si>
  <si>
    <t>This study is part of the British Antarctic Survey program Polar Science for Planet Earth. All data were collected with the support of the British Antarctic Survey. The ApRES fieldwork were funded by Natural Environmental Research Council grant NE/J008087/1, led by Richard Hindmarsh. Thanks to Scott Webster for the assistance in the field. We thank Bryn Hubbard, the Editor, Anja Diez, and another anonymous reviewer for their comments and suggestions that have improved this paper. Data are available through NERC's Polar Data Centre: https://doi.org/10/cvxn and https://doi.org/10/cvxq.</t>
  </si>
  <si>
    <t>10.1029/2018JF004776</t>
  </si>
  <si>
    <t>hybrid, Green Published</t>
  </si>
  <si>
    <t>WOS:000458729900010</t>
  </si>
  <si>
    <t>Young, TJ; Christoffersen, P; Doyle, SH; Nicholls, KW; Stewart, CL; Hubbard, B; Hubbard, A; Lok, LB; Brennan, PV; Benn, DI; Luckman, A; Bougamont, M</t>
  </si>
  <si>
    <t>Young, T. J.; Christoffersen, P.; Doyle, S. H.; Nicholls, K. W.; Stewart, C. L.; Hubbard, B.; Hubbard, A.; Lok, L. B.; Brennan, P. V.; Benn, D. I.; Luckman, A.; Bougamont, M.</t>
  </si>
  <si>
    <t>Physical Conditions of Fast Glacier Flow: 3. Seasonally-Evolving Ice Deformation on Store Glacier, West Greenland</t>
  </si>
  <si>
    <t>Greenland; Glacier; Radar; Strain; Ice Sheet</t>
  </si>
  <si>
    <t>TERMINATING OUTLET GLACIERS; SUBGLACIAL WATER-PRESSURE; PHASE-SENSITIVE RADAR; BASAL MELT RATES; SURFACE VELOCITY; SURGE MECHANISM; RUSSELL GLACIER; DRAINAGE SYSTEM; GROUNDING LINE; ABLATION ZONE</t>
  </si>
  <si>
    <t>Temporal variations in ice sheet flow directly impact the internal structure within ice sheets through englacial deformation. Large-scale changes in the vertical stratigraphy within ice sheets have been previously conducted on centennial to millennial timescales; however, intra-annual changes in the morphology of internal layers have yet to be explored. Over a period of 2years, we use autonomous phase-sensitive radio-echo sounding to track the daily displacement of internal layers on Store Glacier, West Greenland, to millimeter accuracy. At a site located similar to 30km from the calving terminus, where the ice is similar to 600m thick and flows at similar to 700m/a, we measure distinct seasonal variations in vertical velocities and vertical strain rates over a 2-year period. Prior to the melt season (March-June), we observe increasingly nonlinear englacial deformation with negative vertical strain rates (i.e., strain thinning) in the upper half of the ice column of approximately -0.03a(-1), whereas the ice below thickens under vertical strain reaching up to +0.16 a(-1). Early in the melt season (June-July), vertical thinning gradually ceases as the glacier increasingly thickens. During late summer to midwinter (August-February), vertical thickening occurs linearly throughout the entire ice column, with strain rates averaging 0.016 a(-1). We show that these complex variations are unrelated to topographic setting and localized basal slip and hypothesize that this seasonality is driven by far-field perturbations in the glacier's force balance, in this case generated by variations in basal hydrology near the glacier's terminus and propagated tens of kilometers upstream through transient basal lubrication longitudinal coupling. Plain Language Summary Ice sheets deform when subject to changes in its flow regime. Such deformation impacts the shape of and distance between internal layers within ice sheets. Through the development of a high- precision stationary radar, we can measure the vertical compression or expansion between internal layers through time. We used this methodology at an inland location on Store Glacier in western Greenland to obtain a 2- year- long record of ice deformation. The records show that this location on Store Glacier stretches and compresses throughout the year, sometimes with both occurring at the same time on top of each other. Using satellite imagery, we discover that the deformation regime at our study site is linked to seasonal changes in the flow farther down the glacier nearer to the ocean. If this section slows down, then the ice will thicken farther up the glacier; similarly, faster flow at the terminus will stretch and thin the ice behind it.</t>
  </si>
  <si>
    <t>[Young, T. J.; Christoffersen, P.; Stewart, C. L.; Bougamont, M.] Univ Cambridge, Scott Polar Res Inst, Cambridge, England; [Young, T. J.; Nicholls, K. W.] British Antarctic Survey, Natl Environm Res Council, Cambridge, England; [Doyle, S. H.; Hubbard, B.] Aberystwyth Univ, Dept Geog &amp; Earth Sci, Ctr Glaciol, Aberystwyth, Dyfed, Wales; [Hubbard, B.; Hubbard, A.] Arctic Univ Norway, Dept Geol, Ctr Arctic Gas Hydrate Environm &amp; Climate, Tromso, Norway; [Lok, L. B.] Univ Lancaster, Dept Engn, Lancaster, England; [Brennan, P. V.] UCL, Dept Elect &amp; Elect Engn, London, England; [Benn, D. I.] Univ St Andrews, Sch Geog &amp; Sustainable Dev, St Andrews, Fife, Scotland; [Luckman, A.] Swansea Univ, Dept Geog, Swansea, W Glam, Wales</t>
  </si>
  <si>
    <t>University of Cambridge; UK Research &amp; Innovation (UKRI); Natural Environment Research Council (NERC); NERC British Antarctic Survey; Aberystwyth University; UiT The Arctic University of Tromso; Lancaster University; University of London; University College London; University of St Andrews; Swansea University</t>
  </si>
  <si>
    <t>Young, TJ (corresponding author), Univ Cambridge, Scott Polar Res Inst, Cambridge, England.</t>
  </si>
  <si>
    <t>tjy22@cam.ac.uk</t>
  </si>
  <si>
    <t>Stewart, Craig/HTL-6429-2023; Christoffersen, Poul/W-3708-2019; Hubbard, Alun/R-5085-2017</t>
  </si>
  <si>
    <t>Christoffersen, Poul/0000-0003-2643-8724; Hubbard, Bryn/0000-0002-3565-3875; Lok, Lai Bun/0000-0002-0033-9173; Doyle, Samuel/0000-0002-0853-431X; Stewart, Craig/0000-0002-3906-1594; Benn, Douglas/0000-0002-3604-0886; Hubbard, Alun/0000-0002-0503-3915; Young, Tun Jan/0000-0001-5865-3459</t>
  </si>
  <si>
    <t>University of Cambridge; UK Natural Environment Research Council [NE/K0058871/1, NE/K006126/1]; European Research Council under the European Union's Horizon 2020 programme [68304]; Aberystwyth University Capital Equipment grant; ConocoPhillips-Lundin Northern Area Program through the CRIOS project; NERC [NE/K006126/1, NE/K005871/1, NE/S006761/1, NE/J005630/1, NE/J013544/1, bas0100033] Funding Source: UKRI</t>
  </si>
  <si>
    <t>University of Cambridge(University of Cambridge); UK Natural Environment Research Council(UK Research &amp; Innovation (UKRI)Natural Environment Research Council (NERC)); European Research Council under the European Union's Horizon 2020 programme(European Research Council (ERC)); Aberystwyth University Capital Equipment grant; ConocoPhillips-Lundin Northern Area Program through the CRIOS project; NERC(UK Research &amp; Innovation (UKRI)Natural Environment Research Council (NERC))</t>
  </si>
  <si>
    <t>This research was funded by the University of Cambridge Fieldwork Funds and the UK Natural Environment Research Council (grants NE/K0058871/1 and NE/K006126/1). P. C. acknowledges support by the European Research Council under the European Union's Horizon 2020 programme (grant agreement number 68304). B. H. also acknowledges support by an Aberystwyth University Capital Equipment grant. We thank Joe Todd for assistance in choosing the field site; the crew of SV Gambo for logistical support; Ann Andreasen and the Uummannaq Polar Institute for local support; and Leo Nathan and Coen Hofstede for assistance in the field. Data from the QAAR reference station are provided by UNAVCO at a 30-s interval and are available via anonymous FTP (ftp://garner.ucsd.edu/pub/rinex). Acquisition of TerraSAR-X imagery was funded by the ConocoPhillips-Lundin Northern Area Program through the CRIOS project. The data sets presented in this paper are available for download from https://doi.org/10.6084/m9.figshare.7497968.v2.</t>
  </si>
  <si>
    <t>10.1029/2018JF004821</t>
  </si>
  <si>
    <t>Green Published, Green Accepted, hybrid, Green Submitted</t>
  </si>
  <si>
    <t>WOS:000458729900014</t>
  </si>
  <si>
    <t>Middag, R; de Baar, HJW; Bruland, KW</t>
  </si>
  <si>
    <t>Middag, R.; de Baar, H. J. W.; Bruland, K. W.</t>
  </si>
  <si>
    <t>The Relationships Between Dissolved Zinc and Major Nutrients Phosphate and Silicate Along the GEOTRACES GA02 Transect in the West Atlantic Ocean</t>
  </si>
  <si>
    <t>GLOBAL BIOGEOCHEMICAL CYCLES</t>
  </si>
  <si>
    <t>dissolved zinc; GEOTRACES; West Atlantic Ocean</t>
  </si>
  <si>
    <t>SOUTHERN-OCEAN; TRACE-ELEMENTS; OCEANOGRAPHIC DISTRIBUTIONS; BIOGEOCHEMICAL CYCLES; NORTH-ATLANTIC; CO-LIMITATION; WATER MASSES; CADMIUM; SECTOR; IRON</t>
  </si>
  <si>
    <t>Dissolved zinc (Zn) has a nutrient-type distribution in the ocean that more closely resembles the distribution of silicate (Si) than phosphate (PO4). However, Zn is a trace-nutrient and mostly present in the organic fraction of phytoplankton rather than the siliceous frustule. It has been suggested the coupling of Zn and Si is caused by the strong depletion of nutrients in the Southern Ocean, possibly combined with scavenging of Zn. Here we assess the distribution of Zn and nutrients along the conduit of southward traveling waters of northern origin and northward traveling waters of Antarctic origin to unravel the influence of various water masses and local biogeochemical processes in the Atlantic Ocean. The distribution of Zn and Si is governed by mixing such that influence of remineralization is barely distinguishable, whereas the distribution of PO4 is influenced by both processes. The subsurface water masses that supply nutrients to the surface ocean are depleted in Zn. Indeed, the Southern Ocean water masses play a driving role, but remarkably, also subsurface water masses from northern high-latitude origin are depleted in Zn. Both northern and southern high-latitude waters have a relatively high Zn:PO4 uptake and remineralization ratio, implying it is Zn availability and not only chronic iron limitation that leads to increased Zn uptake in the high-latitude regions. The limited supply of Zn to the surface Atlantic Ocean can explain the lack of an Atlantic Zn remineralization signal and indicates Zn might play a role in phytoplankton community composition and productivity.</t>
  </si>
  <si>
    <t>[Middag, R.; de Baar, H. J. W.] NIOZ Royal Netherlands Inst Sea Res, Dept Ocean Syst OCS, Texel, Netherlands; [Middag, R.; de Baar, H. J. W.] Univ Utrecht, Texel, Netherlands; [de Baar, H. J. W.] Univ Groningen, Dept Ocean Ecosyst, Groningen, Netherlands; [Bruland, K. W.] Univ Calif Santa Cruz, Dept Ocean Sci, Santa Cruz, CA 95064 USA; [Bruland, K. W.] Univ Calif Santa Cruz, Inst Marine Sci, Santa Cruz, CA 95064 USA</t>
  </si>
  <si>
    <t>Utrecht University; Royal Netherlands Institute for Sea Research (NIOZ); Utrecht University; University of Groningen; University of California System; University of California Santa Cruz; University of California System; University of California Santa Cruz</t>
  </si>
  <si>
    <t>Middag, R (corresponding author), NIOZ Royal Netherlands Inst Sea Res, Dept Ocean Syst OCS, Texel, Netherlands.;Middag, R (corresponding author), Univ Utrecht, Texel, Netherlands.</t>
  </si>
  <si>
    <t>rob.middag@nioz.nl</t>
  </si>
  <si>
    <t>Middag, Rob/D-6423-2013</t>
  </si>
  <si>
    <t>Middag, Rob/0000-0002-3326-530X</t>
  </si>
  <si>
    <t>Netherlands Organization for Scientific Research (NWO) [820.01.014, 839.08.410]; USA National Science Foundation (NSF) [OCE-0961579]</t>
  </si>
  <si>
    <t>Netherlands Organization for Scientific Research (NWO)(Netherlands Organization for Scientific Research (NWO)); USA National Science Foundation (NSF)(National Science Foundation (NSF))</t>
  </si>
  <si>
    <t>We express our gratitude to the captains and crew of the RV Pelagia and RRS James Cook during the cruises. The nutrient data were provided by the NIOZ nutrient lab and the oxygen data by Lesley Salt and Maaike Claus. Steven van Heuven provided advice on the eOMP modeling and helped adapting the code to work for Zn. This work was supported by the Netherlands Organization for Scientific Research (NWO) project Grants 820.01.014 (GEOTRACES Netherlands-USA Joint Effort on Trace Metals in the Atlantic Ocean; post-doc of R. M. at UCSC) and 839.08.410 (GEOTRACES, Global Change and Microbial Oceanography in the West Atlantic Ocean) and the USA National Science Foundation (NSF) Grant OCE-0961579. All data reported in this paper are available through the GEOTRACES data repository (http://geotraces.org/dp/idp2017) at the British Oceanographic Data Centre as detailed by Schlitzer et al. (2018). Figures were made using ODV (Schlitzer, 2016). H. d. B. designed the GA02 section, organized the expeditions and funding for the cruise program and construction of PVDF samplers. R. M. with colleagues of the NIOZ trace metals group did all the sampling and filtrations during the four cruises. R. M. and K. B. further developed the method of Biller and Bruland (2012) and did all the analyses of Zn and several other trace metals in 1,433 samples at UCSC. R. M. did the eOMP analysis and produced the manuscript. The authors are grateful to the two reviewers for their positive comments and constructive suggestions.</t>
  </si>
  <si>
    <t>0886-6236</t>
  </si>
  <si>
    <t>1944-9224</t>
  </si>
  <si>
    <t>GLOBAL BIOGEOCHEM CY</t>
  </si>
  <si>
    <t>Glob. Biogeochem. Cycle</t>
  </si>
  <si>
    <t>10.1029/2018GB006034</t>
  </si>
  <si>
    <t>Environmental Sciences; Geosciences, Multidisciplinary; Meteorology &amp; Atmospheric Sciences</t>
  </si>
  <si>
    <t>Environmental Sciences &amp; Ecology; Geology; Meteorology &amp; Atmospheric Sciences</t>
  </si>
  <si>
    <t>HK8MG</t>
  </si>
  <si>
    <t>Green Published, Bronze</t>
  </si>
  <si>
    <t>WOS:000458243500005</t>
  </si>
  <si>
    <t>Krinner, G; Beaumet, J; Favier, V; Déqué, M; Brutel-Vuilmet, C</t>
  </si>
  <si>
    <t>Krinner, Gerhard; Beaumet, Julien; Favier, Vincent; Deque, Michel; Brutel-Vuilmet, Claire</t>
  </si>
  <si>
    <t>Empirical Run-Time Bias Correction for Antarctic Regional Climate Projections With a Stretched-Grid AGCM</t>
  </si>
  <si>
    <t>JOURNAL OF ADVANCES IN MODELING EARTH SYSTEMS</t>
  </si>
  <si>
    <t>SURFACE MASS-BALANCE; ICE-SHEET; MODEL; SIMULATIONS; RESOLUTION; GREENLAND; CORDEX; PRECIPITATION; IMPACT; ERRORS</t>
  </si>
  <si>
    <t>This work presents snapshot simulations of the late 20th and late 21st century Antarctic climate under the RCP8.5 scenario carried out with an empirically bias-corrected global atmospheric general circulation model (AGCM), forced with bias-corrected sea-surface temperatures and sea ice and run with about 100-km resolution over Antarctica. The bias correction substantially improves the simulated mean late 20th century climate. The simulated atmospheric circulation of the bias-corrected model compares very favorably to the best available AMIP (Atmospheric Model Intercomparison Project)-type climate models. The simulated interannual circulation variability is improved by the bias correction. Depending on the metric, a slight improvement or degradation is found in the simulated variability on synoptic timescales. The simulated climate change over the 21st century is broadly similar in the corrected and uncorrected versions of the atmospheric model, and atmospheric circulation patterns are not geographically pinned by the applied bias correction. These results suggest that the method presented here can be used for bias-corrected climate projections. Finally, the authors discuss different possible choices in terms of the place of bias corrections and other intermediate steps in the modeling chain leading from global coupled climate simulations to impact assessment. Plain Language Summary Climate models are necessary and irreplaceable tools for climate projections, but despite continuous improvement, they still have biases, and their spatial resolution is too low to provide actionable climate change information at relevant small spatial scales. We present a method combining bias corrections and high-resolution climate modeling that allows improving climate projections at regional scales.</t>
  </si>
  <si>
    <t>[Krinner, Gerhard; Beaumet, Julien; Favier, Vincent; Brutel-Vuilmet, Claire] Univ Grenoble Alpes, CNRS, IGE, Grenoble, France; [Deque, Michel] Univ Toulouse, Meteo France, CNRS, CNRM, Toulouse, France</t>
  </si>
  <si>
    <t>Communaute Universite Grenoble Alpes; Universite Grenoble Alpes (UGA); Centre National de la Recherche Scientifique (CNRS); Meteo France; Centre National de la Recherche Scientifique (CNRS); Universite de Toulouse</t>
  </si>
  <si>
    <t>Krinner, G (corresponding author), Univ Grenoble Alpes, CNRS, IGE, Grenoble, France.</t>
  </si>
  <si>
    <t>gerhard.krinner@cnrs.fr</t>
  </si>
  <si>
    <t>Krinner, Gerhard/A-6450-2011; Krinner, Gerhard/AAB-8837-2022; Favier, Vincent/T-1936-2017</t>
  </si>
  <si>
    <t>Krinner, Gerhard/0000-0002-2959-5920; Favier, Vincent/0000-0001-6024-9498</t>
  </si>
  <si>
    <t>Agence Nationale de la Recherche [ANR-14-CE01-0001, ANR-15-CE01-0003, ANR-15-CE01-0015]; GENCI-IDRIS [2017-A0020100239]; Agence Nationale de la Recherche (ANR) [ANR-15-CE01-0015, ANR-14-CE01-0001, ANR-15-CE01-0003] Funding Source: Agence Nationale de la Recherche (ANR)</t>
  </si>
  <si>
    <t>Agence Nationale de la Recherche(Agence Nationale de la Recherche (ANR)); GENCI-IDRIS; Agence Nationale de la Recherche (ANR)(Agence Nationale de la Recherche (ANR))</t>
  </si>
  <si>
    <t>The Agence Nationale de la Recherche funded this study through contracts ANR-14-CE01-0001 (ASUMA), ANR-15-CE01-0003 (APRES3), and ANR-15-CE01-0015 (AC-AHC2). This work was performed using HPC resources from GENCI-IDRIS (Grant 2017-A0020100239). Output from our simulations can be obtained on the IDRIS DODS server as described in https://prodn.idris.fr/thredds/fileServer/ipsl_public/rces604/KrinnerEA_ JAMES_ 2018MS001438/README. Gwenn Le Normand contributed to analyses of preliminary results. We thank John Scinocca, Slava Kharin, Hubert Gallee, Christophe Genthon, Bill Gutowski, Bill Merryfield, and Francois Engelbrecht for insightful discussions and suggestions.</t>
  </si>
  <si>
    <t>1942-2466</t>
  </si>
  <si>
    <t>J ADV MODEL EARTH SY</t>
  </si>
  <si>
    <t>J. Adv. Model. Earth Syst.</t>
  </si>
  <si>
    <t>10.1029/2018MS001438</t>
  </si>
  <si>
    <t>HL3IQ</t>
  </si>
  <si>
    <t>WOS:000458607800005</t>
  </si>
  <si>
    <t>Takahashi, A; Hibiya, T</t>
  </si>
  <si>
    <t>Takahashi, Anne; Hibiya, Toshiyuki</t>
  </si>
  <si>
    <t>Assessment of Finescale Parameterizations of Deep Ocean Mixing in the Presence of Geostrophic Current Shear: Results of Microstructure Measurements in the Antarctic Circumpolar Current Region</t>
  </si>
  <si>
    <t>JOURNAL OF GEOPHYSICAL RESEARCH-OCEANS</t>
  </si>
  <si>
    <t>INTERNAL WAVE-FIELD; TURBULENT DISSIPATION; SOUTHERN-OCEAN; ENERGY; PROPAGATION; BREAKING; SCALES</t>
  </si>
  <si>
    <t>The Southern Ocean is thought to be one of globally significant mixing hotspots. In this study, we carried out simultaneous measurements of microscale turbulence and finescale shear/strain in the south of Australia to assess the validity of the existing finescale parameterizations of deep ocean mixing in the Antarctic Circumpolar Current (ACC) region where geostrophic shear flows coexist with the background internal wavefield. It is found that turbulent dissipation rates are overall small but the internal wavefield is more energetic than the Garrett-Munk (GM) wavefield. Finescale shear/strain ratio (R-omega) well exceeds the GM value in the deep layer south of the Southern ACC Front, suggesting that the local internal wave spectra are significantly biased to lower frequencies. Through the comparison of the directly measured turbulent dissipation rates with those inferred from finescale parameterizations, we find that the Gregg-Henyey-Polzin and Ijichi-Hibiya parameterizations, both of which take into account the distortion of the GM frequency spectrum in terms of R-omega, can predict well the turbulent dissipation rates at most of the stations, whereas the shear-based parameterization (the strain-based parameterization) tends to overestimate (underestimate) the directly measured turbulent dissipation rates. However, at the observation stations located on the ACC jets, both the Gregg-Henyey-Polzin and Ijichi-Hibiya parameterizations tend to overestimate the turbulent dissipation rates by a factor of similar to 3. The most likely cause of the overestimates is spatial anisotropy of the internal wavefield associated with large-amplitude monochromatic near-inertial internal waves and/or internal lee waves. Plain Language Summary The Southern Ocean is a special place where the Antarctic Circumpolar Current (ACC) coexists with the energetic internal waves generated by strong westerly wind as well as the ACC impinging on rough topographic features and strong turbulent mixing occurs. Because of the difficulty of direct measurements of turbulent mixing, it is common to employ parameterizations to estimate the intensity of turbulent mixing (epsilon). However, these parameterizations are formulated on the basis of the internal wave theory and do not take into account the existence of strong flows like the ACC. Therefore, in this study, we carry out direct measurements of turbulent mixing to assess the validity of existing parameterizations of deep ocean mixing in the ACC region. Through the comparison of the directly measured E and those inferred from parameterizations, we find that the Gregg-Henyey-Polzin and Ijichi-Hibiya parameterizations can predict E well at the most of the observation stations but tend to overestimate epsilon by a factor of similar to 3 at the stations located on the ACC jets. These overestimates are most likely explained by the spatially anisotropic internal wavefield associated with large-amplitude monochromatic internal waves, which are generated and/or amplified by the ACC.</t>
  </si>
  <si>
    <t>[Takahashi, Anne; Hibiya, Toshiyuki] Univ Tokyo, Grad Sch Sci, Dept Earth &amp; Planetary Sci, Tokyo, Japan</t>
  </si>
  <si>
    <t>University of Tokyo</t>
  </si>
  <si>
    <t>Takahashi, A (corresponding author), Univ Tokyo, Grad Sch Sci, Dept Earth &amp; Planetary Sci, Tokyo, Japan.</t>
  </si>
  <si>
    <t>anne@eps.s.u-tokyo.ac.jp</t>
  </si>
  <si>
    <t>HIBIYA, TOSHIYUKI/G-5051-2014</t>
  </si>
  <si>
    <t>Copernicus Marine and Environment Monitoring Service (CMEMS); Japan Society for the Promotion of Science (JSPS) KAKENHI grants [15H02131, 17J06060]; Grants-in-Aid for Scientific Research [17J06060, 15H02131] Funding Source: KAKEN</t>
  </si>
  <si>
    <t>Copernicus Marine and Environment Monitoring Service (CMEMS); Japan Society for the Promotion of Science (JSPS) KAKENHI grants; Grants-in-Aid for Scientific Research(Ministry of Education, Culture, Sports, Science and Technology, Japan (MEXT)Japan Society for the Promotion of ScienceGrants-in-Aid for Scientific Research (KAKENHI))</t>
  </si>
  <si>
    <t>All observational data used in this study were obtained on the 19th Kaiyodai Antarctic Research Expedition (KARE19). We are deeply grateful to the captain, officers, and crew of the T/V Umitaka-Maru of Tokyo University of Marine Science and Technology for supporting our observations. We would like to thank Yujiro Kitade and Keishi Shimada, who provided us CTD and LADCP data. Ren-Chieh Lien and Katy L. Sheen provided us with invaluable comments on our original manuscript. AVISO sea surface height products are supported by the Copernicus Marine and Environment Monitoring Service (CMEMS). WOCE Global Hydrographic Climatology data were downloaded from https://icdc.cen.uni-hamburg.de/1/daten/ocean/woce-climatology.html.Observational data used in this paper are publicly available at http://www-aos.eps.s.u-tokyo.ac.jp/similar to takahashi/UM-15-08data/.This research was supported by the Japan Society for the Promotion of Science (JSPS) KAKENHI grants 15H02131 to T. Hibiya and 17J06060 to A. Takahashi.</t>
  </si>
  <si>
    <t>2169-9275</t>
  </si>
  <si>
    <t>2169-9291</t>
  </si>
  <si>
    <t>J GEOPHYS RES-OCEANS</t>
  </si>
  <si>
    <t>J. Geophys. Res.-Oceans</t>
  </si>
  <si>
    <t>10.1029/2018JC014030</t>
  </si>
  <si>
    <t>HL4UE</t>
  </si>
  <si>
    <t>WOS:000458718600008</t>
  </si>
  <si>
    <t>Davis, PED; Johnson, HL; Melling, H</t>
  </si>
  <si>
    <t>Davis, Peter E. D.; Johnson, Helen L.; Melling, Humfrey</t>
  </si>
  <si>
    <t>Propagation and Vertical Structure of the Tidal Flow in Nares Strait</t>
  </si>
  <si>
    <t>LIQUID FRESH-WATER; SEA-ICE; ARCTIC-OCEAN; HARMONIC-ANALYSIS; TIDES; SHELF; CURRENTS; FLUXES; VOLUME; VARIABILITY</t>
  </si>
  <si>
    <t>The southward freshwater flux through Nares Strait is an important component of the Arctic's freshwater budget. On short time scales, flow through the strait is dominated by the tides, and tidal dynamics may be important for the magnitude of the freshwater flux over longer periods. Here we build upon our existing knowledge of the tides in the region by exploring their propagation and vertical structure using data from four bottom-mounted Acoustic Doppler Current Profilers deployed in Nares Strait between 2003 and 2006. We observe that propagating barotropic semidiurnal tidal waves interact to create a standing wave pattern, explaining the abnormally large tidal amplitudes that are observed in this region. In the along-strait direction, semidiurnal tidal currents exhibit strong variations with depth. In contrast, the diurnal tides propagate northward through the strait as progressive waves, and the tidal currents are broadly depth invariant. Proximity of Nares Strait to the semidiurnal critical latitude and the topographical restriction imposed by the steep side wall of Ellesmere Island are primary drivers behind the observed vertical variability. In the upper part of the water column, baroclinic activity increases the tidal current amplitude by up to 25%. In the across-strait direction, a two-layer structure exists in both the diurnal and semidiurnal tidal flow, with a phase lag of approximately a quarter of a tidal cycle across the strait for the semidiurnal tide. Our results suggest that strong vertical motion exists against the side walls of Nares Strait, as the across-strait flow interacts with the steeply sloping bathymetry.</t>
  </si>
  <si>
    <t>[Davis, Peter E. D.] British Antarctic Survey, Cambridge, England; [Johnson, Helen L.] Univ Oxford, Dept Earth Sci, Oxford, England; [Melling, Humfrey] Fisheries &amp; Oceans Canada, Inst Ocean Sci, Sidney, BC, Canada</t>
  </si>
  <si>
    <t>UK Research &amp; Innovation (UKRI); Natural Environment Research Council (NERC); NERC British Antarctic Survey; University of Oxford; Fisheries &amp; Oceans Canada</t>
  </si>
  <si>
    <t>Davis, PED (corresponding author), British Antarctic Survey, Cambridge, England.</t>
  </si>
  <si>
    <t>petvis@bas.ac.uk</t>
  </si>
  <si>
    <t>Johnson, Helen/0000-0003-1873-2085; Davis, Peter/0000-0002-6471-6310</t>
  </si>
  <si>
    <t>National Science Foundation [OPP-0230236]; Natural Environment Research Council [NE/H01988X/1]; NERC [NE/I029633/1, NE/K010948/1, bas0100033, NE/H01988X/1] Funding Source: UKRI</t>
  </si>
  <si>
    <t>National Science Foundation(National Science Foundation (NSF)); Natural Environment Research Council(UK Research &amp; Innovation (UKRI)Natural Environment Research Council (NERC)); NERC(UK Research &amp; Innovation (UKRI)Natural Environment Research Council (NERC))</t>
  </si>
  <si>
    <t>We would like to acknowledge and thank Andreas Munchow for his invaluable contribution to the funding, deployment, and recovery of the ADCP instrument array in Nares Strait. We thank the officers and crew of USCGC Healy and CCGS Henry Larsen for all their hard work during deployment and recovery. We also thank technicians Peter Gamble, Jonathan Poole, Ron Lindsay, and Dave Huntley, whose capabilities were essential to the field component of this Canadian Arctic Through-flow Study. Funding for the operations of and capital equipment needed for this work was provided by the National Science Foundation (grant OPP-0230236) and by the Canadian Department of Fisheries and Oceans-staff, institutional support, and logistical infrastructure. H. L. J. and P. D. were funded by the Natural Environment Research Council, grant NE/H01988X/1. We are also grateful for the comments from Laurie Padman and two anonymous reviewers that significantly improved the manuscript. The data used in this study can be found at https://arcticdata.io/catalog/#view/doi:10.5065/D698854C, and the TPXO8-atlas data can be downloaded from http://volkov.oce.orst.edu/tides/tpxo8_atlas.html.</t>
  </si>
  <si>
    <t>10.1029/2018JC014122</t>
  </si>
  <si>
    <t>WOS:000458718600017</t>
  </si>
  <si>
    <t>Talley, LD; Rosso, I; Kamenkovich, I; Mazloff, MR; Wang, J; Boss, E; Gray, AR; Johnson, KS; Key, RM; Riser, SC; Williams, NL; Sarmiento, JL</t>
  </si>
  <si>
    <t>Talley, L. D.; Rosso, I.; Kamenkovich, I.; Mazloff, M. R.; Wang, J.; Boss, E.; Gray, A. R.; Johnson, K. S.; Key, R. M.; Riser, S. C.; Williams, N. L.; Sarmiento, J. L.</t>
  </si>
  <si>
    <t>Southern Ocean Biogeochemical Float Deployment Strategy, With Example From the Greenwich Meridian Line (GO-SHIP A12)</t>
  </si>
  <si>
    <t>TOTAL GEOSTROPHIC CIRCULATION; ANTARCTIC INTERMEDIATE WATER; GLOBAL OCEAN; SEA-ICE; PROFILING FLOATS; OVERTURNING CIRCULATION; GENERAL-CIRCULATION; MAUD-RISE; HEAT; CARBON</t>
  </si>
  <si>
    <t>Biogeochemical Argo floats, profiling to 2,000-m depth, are being deployed throughout the Southern Ocean by the Southern Ocean Carbon and Climate Observations and Modeling program (SOCCOM). The goal is 200 floats by 2020, to provide the first full set of annual cycles of carbon, oxygen, nitrate, and optical properties across multiple oceanographic regimes. Building from no prior coverage to a sparse array, deployments are based on prior knowledge of water mass properties, mean frontal locations, mean circulation and eddy variability, winds, air-sea heat/freshwater/carbon exchange, prior Argo trajectories, and float simulations in the Southern Ocean State Estimate and Hybrid Coordinate Ocean Model (HYCOM). Twelve floats deployed from the 2014-2015 Polarstern cruise from South Africa to Antarctica are used as a test case to evaluate the deployment strategy adopted for SOCCOM's 20 deployment cruises and 126 floats to date. After several years, these floats continue to represent the deployment zones targeted in advance: (1) Weddell Gyre sea ice zone, observing the Antarctic Slope Front, and a decadally-rare polynya over Maud Rise; (2) Antarctic Circumpolar Current (ACC) including the topographically steered Southern Zone chimney where upwelling carbon/nutrient-rich deep waters produce surprisingly large carbon dioxide outgassing; (3) Subantarctic and Subtropical zones between the ACC and Africa; and (4) Cape Basin. Argo floats and eddy-resolving HYCOM simulations were the best predictors of individual SOCCOM float pathways, with uncertainty after 2years of order 1,000km in the sea ice zone and more than double that in and north of the ACC. Plain Language Summary The Southern Ocean, which surrounds Antarctica, is a huge, very sparsely observed region. But we know from the decades of observations and from computer models that the Southern Ocean is a major player in the Earth's climate, taking up a significant fraction of the excess carbon dioxide from the atmosphere and absorbing a large fraction of the extra heat that results from that extra carbon dioxide. The extra carbon dioxide is also acidifying the Southern Ocean waters. To observe these, we are expanding one of the major ocean-observing systems: Argo profiling floats that measure temperature and salinity to 2,000-m depth every 10days. SOCCOM has (1) added extra sensors that measure the ocean's pH, oxygen, nitrate, chlorophyll, and particles; (2) developed algorithms to derive the rest of the carbon budget terms, and (3) vigorously expanded Argo into the enormous seasonal ice zone. We are deploying about 30 floats per year all around Antarctica. We describe our strategy for float deployments in 2014 in the large region between Africa and Antarctica, describing the circulation, water properties, and forcing of this region. We evaluate how well we met our goal of sampling each of the distinct oceanographic regimes.</t>
  </si>
  <si>
    <t>[Talley, L. D.; Rosso, I.; Mazloff, M. R.] Univ Calif San Diego, Scripps Inst Oceanog, La Jolla, CA 92093 USA; [Kamenkovich, I.] Univ Miami, Rosenstiel Sch Marine &amp; Atmospher Sci, 4600 Rickenbacker Causeway, Miami, FL 33149 USA; [Wang, J.] CALTECH, Jet Prop Lab, Pasadena, CA USA; [Boss, E.] Univ Maine, Sch Marine Sci, Orono, ME USA; [Gray, A. R.; Riser, S. C.] Univ Washington, Sch Oceanog, Seattle, WA 98195 USA; [Johnson, K. S.] Monterey Bay Aquarium Res Inst, Moss Landing, CA USA; [Key, R. M.; Sarmiento, J. L.] Princeton Univ, Program Atmospher &amp; Ocean Sci, Princeton, NJ 08544 USA; [Williams, N. L.] Oregon State Univ, Coll Earth Ocean &amp; Atmospher Sci, Corvallis, OR 97331 USA; [Williams, N. L.] NOAA, Pacific Marine Environm Lab, 7600 Sand Point Way Ne, Seattle, WA 98115 USA</t>
  </si>
  <si>
    <t>University of California System; University of California San Diego; Scripps Institution of Oceanography; University of Miami; National Aeronautics &amp; Space Administration (NASA); NASA Jet Propulsion Laboratory (JPL); California Institute of Technology; University of Maine System; University of Maine Orono; University of Washington; University of Washington Seattle; Monterey Bay Aquarium Research Institute; Princeton University; National Oceanic Atmospheric Admin (NOAA) - USA; Oregon State University; National Oceanic Atmospheric Admin (NOAA) - USA</t>
  </si>
  <si>
    <t>Talley, LD (corresponding author), Univ Calif San Diego, Scripps Inst Oceanog, La Jolla, CA 92093 USA.</t>
  </si>
  <si>
    <t>ltalley@ucsd.edu</t>
  </si>
  <si>
    <t>Wang, Jinbo/H-1174-2015; Williams, Nancy L./ABH-4755-2020; Kamenkovich, Igor/AAG-3451-2019; Boss, Emmanuel/AAF-2336-2019; Boss, Emmanuel/C-5765-2009; Mazloff, Matthew/AAG-6463-2019; Johnson, Kenneth/F-9742-2011</t>
  </si>
  <si>
    <t>Wang, Jinbo/0000-0001-5034-5566; Williams, Nancy L./0000-0002-6541-9385; Boss, Emmanuel/0000-0002-8334-9595; Mazloff, Matthew/0000-0002-1650-5850; Gray, Alison/0000-0002-1644-7654; Talley, Lynne/0000-0003-1574-729X; Johnson, Kenneth/0000-0001-5513-5584; rosso, isabella/0000-0002-6761-7297; Kamenkovich, Igor/0000-0001-6228-5599</t>
  </si>
  <si>
    <t>NSF [PLR-1425989]; international Argo Program; NOAA [NNX14AP49G, NNX14AP496]</t>
  </si>
  <si>
    <t>NSF(National Science Foundation (NSF)); international Argo Program; NOAA(National Oceanic Atmospheric Admin (NOAA) - USA)</t>
  </si>
  <si>
    <t>Support for SOCCOM observations was provided by NSF PLR-1425989, the international Argo Program, and the NOAA programs that contribute to it and NASA NNX14AP49G and NNX14AP496. J. W. acknowledges support from NSF OCE-1234473 and declares that this work was done as a private venture and not in the author's capacity as an employee of the Jet Propulsion Laboratory, California Institute of Technology. The UW Argo float lab, the MBARI float sensor group, and engineers at Seabird built and managed the SOCCOM floats and sensors. Chief Scientist Olaf Boebel and Mario Hoppema of the Alfred Wegener Institute led the Polarstern Expedition PS89 (ANT-XXX/2) and provided CTD/hydrographic data. Hannah Zanowski, SIO Shipboard Technical Support, and Andrew Dickson's lab at SIO collected and analyzed SOCCOM shipboard samples. A snapshot of the quality-controlled SOCCOM biogeochemical float data used in this study is available at http://doi.org/10.6075/J0QC01DJ.Data and graphics of float physical and most biogeochemical properties are available in near real time through the Coriolis database (http://www.ifremer.fr/co-argoFloats/).The float temperature and salinity data used in this project are available at http://doi.org/10.17882/42182 and were made freely available by the International Argo Program and the national programs that contribute to it. All data from Polarstern PS89 are archived at Pangaea (https://www.pangaea.de).Hydrographic data from the Polarstern PS89 cruise are available at https://cchdo.ucsd.edu/cruise/06AQ20141202.A table linking all PS89 SOCCOM calibration data sets is available at http://soccom.princeton.edu/content/status-tables.The WOCE Hydrographic Programme data set from 1992, Polarstern ANTX_4 (Chief Scientist P. Lemke) is available at https://cchdo.ucsd.edu/cruise/06AQANTX_4.Particle tracking in SOSE was carried out using the Octopus software developed by J. Wang (NASA JPL; http://github.com/jinbow/octopus/).Angelique Haza (RSMAS) performed the HYCOM simulations. Paul Chamberlain provided SOCCOM float plots.</t>
  </si>
  <si>
    <t>10.1029/2018JC014059</t>
  </si>
  <si>
    <t>Green Submitted, Green Published, hybrid</t>
  </si>
  <si>
    <t>WOS:000458718600024</t>
  </si>
  <si>
    <t>Orúe-Echevarría, D; Pelegrí, JL; Machín, F; Hernández-Guerra, A; Emelianov, M</t>
  </si>
  <si>
    <t>Orue-Echevarria, Dorleta; Pelegri, Josep L.; Machin, Francisco; Hernandez-Guerra, Alonso; Emelianov, Mikhail</t>
  </si>
  <si>
    <t>Inverse Modeling the Brazil-Malvinas Confluence</t>
  </si>
  <si>
    <t>SOUTH-ATLANTIC; SATELLITE ALTIMETRY; VOLUME TRANSPORT; CIRCULATION; CURRENTS; VARIABILITY; VELOCITY; WATER; FRONTS; EDDIES</t>
  </si>
  <si>
    <t>The Brazil-Malvinas Confluence arises from the frontal encountering of the subtropical Brazil Current and subantarctic Malvinas Current. It displays a complex regional circulation that is accompanied by mesoscale features and thermohaline intrusions. Here we combine altimetry and cruise data to describe the circulation pattern in the upper 2,000m at two spatial scales encircling the frontal system. The major regional features appear south of the confluence latitude at 39-40 degrees S: (a) a relatively weak Malvinas Current near 41 degrees S, 56 degrees W (28.3 +/- 1.4Sv), followed by its cyclonic retroflection; (b) an intense subtropical anticyclone (59.3 +/- 10.7Sv) that replaces the Brazil Current overshoot; and (c) a very intense subantarctic inflow (78.9 +/- 13.7Sv) near 53 degrees W that is maintained through both an upstream (near 42 degrees S) earlier diversion of the Malvinas Current and the cyclonic recirculation of the flow exiting east along the confluence. North of the confluence, the Brazil Current provides a net input of 30.8 +/- 12.0Sv (29.1 +/- 8.3Sv along the slope). The southern inflow splits nearly equal between barotropic and baroclinic contributions while the entire northern flow is essentially baroclinic. These northern and southern inputs add to an eastward along-front transport of 109.7 +/- 15.1Sv, with significant contribution of highly oxygenated, relatively fresh Subantarctic Mode and Antarctic Intermediate Waters (58.7 +/- 5.6Sv). The regional circulation experiences substantial temporal variability, with southern waters flowing into the Brazil-Malvinas Confluence through along-slope and interior pathways and partly recirculating within the subtropical South Atlantic gyre. Plain Language Summary The Brazil Malvinas Confluence is an intense frontal system, the meeting point of the southward Brazil Current, which transports subtropical relatively warm, salty, and poorly oxygenated waters, and the Malvinas Current, carrying subantarctic relatively fresh, cold, and highly oxygenated waters. Here we examine the conditions in the confluence at the time of the TIC-MOC cruise, paying special attention to their previous evolution. South of the confluence (39-40 degrees S), the circulation is characterized by a relatively weak along-slope Malvinas Current and an interior intense dipole while north of the confluence the main current is the along-slope Brazil Current; the southern and northern inputs conduce to a very intense eastward along-front South Atlantic Current. We find that the conditions at the confluence are forced by both the impinging boundary currents and the interior ocean conditions. Further, the confluence is a site where subantarctic waters flow underneath the subtropical layers and recirculate south after experiencing substantial transformations in the subtropical gyre. We may conclude that the confluence acts both as a barrier and a blender of subtropical and subantarctic waters, of especial relevance in the meridional transport of heat and other properties.</t>
  </si>
  <si>
    <t>[Orue-Echevarria, Dorleta; Pelegri, Josep L.; Emelianov, Mikhail] CSIC, Inst Ciencias Mar, Dept Oceanog Fis &amp; Tecnol, Unidad Asociada ULPGC CSIC, Barcelona, Spain; [Machin, Francisco] Univ Las Palmas Gran Canaria, Dept Fis, Las Palmas Gran Canaria, Spain; [Hernandez-Guerra, Alonso] Univ Las Palmas Gran Canaria, Unidad Asociada ULPGC CSIC, Inst Oceanog &amp; Cambio Global, Las Palmas Gran Canaria, Spain</t>
  </si>
  <si>
    <t>Consejo Superior de Investigaciones Cientificas (CSIC); CSIC - Centro Mediterraneo de Investigaciones Marinas y Ambientales (CMIMA); CSIC - Instituto de Ciencias del Mar (ICM); Universidad de Las Palmas de Gran Canaria; Universidad de Las Palmas de Gran Canaria</t>
  </si>
  <si>
    <t>Orúe-Echevarría, D; Pelegrí, JL (corresponding author), CSIC, Inst Ciencias Mar, Dept Oceanog Fis &amp; Tecnol, Unidad Asociada ULPGC CSIC, Barcelona, Spain.</t>
  </si>
  <si>
    <t>dorleta.orue@gmail.com; pelegri@icm.csic.es</t>
  </si>
  <si>
    <t>Hernandez-Guerra, Alonso/A-4747-2008; Pelegrí, Josep L/L-5815-2014; Machin, Francisco/A-9287-2009; Emelianov, Mikhail/M-1400-2014</t>
  </si>
  <si>
    <t>Hernandez-Guerra, Alonso/0000-0002-4883-8123; Pelegrí, Josep L/0000-0003-0661-2190; Machin, Francisco/0000-0002-4281-6804; Emelianov, Mikhail/0000-0002-1459-2911; Orue-Echevarria, Dorleta/0000-0002-9459-5126</t>
  </si>
  <si>
    <t>Spanish Government through project TIC-MOC [CTM2011-28867]; Spanish Government through project VA-DE-RETRO [CTM2014-56987-P]; RIS-3, PO Feder Canarias through project BOUNDARY [ProID2017010083]; FPU [FPU2013-02884]</t>
  </si>
  <si>
    <t>Spanish Government through project TIC-MOC; Spanish Government through project VA-DE-RETRO; RIS-3, PO Feder Canarias through project BOUNDARY; FPU(Spanish Government)</t>
  </si>
  <si>
    <t>We are very grateful to the crew, technicians, and scientists in the R/V Hesperides for their work during TIC-MOC cruise. We are also indebted to Fabrice Hernandez and the entire MyOcean team at Mercator Ocean for providing the one-week-window daily forecasts during the TIC-MOC cruise. We are also thankful to Silvia Garzoli and another two anonymous reviewers for their constructive and useful comments and suggestions. This research has been supported by the Spanish Government through projects TIC-MOC (CTM2011-28867) and VA-DE-RETRO (CTM2014-56987-P), and by RIS-3, PO Feder Canarias through project BOUNDARY (ProID2017010083). Dorleta Orue-Echevarria has been funded through an FPU contract (ref. FPU2013-02884). In situ CTD and ADCP data are available at Pelegri et al. (2018). Satellite altimetry data are available at Copernicus Marine Environment monitoring service (CMEMS; http://marine.copernicus.eu/) and SST data at NOAA AVHRR Pathfinder version 5.3 (https://data.nodc.noaa.go).Data for the determination of climatological isoneutral surfaces are available at NOAA's National Centers for Environmental Information World Ocean Database 2013 (https://www.nodc.noaa.gov/OC5/WOD13/).Argo data were collected and made freely available by the International Argo Program and the national programs that contribute to it (http://www.argo.ucsd.edu/and http://www.jcommops.org).The Argo Program is part of the Global Ocean Observing System (http://doi.org/10.17882/42182).This article is a publication of the Unidad Oceano y Clima of the Universidad de Las Palmas de Gran Canaria, a R&amp;D&amp;i CSIC-associate unit.</t>
  </si>
  <si>
    <t>10.1029/2018JC014733</t>
  </si>
  <si>
    <t>WOS:000458718600030</t>
  </si>
  <si>
    <t>Vancoppenolle, M; Madec, G; Thomas, M; McDougall, TJ</t>
  </si>
  <si>
    <t>Vancoppenolle, Martin; Madec, Gurvan; Thomas, Max; McDougall, Trevor J.</t>
  </si>
  <si>
    <t>Thermodynamics of Sea Ice Phase Composition Revisited</t>
  </si>
  <si>
    <t>sea ice; phase composition; brine; thermodynamics; FREZCHEM; TEOS-10</t>
  </si>
  <si>
    <t>SALINITY; SEAWATER; TEMPERATURE; DYNAMICS; MODEL; ABSOLUTE; GYPSUM; SCALE</t>
  </si>
  <si>
    <t>Pure ice, brine and solid minerals are the main contributors to sea ice mass. Constitutional changes with salinity and temperature exert a fundamental control on sea ice physical, chemical, and biological properties. However, current estimation methods and model representations of the sea ice phase composition suffer from two limitations-in a context of poorly quantified uncertainties. First, salt minerals are neglected. Second, formulations are inconsistent with international standards, in particular with the International Thermodynamic Equation of Seawater (TEOS-10). To address these issues, we revisit the thermodynamics of the sea ice phase composition by confronting observations, theory, and the usual computation methods. We find remarkable agreement between observations and the Gibbs-Pitzer theory as implemented in FREZCHEM, both for brine salinity (RMSE = 1.9 g/kg) and liquid H2O mass fraction (RMSE = 8.6 g/kg). On this basis, we propose expanded sea ice phase composition equations including minerals, expressed in terms of International Temperature Scale 1990 temperature and absolute salinity, and valid down to the eutectic temperature (-36.2 degrees C). These equations precisely reproduce FREZCHEM, outcompeting currently used calculation techniques. We also suggest a modification of the TEOS-10 seawater Gibbs function giving a liquidus curve consistent with observations down to the eutectic temperature without changing TEOS-10 inside its original validity range.</t>
  </si>
  <si>
    <t>[Vancoppenolle, Martin; Madec, Gurvan] Sorbonne Univ, Lab Oceanog &amp; Climat LOCEAN, IPSL, CNRS,IRD,MNHN, Paris, France; [Thomas, Max] Univ East Anglia, Sch Environm Sci, Norwich, Norfolk, England; [McDougall, Trevor J.] Univ New South Wales, Sch Math &amp; Stat, Sydney, NSW, Australia</t>
  </si>
  <si>
    <t>Museum National d'Histoire Naturelle (MNHN); Sorbonne Universite; Universite Paris Cite; Centre National de la Recherche Scientifique (CNRS); Institut de Recherche pour le Developpement (IRD); University of East Anglia; University of New South Wales Sydney</t>
  </si>
  <si>
    <t>Vancoppenolle, M (corresponding author), Sorbonne Univ, Lab Oceanog &amp; Climat LOCEAN, IPSL, CNRS,IRD,MNHN, Paris, France.</t>
  </si>
  <si>
    <t>martin.vancoppenolle@locean-ipsl.upmc.fr</t>
  </si>
  <si>
    <t>Vancoppenolle, Martin/AAA-7711-2022; McDougall, Trevor J/A-6770-2013; Vancoppenolle, Martin/B-3750-2011; madec, gurvan/E-7825-2010</t>
  </si>
  <si>
    <t>Vancoppenolle, Martin/0000-0002-7573-8582; Vancoppenolle, Martin/0000-0002-7573-8582; madec, gurvan/0000-0002-6447-4198; Thomas, Max/0000-0002-2327-3664</t>
  </si>
  <si>
    <t>BEPSII (Biogeochemical Exchange Processes at the Sea-Ice Interfaces), a network - Scientific Committee on Antarctic Research (SCAR); Climate and Cryosphere (CliC) project of the World Climate Research Programme (WCRP); Surface Ocean Lower Atmosphere Study (SOLAS); European Union's Horizon 2020 research and innovation programme through the EUROCHAMP-2020 Infrastructure Activity [730997]; Australian Research Council [FL150100090]</t>
  </si>
  <si>
    <t>BEPSII (Biogeochemical Exchange Processes at the Sea-Ice Interfaces), a network - Scientific Committee on Antarctic Research (SCAR); Climate and Cryosphere (CliC) project of the World Climate Research Programme (WCRP); Surface Ocean Lower Atmosphere Study (SOLAS); European Union's Horizon 2020 research and innovation programme through the EUROCHAMP-2020 Infrastructure Activity; Australian Research Council(Australian Research Council)</t>
  </si>
  <si>
    <t>We gratefully thank Benjamin Butler for sharing liquidus salinity observations, Odile Crabeck for scientific discussions, two anonymous reviewers and Rainer Feistel for their detailed and constructive comments, and Ioulia Nikolskaia for help on some of the figures. This work was carried out under the auspices of BEPSII (Biogeochemical Exchange Processes at the Sea-Ice Interfaces), a network supported by the Scientific Committee on Antarctic Research (SCAR), the Climate and Cryosphere (CliC) project of the World Climate Research Programme (WCRP) and by the Surface Ocean Lower Atmosphere Study (SOLAS). M. T. acknowledges funding from the European Union's Horizon 2020 research and innovation programme through the EUROCHAMP-2020 Infrastructure Activity under grant agreement 730997. T. McD. gratefully acknowledges Australian Research Council support through grant FL150100090. All materials used in this paper are available at https://zenodo.org/record/2154278#.XC33789KjOR.</t>
  </si>
  <si>
    <t>10.1029/2018JC014611</t>
  </si>
  <si>
    <t>Green Submitted, Bronze, Green Accepted</t>
  </si>
  <si>
    <t>WOS:000458718600034</t>
  </si>
  <si>
    <t>Horvath, I; Lovell, BC</t>
  </si>
  <si>
    <t>Horvath, Ildiko; Lovell, Brian C.</t>
  </si>
  <si>
    <t>Investigating the Development of Abnormal Subauroral Ion Drifts (ASAID) During the Magnetically Quiet Times of October 2003</t>
  </si>
  <si>
    <t>JOURNAL OF GEOPHYSICAL RESEARCH-SPACE PHYSICS</t>
  </si>
  <si>
    <t>IONOSPHERIC ELECTRIC-FIELD; PARTICLE INJECTIONS; INNER MAGNETOSPHERE; PLASMA CONVECTION; F-LAYER; SUBSTORM; DAYSIDE; DRIVEN; FLOW; PRECIPITATION</t>
  </si>
  <si>
    <t>Appearing as inverted subauroral ion drifts (SAID) during magnetically disturbed and quiet times, the abnormal SAID (ASAID) is a recently reported phenomenon. Disturbed-time ASAID development can be explained with a magnetospheric cold-plasma-shoulder-hot-ring-current interface layer that generates an earthward (or inward) magnetospheric electric (E) field, which maps down to the ionospheric cold-plasma-trough-hot-ring-current interface layer as a southward (or equatorward) ionospheric E field. However, this plasmaspheric shoulder cannot develop under magnetically quiet conditions. Therefore, the quiet time ASAID development is still not clear and our main aim is to unravel its development. We analyze multisatellite and multiinstrument observations and show four scenarios demonstrating ASAID events during the magnetically quiet period of 9-11 October 2003. Results obtained for the longer 9-12 October 2003 time period provide observational evidence of the continuous presence of solar wind Alfven waves (i) driving dayside magnetopause and nightside magnetotail reconnections, (ii) bouncing back and forth in the coupled magnetosphere and ionosphere, and thus (iii) creating bouncing Alfven waves that ripple the plasma sheet's inner edge during the ASAID events investigated. These observational results suggest that the bouncing Alfven waves led to the development of a magnetospheric cold-plasma-ripple-hot-ring-current interface layer during these quiet times leading to quiet time ASAID development. Confirming this suggestion, we demonstrate and analyze 10 February and 5 March 1991 scenarios, depicting ASAID events, and invoke published magnetospheric cross-tail E-y observations evidencing bouncing Alfven waves and plasma sheet rippling during the underlying energetic particle injection events.</t>
  </si>
  <si>
    <t>[Horvath, Ildiko; Lovell, Brian C.] Univ Queensland, Sch Informat Technol &amp; Elect Engn, Secur &amp; Surveillance Res Grp, Brisbane, Qld, Australia</t>
  </si>
  <si>
    <t>University of Queensland</t>
  </si>
  <si>
    <t>Horvath, I (corresponding author), Univ Queensland, Sch Informat Technol &amp; Elect Engn, Secur &amp; Surveillance Res Grp, Brisbane, Qld, Australia.</t>
  </si>
  <si>
    <t>ihorvath@itee.uq.edu.au</t>
  </si>
  <si>
    <t>Lovell, Brian/0000-0001-6722-1754; Horvath, Ildiko/0000-0002-1899-3907</t>
  </si>
  <si>
    <t>Air Force Office of Scientific Research [FA2386-17-1-4109]</t>
  </si>
  <si>
    <t>Air Force Office of Scientific Research(United States Department of DefenseAir Force Office of Scientific Research (AFOSR))</t>
  </si>
  <si>
    <t>This material is based on research sponsored by the Air Force Office of Scientific Research, under agreement FA2386-17-1-4109. The U.S. Government is authorized to reproduce and distribute reprints for governmental purposes notwithstanding any copyright notation thereon. We gratefully acknowledge the LANL data (https://cdaweb.gsfc.nasa.gov/cgi-bin/eval1.cgi) and the OMNI database (https://cdaweb.gsfc.nasa.gov/cgi-bin/eval2.cgi) for the solar and magnetic data. We are grateful to the ACE SWEPAM instrument team, the ACE Science Center for providing the ACE data (http://www.srl.caltech.edu/ACE/ASC/level2/) and to the CEDAR Archival Madrigal Database (http://cedar.openmadrigal.org/) and the U.S. Air Force for providing the DMSP thermal plasma data. We also thank the World Data Center for Geomagnetism at Kyoto (http://wdc.kugi.kyoto-u.ac.jp/wdc/Sec3.html) for providing the geomagnetic indices and magnetic data and both The Technical University of Denmark and the Arctic and Antarctic Research Institute for the PCN index (http://pcindex.org/).</t>
  </si>
  <si>
    <t>2169-9380</t>
  </si>
  <si>
    <t>2169-9402</t>
  </si>
  <si>
    <t>J GEOPHYS RES-SPACE</t>
  </si>
  <si>
    <t>J. Geophys. Res-Space Phys.</t>
  </si>
  <si>
    <t>10.1029/2018JA026230</t>
  </si>
  <si>
    <t>HL4XQ</t>
  </si>
  <si>
    <t>WOS:000458729500045</t>
  </si>
  <si>
    <t>Macotela, EL; Clilverd, M; Manninen, J; Moffat-Griffin, T; Newnham, DA; Raita, T; Rodger, CJ</t>
  </si>
  <si>
    <t>Macotela, Edith L.; Clilverd, Mark; Manninen, Jyrki; Moffat-Griffin, Tracy; Newnham, David A.; Raita, Tero; Rodger, Craig J.</t>
  </si>
  <si>
    <t>D-Region High-Latitude Forcing Factors</t>
  </si>
  <si>
    <t>IONOSPHERIC D-REGION; SOLAR-WIND SPEED; GEOMAGNETIC-ACTIVITY; SEMIANNUAL VARIATION; WAVELET TRANSFORM; X-RAY; PERIODICITIES; POLARITY; FLARES</t>
  </si>
  <si>
    <t>The subionospheric very low frequency (VLF) radio wave technique provides the possibility of investigating the response of the ionospheric D-region to a diversity of transient and long-term physical phenomena originating from above (e.g., energetic particle precipitation) and from below (e.g., atmospheric waves). In this study, we identify the periodicities that appear in VLF measurements and investigate how they may be related to changes in space weather and atmospheric activity. The powerful VLF signal transmitted from NAA (24 kHz) on the east coast of the United States, and received at Sodankyld, Finland, was analyzed. Wavelet transform, wavelet power spectrum, wavelet coherence, and cross-wavelet spectrum were computed for daily averages of selected ionospheric, space weather, and atmospheric parameters from November 2008 until June 2018. Our results show that the significant VLF periods that appear during solar cycle 24 are the annual oscillation, semiannual oscillation, 121-day, 86-day, 61-day, and solar rotation oscillations. We found that the annual oscillation corresponds to variability in mesospheric temperature and solar Lyman-alpha (Ly-alpha) flux and the semiannual oscillation to variability in space weather-related parameters. The solar rotation oscillation observed in the VLF variability is mainly related to the Ly-alpha flux variation at solar maximum and to geomagnetic activity variation during the declining phase of the solar cycle. Our results are important since they strengthen our understanding of the Earth's D-region response to solar and atmospheric forcing.</t>
  </si>
  <si>
    <t>[Macotela, Edith L.; Manninen, Jyrki; Raita, Tero] Univ Oulu, Sodankyla Geophys Observ, Sodankyla, Finland; [Clilverd, Mark; Moffat-Griffin, Tracy; Newnham, David A.] British Antarctic Survey UKRI, Cambridge, England; [Rodger, Craig J.] Univ Otago, Dept Phys, Dunedin, New Zealand</t>
  </si>
  <si>
    <t>University of Oulu; UK Research &amp; Innovation (UKRI); Natural Environment Research Council (NERC); NERC British Antarctic Survey; University of Otago</t>
  </si>
  <si>
    <t>Macotela, EL (corresponding author), Univ Oulu, Sodankyla Geophys Observ, Sodankyla, Finland.</t>
  </si>
  <si>
    <t>edith.macotelacruz@oulu.fi</t>
  </si>
  <si>
    <t>Rodger, Craig/A-1501-2011; Manninen, Jyrki/I-4004-2019</t>
  </si>
  <si>
    <t>Manninen, Jyrki/0000-0003-2866-4231; Raita, Tero/0000-0002-0455-5746; Rodger, Craig J./0000-0002-6770-2707; Macotela, Liliana/0000-0003-3076-1946; Newnham, David/0000-0001-8422-1289</t>
  </si>
  <si>
    <t>Suomen Kulttuurirahasto [00170658]; Tauno Tonningin Saatio [20170007]; Natural Environment Research Council [NE/J022187/1]; NERC [bas0100032, NE/J022187/1, bas0100031, NE/P003478/1, NE/R016038/1] Funding Source: UKRI; Natural Environment Research Council [NE/J022187/1] Funding Source: researchfish</t>
  </si>
  <si>
    <t>Suomen Kulttuurirahasto; Tauno Tonningin Saatio;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</si>
  <si>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E.L.M. was supported by the Suomen Kulttuurirahasto (grant 00170658) and the Tauno Tonningin Saatio (grant 20170007). D.A.N. and M.A.C. were supported in part by the Natural Environment Research Council (grant NE/J022187/1). Data availability is described at the following websites: http://www.sgo.fi/Data/VLF/VLF.php (AARDDVARK), https://omniweb.gsfc.nasa.gov/form/dx1.html (OMNI database), https://umbra.nascom.nasa.gov/sdb/goes/particle/(GOES particle), https://mls.jpl.nasa.gov/products/temp_product.php (EOS MLS), http://sofie.gats-inc.com/sofie/index.php (SOFIE AIM).</t>
  </si>
  <si>
    <t>10.1029/2018JA026049</t>
  </si>
  <si>
    <t>WOS:000458729500048</t>
  </si>
  <si>
    <t>Beard, JM; Moltschaniwskyj, NA; Crawford, CM; Gibson, JAE; Ross, DJ</t>
  </si>
  <si>
    <t>Beard, Jason M.; Moltschaniwskyj, Natalie A.; Crawford, Christine M.; Gibson, John A. E.; Ross, D. Jeff</t>
  </si>
  <si>
    <t>Using macrofaunal communities to inform estuarine classification</t>
  </si>
  <si>
    <t>MARINE AND FRESHWATER RESEARCH</t>
  </si>
  <si>
    <t>distribution; environmental; estuaries; macroinvertebrates; management.</t>
  </si>
  <si>
    <t>NEW-SOUTH-WALES; FRESH-WATER INFLOW; GULF-OF-MEXICO; SPATIAL-PATTERNS; PERMANENTLY OPEN; BENTHIC MACROINVERTEBRATES; INTERMITTENT ESTUARIES; TASMANIAN ESTUARIES; TEMPORAL VARIATION; COASTAL LAKES</t>
  </si>
  <si>
    <t>Worldwide, geomorphological classifications of estuaries are often used to guide the design of monitoring programs and management strategies. However, if classifications do not reflect biotic patterns, the effectiveness of monitoring and management is potentially reduced. In this study, we consider the effectiveness of one classification scheme in describing biotic patterns by examining and comparing spatial variation of macrofaunal assemblages and their relationship with the environment in 12 estuaries of 2 geomorphological types (mesotidal river dominated and permanently open barrier estuaries). Estuaries were sampled at three locations (upper, mid and lower) for macroinvertebrates and environmental characteristics. Differences in macrofaunal assemblages occurred between the estuary types at the lower and mid locations, but not the upper. Similarities in the upper locations were related to sediment, whereas at the mid and lower locations differences were linked to salinity, dissolved oxygen concentrations and seagrass area. Within estuaries, location effects were definitive and unique within each estuary type, correlating to changes in sediment particle size, nitrogen concentration, microphytobenthos and percentage organic carbon. These results suggest that estuarine classification based on physical attributes alone does have the potential to capture important biological attributes if the biological scales of variability within these systems are well understood.</t>
  </si>
  <si>
    <t>[Beard, Jason M.; Crawford, Christine M.; Gibson, John A. E.; Ross, D. Jeff] Univ Tasmania, Inst Marine &amp; Antarctic Studies, Hobart, Tas 7053, Australia; [Moltschaniwskyj, Natalie A.] Fisheries Res, Dept Primary Ind, Locked Bag 1,Taylors Beach Rd, Nelson Bay, NSW 2315, Australia</t>
  </si>
  <si>
    <t>University of Tasmania; NSW Department of Primary Industries</t>
  </si>
  <si>
    <t>Beard, JM (corresponding author), Univ Tasmania, Inst Marine &amp; Antarctic Studies, Hobart, Tas 7053, Australia.</t>
  </si>
  <si>
    <t>jason.beard@utas.edu.au</t>
  </si>
  <si>
    <t>Moltschaniwskyj, Natalie/AAB-7236-2019</t>
  </si>
  <si>
    <t>Moltschaniwskyj, Natalie/0000-0001-9709-9876</t>
  </si>
  <si>
    <t>Australian Government through the Landscape Logic Research Hub under the Commonwealth Environmental Research Facilities (CERF) program; University of Tasmania; Institute for Marine and Antarctic Studies</t>
  </si>
  <si>
    <t>This study was funded by the Australian Government through the Landscape Logic Research Hub under the Commonwealth Environmental Research Facilities (CERF) program. The authors thank the University of Tasmania and the Institute for Marine and Antarctic Studies for providing teaching support and funds for a Masters studentship to Jason Beard.</t>
  </si>
  <si>
    <t>CSIRO PUBLISHING</t>
  </si>
  <si>
    <t>CLAYTON</t>
  </si>
  <si>
    <t>UNIPARK, BLDG 1, LEVEL 1, 195 WELLINGTON RD, LOCKED BAG 10, CLAYTON, VIC 3168, AUSTRALIA</t>
  </si>
  <si>
    <t>1323-1650</t>
  </si>
  <si>
    <t>1448-6059</t>
  </si>
  <si>
    <t>MAR FRESHWATER RES</t>
  </si>
  <si>
    <t>Mar. Freshw. Res.</t>
  </si>
  <si>
    <t>10.1071/MF17372</t>
  </si>
  <si>
    <t>Fisheries; Limnology; Marine &amp; Freshwater Biology; Oceanography</t>
  </si>
  <si>
    <t>HL0AF</t>
  </si>
  <si>
    <t>WOS:000458355200005</t>
  </si>
  <si>
    <t>Kennedy-Asser, AT; Lunt, DJ; Farnsworth, A; Valdes, PJ</t>
  </si>
  <si>
    <t>Kennedy-Asser, A. T.; Lunt, D. J.; Farnsworth, A.; Valdes, P. J.</t>
  </si>
  <si>
    <t>Assessing Mechanisms and Uncertainty in Modeled Climatic Change at the Eocene-Oligocene Transition</t>
  </si>
  <si>
    <t>PALEOCEANOGRAPHY AND PALEOCLIMATOLOGY</t>
  </si>
  <si>
    <t>ANTARCTIC CIRCUMPOLAR CURRENT; DEEP-WATER PRODUCTION; PALEOGEOGRAPHIC CONTROLS; OCEAN CIRCULATION; ICE GROWTH; ONSET; GLACIATION; EVOLUTION; IMPACT; CO2</t>
  </si>
  <si>
    <t>The Earth system changed dramatically across the Eocene-Oligocene Transition (EOT) on a variety of spatial and temporal scales. Understanding the many complex and interacting factors affecting the Earth's atmosphere and oceans at the EOT requires the combination of both data and modeling approaches and an understanding of the uncertainty in both of these elements. Here uncertainty in the Earth system response to various imposed forcings typical of changes at the EOT is assessed. By using an ensemble of simulations from the fully coupled general circulation model, HadCM3L, the uncertainty due to differences in the boundary conditions and insufficient model spin-up is quantified. The surface temperature response in high-latitude ocean regions, particularly where deep water formation occurs, is found to be highly sensitive to differences in boundary conditions (i.e., have the greatest magnitude of uncertainty), while low-latitude oceans are the most insensitive to differences in boundary conditions (i.e., have the lowest magnitude of uncertainty). The length of spin-up (or how far the model is from equilibrium) can have a significant effect on the response to some forcings and on the magnitude of uncertainty due to differences in boundary conditions. These findings are important to consider for future modeling work and for interpreting previous published simulations. Plain Language Summary Around 34 million years ago, the first major ice sheet formed over Antarctica. Understanding why the Earth cooled at this time and how this would have impacted on global climate requires the use of geologic data and computer models. Here multiple coupled climate-ocean model simulations are used to assess changes in modeled climate around this period in the Earth's history. Specifically, the climatic sensitivity to subtle changes in the model setup and how long the simulations are run for (the model spin-up) are evaluated. The temperature response in certain regions is found to be particularly sensitive to changes in the model setup and lack of spin-up. This is the case particularly for high-latitude ocean regions, making it harder to build up a consistent picture of how the climate of these regions changed at this time. Lower latitude oceans are much less sensitive, giving us higher confidence in model results for these regions. In these simulations, the global changes that occurred around 34 million years ago are best described by declining atmospheric pCO(2).</t>
  </si>
  <si>
    <t>[Kennedy-Asser, A. T.; Lunt, D. J.; Farnsworth, A.; Valdes, P. J.] Univ Bristol, Sch Geog Sci, BRIDGE, Bristol, Avon, England; [Kennedy-Asser, A. T.; Lunt, D. J.; Farnsworth, A.; Valdes, P. J.] Univ Bristol, Cabot Inst Environm, Bristol, Avon, England</t>
  </si>
  <si>
    <t>University of Bristol; University of Bristol</t>
  </si>
  <si>
    <t>Kennedy-Asser, AT (corresponding author), Univ Bristol, Sch Geog Sci, BRIDGE, Bristol, Avon, England.;Kennedy-Asser, AT (corresponding author), Univ Bristol, Cabot Inst Environm, Bristol, Avon, England.</t>
  </si>
  <si>
    <t>alan.kennedy@bristol.ac.uk</t>
  </si>
  <si>
    <t>Valdes, Paul J/C-4129-2013; Valdes, Paul/T-2004-2019; Lunt, Daniel/G-9451-2011</t>
  </si>
  <si>
    <t>Valdes, Paul/0000-0002-1902-3283; Kennedy-Asser, Alan/0000-0001-5143-8932; Lunt, Daniel/0000-0003-3585-6928</t>
  </si>
  <si>
    <t>NERC [NE/K014757/1, NE/I005722/1, NE/I005714/1]; NERC [NE/K014757/1, NE/I005722/1, NE/I005714/1] Funding Source: UKRI</t>
  </si>
  <si>
    <t>NERC(UK Research &amp; Innovation (UKRI)Natural Environment Research Council (NERC)); NERC(UK Research &amp; Innovation (UKRI)Natural Environment Research Council (NERC))</t>
  </si>
  <si>
    <t>The authors declare no conflicts of interests. In addition to the model mean data in the supplementary spreadsheet, upon publication, the model data used in all of the analysis will be uploaded to a freely accessible BRIDGE server (https://www.paleo.bristol.ac.uk/ummodel/scripts/papers/), as is the standard protocol at the University of Bristol. A. T. Kennedy-Asser was funded by NERC (NE/L002434/1). A. Farnsworth was funded by NERC (NE/K014757/1, NE/I005722/1, and NE/I005714/1). Climate simulations were carried out using the computational facilities of the Advanced Computing Research Centre, University of Bristol (http://www.bris.ac.uk/acrc; Bluecrystal). We thank the three anonymous reviewers for their helpful comments in developing the manuscript.</t>
  </si>
  <si>
    <t>2572-4517</t>
  </si>
  <si>
    <t>2572-4525</t>
  </si>
  <si>
    <t>PALEOCEANOGR PALEOCL</t>
  </si>
  <si>
    <t>Paleoceanogr. Paleoclimatology</t>
  </si>
  <si>
    <t>10.1029/2018PA003380</t>
  </si>
  <si>
    <t>Geosciences, Multidisciplinary; Oceanography; Paleontology</t>
  </si>
  <si>
    <t>Geology; Oceanography; Paleontology</t>
  </si>
  <si>
    <t>HL4XU</t>
  </si>
  <si>
    <t>WOS:000458730100002</t>
  </si>
  <si>
    <t>Lockwood, M; Bentley, SN; Owens, MJ; Barnard, LA; Scott, CJ; Watt, CE; Allanson, O; Freeman, MP</t>
  </si>
  <si>
    <t>Lockwood, Mike; Bentley, Sarah N.; Owens, Mathew J.; Barnard, Luke A.; Scott, Chris J.; Watt, Clare E.; Allanson, Oliver; Freeman, Mervyn P.</t>
  </si>
  <si>
    <t>The Development of a Space Climatology: 2. The Distribution of Power Input Into the Magnetosphere on a 3-Hourly Timescale</t>
  </si>
  <si>
    <t>SPACE WEATHER-THE INTERNATIONAL JOURNAL OF RESEARCH AND APPLICATIONS</t>
  </si>
  <si>
    <t>INTERPLANETARY MAGNETIC-FIELD; OPEN SOLAR FLUX; SUNSPOT NUMBER; SECULAR VARIATION; WIND; INTENSITY; EVOLUTION; CYCLE; RECONSTRUCTION; PROBABILITY</t>
  </si>
  <si>
    <t>Paper 1 in this series (Lockwood et al., 2018a, https://doi.org/10.1029/2018SW001856) showed that the power input into the magnetosphere P-alpha is an ideal coupling function for predicting geomagnetic range indices that are strongly dependent on the substorm current wedge and that the optimum coupling exponent alpha is 0.44 for all averaging timescales, tau, between 1 min and 1 year. The present paper explores the implications of these results. It is shown that the form of the distribution of P-alpha at all averaging timescales tau is set by the interplanetary magnetic field orientation factor via the nature of solar wind-magnetosphere coupling (due to magnetic reconnection in the dayside magnetopause) and that at tau = 3 hr (the timescale of geomagnetic range indices) the normalized P-alpha (divided by its annual mean, that is, (tau=3hr)/(tau=1yr)) follows a Weibull distribution with k of 1.0625 and lambda of 1.0240. This applies to all years to a useful degree of accuracy. It is shown that exploiting the constancy of this distribution and using annual means to predict the full distribution gives the probability of space weather events in the largest 10% and 5% to within uncertainties of magnitude 10% and 12%, respectively, at the one sigma level. Plain Languages Summary This is another step toward constructing a climatology describing the statistics of how space weather has varied over the past 400 years. This climatology will be valuable in the design of systems vulnerable to space weather. Previous work has showed that the probability of an event of a given magnitude occurring in any 1 year can be predicted from average activity levels in that year. This is an approximate but extremely valuable result that helps us understand the occurrence of events before the space age-however, it is a result that would be more valuable and could be used with greater confidence if we understood why it applies. This paper provides us with that understanding.</t>
  </si>
  <si>
    <t>[Lockwood, Mike; Bentley, Sarah N.; Owens, Mathew J.; Barnard, Luke A.; Scott, Chris J.; Watt, Clare E.; Allanson, Oliver] Univ Reading, Dept Meteorol, Reading, Berks, England; [Freeman, Mervyn P.] British Antarctic Survey, Cambridge, England</t>
  </si>
  <si>
    <t>University of Reading; UK Research &amp; Innovation (UKRI); Natural Environment Research Council (NERC); NERC British Antarctic Survey</t>
  </si>
  <si>
    <t>Lockwood, M (corresponding author), Univ Reading, Dept Meteorol, Reading, Berks, England.</t>
  </si>
  <si>
    <t>m.lockwood@reading.a.uk</t>
  </si>
  <si>
    <t>Allanson, Oliver/GLT-2725-2022; Barnard, Luke/L-2930-2015; Allanson, Oliver/AAM-8744-2020; Lockwood, Mike/G-1030-2011; Owens, Mathew J/B-3006-2010; Scott, Christopher/H-8664-2012; Watt, Clare/C-5218-2008; Freeman, Mervyn/E-5687-2019</t>
  </si>
  <si>
    <t>Barnard, Luke/0000-0001-9876-4612; Allanson, Oliver/0000-0003-2353-8586; Lockwood, Mike/0000-0002-7397-2172; Owens, Mathew/0000-0003-2061-2453; Scott, Christopher/0000-0001-6411-5649; Watt, Clare/0000-0003-3193-8993; Bentley, Sarah N/0000-0002-0095-1979; Freeman, Mervyn/0000-0002-8653-8279</t>
  </si>
  <si>
    <t>STFC [ST/M000885/1]; SWIGS NERC Directed Highlight Topic Grant [NE/P016928/1]; NERC [NE/P017274/1]; NERC [NE/P017274/1, bas0100031, NE/P016693/1, NE/P016928/1] Funding Source: UKRI; STFC [ST/R000921/1, ST/M000885/1] Funding Source: UKRI; Natural Environment Research Council [NE/P016693/1] Funding Source: researchfish</t>
  </si>
  <si>
    <t>STFC(UK Research &amp; Innovation (UKRI)Science &amp; Technology Facilities Council (STFC)); SWIGS NERC Directed Highlight Topic Grant; NERC(UK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t>
  </si>
  <si>
    <t>The authors are grateful to the staff of Space Physics Data Facility, NASA/Goddard Space Flight Centre, who prepared and made available the OMNI2 data set used. The data were downloaded from http://omniweb.gsfc.nasa.gov/ow.html.The work presented in this paper is supported by STFC consolidated grant ST/M000885/1 and the work of M. L. and M. J. O. is also supported by the SWIGS NERC Directed Highlight Topic Grant NE/P016928/1/and O. A. by NERC grant NE/P017274/1. S. B. is supported by an NERC PhD studentship.</t>
  </si>
  <si>
    <t>1542-7390</t>
  </si>
  <si>
    <t>SPACE WEATHER</t>
  </si>
  <si>
    <t>Space Weather</t>
  </si>
  <si>
    <t>10.1029/2018SW002016</t>
  </si>
  <si>
    <t>Astronomy &amp; Astrophysics; Geochemistry &amp; Geophysics; Meteorology &amp; Atmospheric Sciences</t>
  </si>
  <si>
    <t>HL4UR</t>
  </si>
  <si>
    <t>Green Accepted, Bronze</t>
  </si>
  <si>
    <t>WOS:000458720400011</t>
  </si>
  <si>
    <t>The Development of a Space climatology: 3. Models of the Evolution of Distribution of Space Weather Variables With Timescale</t>
  </si>
  <si>
    <t>MAGNETIC-FIELD INTENSITY; GREAT GEOMAGNETIC STORM; OPEN SOLAR FLUX; DATA ASSIMILATION; WIND; EVENT; STATISTICS; INDEXES; INVARIANCE; FORECASTS</t>
  </si>
  <si>
    <t>We study how the probability distribution functions of power input to the magnetosphere P-alpha and of the geomagnetic ap and Dst indices vary with averaging timescale, tau, between 3 hr and 1 year. From this we develop and present algorithms to empirically model the distributions for a given z and a given annual mean value. We show that lognormal distributions work well for ap, but because of the spread of Dst for low activity conditions, the optimum formulation for Dst leads to distributions better described by something like the Weibull formulation. Annual means can be estimated using telescope observations of sunspots and modeling, and so this allows the distributions to be estimated at any given z between 3 hr and 1 year for any of the past 400 years, which is another important step toward a useful space weather climatology. The algorithms apply to the core of the distributions and can be used to predict the occurrence rate of large events (in the top 5% of activity levels): they may contain some, albeit limited, information relevant to characterizing the much rarer superstorm events with extreme value statistics. The algorithm for the Dst index is the more complex one because, unlike ap, Dst can take on either sign and future improvements to it are suggested. Plain Language Summary; This is the third in a series of three papers aimed at developing a climatology of space weather that applies to all solar conditions between grand solar minimum and grand solar maximum. We generate empirical models to enable us to predict the probability of a given level of space weather disturbance, as quantified by either the ap of the Dst geomagnetic indices, in a year with a given average level of disturbance. The models can be used with averaging/integration times anywhere between 3 hr and 1 year.</t>
  </si>
  <si>
    <t>m.lockwood@reading.ac.uk</t>
  </si>
  <si>
    <t>Owens, Mathew J/B-3006-2010; Lockwood, Mike/G-1030-2011; Allanson, Oliver/GLT-2725-2022; Allanson, Oliver/AAM-8744-2020; Barnard, Luke/L-2930-2015; Watt, Clare/C-5218-2008; Scott, Christopher/H-8664-2012; Freeman, Mervyn/E-5687-2019</t>
  </si>
  <si>
    <t>Lockwood, Mike/0000-0002-7397-2172; Allanson, Oliver/0000-0003-2353-8586; Barnard, Luke/0000-0001-9876-4612; Watt, Clare/0000-0003-3193-8993; Owens, Mathew/0000-0003-2061-2453; Scott, Christopher/0000-0001-6411-5649; Bentley, Sarah N/0000-0002-0095-1979; Freeman, Mervyn/0000-0002-8653-8279</t>
  </si>
  <si>
    <t>STFC consolidated grant [ST/M000885/1]; SWIGS NERC Directed Highlight Topic grant [NE/P016928/1]; NERC [NE/P017274/1]; NERC as part of the SCENARIO Doctoral Training Partnership [NE/L002566/1]; Natural Environment Research Council [NE/P016693/1] Funding Source: researchfish; NERC [NE/P016693/1, NE/P017274/1, NE/P016928/1, bas0100031] Funding Source: UKRI; STFC [ST/R000921/1, ST/M000885/1] Funding Source: UKRI</t>
  </si>
  <si>
    <t>STFC consolidated grant(UK Research &amp; Innovation (UKRI)Science &amp; Technology Facilities Council (STFC)); SWIGS NERC Directed Highlight Topic grant; NERC(UK Research &amp; Innovation (UKRI)Natural Environment Research Council (NERC)); NERC as part of the SCENARIO Doctoral Training Partnership(UK Research &amp; Innovation (UKRI)Natural Environment Research Council (NERC)); Natural Environment Research Council(UK Research &amp; Innovation (UKRI)Natural Environment Research Council (NERC)); NERC(UK Research &amp; Innovation (UKRI)Natural Environment Research Council (NERC)); STFC(UK Research &amp; Innovation (UKRI)Science &amp; Technology Facilities Council (STFC))</t>
  </si>
  <si>
    <t>The authors are grateful to the staff of Space Physics Data Facility, NASA/Goddard Space Flight Centre, who prepared and made available the OMNI2 data set used. The data were downloaded from http://omniweb.gsfc.nasa.gov/ow.html.They are also grateful to the staff of GeoForschungsZentrum (GFZ) Potsdam, Adolf-Schmidt-Observatorium fur Geomagnetismus, Niemegk, Germany who generate the ap data. The ap and aa data were downloaded from the UK Space Science Data Centre from https://www.ukssdc.ac.uk/with updating of recent data from BGS Edinburgh http://www.geomag.bgs.ac.uk/data_service/data/magnetic_indices/apindex.html.The international sunspot data were compiled and made available by WDC-SILSO, Royal Observatory of Belgium, Brussels http://www.sidc.be/silso/.The work presented in this paper is supported by STFC consolidated grant ST/M000885/1, the work of ML and MJO is also supported by the SWIGS NERC Directed Highlight Topic grant NE/P016928/1/and of OA by NERC grant NE/P017274/1. S.B. is supported by NERC as part of the SCENARIO Doctoral Training Partnership NE/L002566/1.</t>
  </si>
  <si>
    <t>10.1029/2018SW002017</t>
  </si>
  <si>
    <t>Bronze, Green Accepted</t>
  </si>
  <si>
    <t>WOS:000458720400012</t>
  </si>
  <si>
    <t>Penchaszadeh, PE; Pastorino, G; Martinez, MI; Miloslavich, P</t>
  </si>
  <si>
    <t>Penchaszadeh, P. E.; Pastorino, G.; Martinez, M. I.; Miloslavich, P.</t>
  </si>
  <si>
    <t>Spawn and development of the gastropod Americominella longisetosa (Castellanos and Fernandez, 1972) (Mollusca: Buccinidae) from the Southwestern Atlantic deep sea</t>
  </si>
  <si>
    <t>DEEP-SEA RESEARCH PART I-OCEANOGRAPHIC RESEARCH PAPERS</t>
  </si>
  <si>
    <t>Deep-sea; Buccinidae; Egg capsules; Nurse eggs; Complete encapsulated development; Burdwood Bank/MPA Namuncura</t>
  </si>
  <si>
    <t>NEOGASTROPODA VOLUTIDAE; REPRODUCTIVE-CYCLE; MARINE GASTROPODS; EGG-CAPSULES; EMBRYOS; SIZE; CERITHIOPSIDAE; PROSOBRANCHIA; ENCAPSULATION; MYCALOLIDES</t>
  </si>
  <si>
    <t>The buccinid Americominella longisetosa (Castellanos and Fernandez, 1972) is widely distributed along the Southwestern Atlantic shelf where it is found at 200-1,250m depth. A total of 38 egg capsules of this species were collected by the Argentine ship R/V Puerto Deseado from the Burdwood Bank/MPA Namuncura surroundings (similar to 54 degrees 36'S, 61 degrees 30'W at 298 m depth and 53 degrees 56'S, 61 degrees 30'W at 185 m depth). Egg capsules occur individually, not clustered in egg masses, are globose in shape, translucid, with thin walls measuring about 20 mu m in thickness and having a triangular stalk on the side by which the capsule is fixed to its substrate. The substrate to which the capsules were attached was the internal matrix of the poriferan Mycale magellanica (Ridley, 1881). In each capsule, only one embryo develops from an egg of about 150 mu m in diameter. The embryo develops by ingesting about 9,000 nurse eggs. In distinct egg capsules we found embryos at different stages of development indicating several spawn events. Hatching takes place as a crawling juvenile measuring about 8 mm in shell length and with 4 1/4 whorls, indicative of a long embryonic development within the capsule.</t>
  </si>
  <si>
    <t>[Penchaszadeh, P. E.; Pastorino, G.; Martinez, M. I.] Museo Argentino Ciencias Nat Bernardino Rivadavia, Lab Ecosistemas Costeros Plataforma &amp; Mar Profund, Av Angel Gallardo 470,3 Piso Lab 80,C1405DJR, Buenos Aires, DF, Argentina; [Miloslavich, P.] Univ Tasmania, Inst Marine &amp; Antarctic Studies, Hobart, Tas, Australia; [Penchaszadeh, P. E.; Miloslavich, P.] Univ Simon Bolivar, Dept Estudios Ambientales, Caracas, Venezuela</t>
  </si>
  <si>
    <t>Museo Argentino de Ciencias Naturales Bernardino Rivadavia (MACN); University of Tasmania; Simon Bolivar University</t>
  </si>
  <si>
    <t>Martinez, MI (corresponding author), Museo Argentino Ciencias Nat Bernardino Rivadavia, Lab Ecosistemas Costeros Plataforma &amp; Mar Profund, Av Angel Gallardo 470,3 Piso Lab 80,C1405DJR, Buenos Aires, DF, Argentina.</t>
  </si>
  <si>
    <t>mmartinez@macn.gov.ar</t>
  </si>
  <si>
    <t>Penchaszadeh, Pablo/ABB-8472-2021; Martinez, Mariano Ignacio/AAH-8952-2019</t>
  </si>
  <si>
    <t>Penchaszadeh, Pablo/0000-0002-2043-8814; Martinez, Mariano Ignacio/0000-0003-4438-4504; Miloslavich, Patricia/0000-0001-5409-1401</t>
  </si>
  <si>
    <t>Agencia Nacional de Promocion Cientifica y Tecnologica [PICT 2013-2504, PICT 2016-0211, PICT 2016-0271]; Consejo Nacional de Investigaciones Cientificas y Tecnicas (CONICET) of Argentina</t>
  </si>
  <si>
    <t>Agencia Nacional de Promocion Cientifica y Tecnologica(ANPCyTSpanish Government); Consejo Nacional de Investigaciones Cientificas y Tecnicas (CONICET) of Argentina(Consejo Nacional de Investigaciones Cientificas y Tecnicas (CONICET))</t>
  </si>
  <si>
    <t>This paper was partially supported by Agencia Nacional de Promocion Cientifica y Tecnologica (PICT 2013-2504, PICT 2016-0211 and PICT 2016-0271). We acknowledge funding by the Consejo Nacional de Investigaciones Cientificas y Tecnicas (CONICET) of Argentina, to which P.P., G.P. and M.I.M. belong as members of the Carrera del Investigador Cientifico.</t>
  </si>
  <si>
    <t>0967-0637</t>
  </si>
  <si>
    <t>1879-0119</t>
  </si>
  <si>
    <t>DEEP-SEA RES PT I</t>
  </si>
  <si>
    <t>Deep-Sea Res. Part I-Oceanogr. Res. Pap.</t>
  </si>
  <si>
    <t>10.1016/j.dsr.2018.11.011</t>
  </si>
  <si>
    <t>HK8FI</t>
  </si>
  <si>
    <t>WOS:000458224400005</t>
  </si>
  <si>
    <t>Karanovic, I; Huyen, PTM; Brandao, SN</t>
  </si>
  <si>
    <t>Karanovic, Ivana; Pham Thi Minh Huyen; Brandao, Simone N.</t>
  </si>
  <si>
    <t>Ostracod shell plasticity across longitudinal and bathymetric ranges</t>
  </si>
  <si>
    <t>Cuticular pores; Deep sea; Directional asymmetry; Landmarks; Nordic seas; Outline; Polycopidae</t>
  </si>
  <si>
    <t>DEEP-SEA OSTRACODS; GEOMETRIC MORPHOMETRICS; SOUTHERN-OCEAN; NORTH-ATLANTIC; DISTRIBUTIONAL PATTERNS; FLUCTUATING ASYMMETRY; CRUSTACEA OSTRACODA; BODY-SIZE; TAXONOMY; EVOLUTIONARY</t>
  </si>
  <si>
    <t>We combine geometric morphometric and molecular data to study shell shape changes in eurybathic ostracod Polycope pseudoinornata Chavtur, 1983 and discuss its occurrence in relation to environmental variables (of the sediment and deep water masses). Pairwise distances between 50 mitochondrial COI sequences indicate that populations from five sampled depths and nine localities in the Nordic Seas belong to one species, and haplotype network shows that populations are strongly interconnected. Datasets for geometric morphometrics consist of 209 valves with landmarks distributed on the outer surface and margins. Results support morphological homogeneity of shell throughout the study area. There are important differences between datasets in their dimensionality and directional asymmetry. Pores/ridges dataset is highly unstructured with 50 + eigenvectors describing 90% of variation in PCA and with no directional asymmetry. Outline dataset is highly structured with 5 eigenvectors describing 90% of variation with strong directional asymmetry, with the right valve showing more variation in shape than the left valve. Although pore homologization could be difficult, these landmarks might be more powerful in multispecies geometric morphometric analyses, or multivariate analysis of environmental influences on the ostracod shell. Also different valves can easily be matched, which is very important for fossil species where often one valve is missing. Permutation tests show a statistically significant negative correlation between size and depth, but predicted values are small. Partial least square analyses of covariation between the outline and landmarks on the surface reveal integration of the two compartments but the covariation is not sufficient to account for all the variation throughout the valves.</t>
  </si>
  <si>
    <t>[Karanovic, Ivana; Pham Thi Minh Huyen] Hanyang Univ, Dept Life Sci, Coll Nat Sci, Seoul 133791, South Korea; [Karanovic, Ivana] Univ Tasmania, Inst Marine &amp; Antarctic Studies, Private Bag 49, Hobart, Tas 7001, Australia; [Brandao, Simone N.] Univ Fed Rio Grande do Norte, Programa Posgrad Sistemat &amp; Evolucao, Campus Univ S-N,Postbox 1596, BR-59072970 Natal, RN, Brazil; [Brandao, Simone N.] Univ Fed Rural Semi Arido, Programa Posgrad Ecol &amp; Conservacao, Ctr Ciencias Biol, Ave Francisco Mota 572, BR-59625900 Mossoro, RN, Brazil</t>
  </si>
  <si>
    <t>Hanyang University; University of Tasmania; Universidade Federal do Rio Grande do Norte; Universidade Federal Rural do Semi-Arido (UFERSA)</t>
  </si>
  <si>
    <t>Karanovic, I (corresponding author), Hanyang Univ, Dept Life Sci, Coll Nat Sci, Seoul 133791, South Korea.</t>
  </si>
  <si>
    <t>ivana@hanyang.ac.kr</t>
  </si>
  <si>
    <t>Brandao, Simone/C-9416-2013; Huyen, Pham Thi Minh/GQB-2488-2022</t>
  </si>
  <si>
    <t>Brandao, Simone/0000-0002-3487-6129; Huyen, Pham Thi Minh/0000-0001-9689-8596</t>
  </si>
  <si>
    <t>National Research Foundation of Korea [2016R1D1A1B01009806]</t>
  </si>
  <si>
    <t>National Research Foundation of Korea(National Research Foundation of Korea)</t>
  </si>
  <si>
    <t>This study was funded by National Research Foundation of Korea (grant no: 2016R1D1A1B01009806).</t>
  </si>
  <si>
    <t>10.1016/j.dsr.2018.11.005</t>
  </si>
  <si>
    <t>WOS:000458224400011</t>
  </si>
  <si>
    <t>Sasgen, I; Konrad, H; Helm, V; Grosfeld, K</t>
  </si>
  <si>
    <t>Sasgen, Ingo; Konrad, Hannes; Helm, Veit; Grosfeld, Klaus</t>
  </si>
  <si>
    <t>High-Resolution Mass Trends of the Antarctic Ice Sheet through a Spectral Combination of Satellite Gravimetry and Radar Altimetry Observations</t>
  </si>
  <si>
    <t>REMOTE SENSING</t>
  </si>
  <si>
    <t>Mass balance; Ice Sheets; Sea-level Rise; Antarctica; GRACE; CryoSat-2; GRACE-Follow On; GRACE-FO; downward continuation; spectral methods</t>
  </si>
  <si>
    <t>GLACIAL-ISOSTATIC-ADJUSTMENT; AMUNDSEN SEA EMBAYMENT; RAPID BEDROCK UPLIFT; VOLUME-CHANGE; VISCOELASTIC RESPONSE; WEST ANTARCTICA; BALANCE; GRACE; GREENLAND; DISCHARGE</t>
  </si>
  <si>
    <t>Time-variable gravity measurements from the Gravity Recovery and Climate Experiment (GRACE) and GRACE-Follow On (GRACE-FO) missions and satellite altimetry measurements from CryoSat-2 enable independent mass balance estimates of the Earth's glaciers and ice sheets. Both approaches vary in terms of their retrieval principles and signal-to-noise characteristics. GRACE/GRACE-FO recovers the gravity disturbance caused by changes in the mass of the entire ice sheet with a spatial resolution of 300 to 400 km. In contrast, CryoSat-2measures travel times of a radar signal reflected close to the ice sheet surface, allowing changes of the surface topography to be determined with about 5 km spatial resolution. Here, we present a method to combine observations from the both sensors, taking into account the different signal and noise characteristics of each satellite observation that are dependent on the spatial wavelength. We include uncertainties introduced by the processing and corrections, such as the choice of the re-tracking algorithm and the snow/ice volume density model for CryoSat-2, or the filtering of correlated errors and the correction for glacial-isostatic adjustment (GIA) for GRACE. We apply our method to the Antarctic ice sheet and the time period 2011-2017, in which GRACE and CryoSat-2 were simultaneously operational, obtaining a total ice mass loss of 178 +/- 23 Gt yr(-1). We present a map of the rate of mass change with a spatial resolution of 40 km that is evaluable across all spatial scales, and more precise than estimates based on a single satellite mission.</t>
  </si>
  <si>
    <t>[Sasgen, Ingo; Konrad, Hannes; Helm, Veit; Grosfeld, Klaus] Alfred Wegener Inst, Helmholtz Ctr Polar &amp; Marine Res, D-27570 Bremerhaven, Germany; [Konrad, Hannes] Deutsch Wetterdienst, D-63067 Offenbach, Germany</t>
  </si>
  <si>
    <t>Helmholtz Association; Alfred Wegener Institute, Helmholtz Centre for Polar &amp; Marine Research</t>
  </si>
  <si>
    <t>Sasgen, I (corresponding author), Alfred Wegener Inst, Helmholtz Ctr Polar &amp; Marine Res, D-27570 Bremerhaven, Germany.</t>
  </si>
  <si>
    <t>ingo.sasgen@awi.de; hannes.konrad@dwd.de; veit.helm@awi.de; klaus.grosfeld@awi.de</t>
  </si>
  <si>
    <t>Konrad, Hannes/H-7647-2013; Konrad, Hannes/A-1813-2016</t>
  </si>
  <si>
    <t>Konrad, Hannes/0000-0002-5058-8637; Helm, Veit/0000-0001-7788-9328</t>
  </si>
  <si>
    <t>Regional Climate Change Initiative REKLIM of the Helmholtz Association</t>
  </si>
  <si>
    <t>This research was funded through, and is a contribution to, the Regional Climate Change Initiative REKLIM of the Helmholtz Association.</t>
  </si>
  <si>
    <t>2072-4292</t>
  </si>
  <si>
    <t>REMOTE SENS-BASEL</t>
  </si>
  <si>
    <t>Remote Sens.</t>
  </si>
  <si>
    <t>10.3390/rs11020144</t>
  </si>
  <si>
    <t>Environmental Sciences; Geosciences, Multidisciplinary; Remote Sensing; Imaging Science &amp; Photographic Technology</t>
  </si>
  <si>
    <t>Environmental Sciences &amp; Ecology; Geology; Remote Sensing; Imaging Science &amp; Photographic Technology</t>
  </si>
  <si>
    <t>HK4OS</t>
  </si>
  <si>
    <t>WOS:000457939400041</t>
  </si>
  <si>
    <t>Serreze, MC; Meier, WN</t>
  </si>
  <si>
    <t>Serreze, Mark C.; Meier, Walter N.</t>
  </si>
  <si>
    <t>The Arctic's sea ice cover: trends, variability, predictability, and comparisons to the Antarctic</t>
  </si>
  <si>
    <t>ANNALS OF THE NEW YORK ACADEMY OF SCIENCES</t>
  </si>
  <si>
    <t>Arctic; Antarctic; sea ice; trends; variability; predictability</t>
  </si>
  <si>
    <t>COASTAL CURRENT; EURASIAN BASIN; SUMMER CYCLONE; EXTENT; CIRCULATION; MELT; SATELLITE; HALOCLINE; FORECASTS; MINIMUM</t>
  </si>
  <si>
    <t>As assessed over the period of satellite observations, October 1978 to present, there are downward linear trends in Arctic sea ice extent for all months, largest at the end of the melt season in September. The ice cover is also thinning. Downward trends in extent and thickness have been accompanied by pronounced interannual and multiyear variability, forced by both the atmosphere and ocean. As the ice thins, its response to atmospheric and oceanic forcing may be changing. In support of a busier Arctic, there is a growing need to predict ice conditions on a variety of time and space scales. A major challenge to providing seasonal scale predictions is the 7-10 days limit of numerical weather prediction. While a seasonally ice-free Arctic Ocean is likely well within this century, there is much uncertainty in the timing. This reflects differences in climate model structure, the unknown evolution of anthropogenic forcing, and natural climate variability. In sharp contrast to the Arctic, Antarctic sea ice extent, while highly variable, has increased slightly over the period of satellite observations. The reasons for this different behavior remain to be resolved, but responses to changing atmospheric circulation patterns appear to play a strong role.</t>
  </si>
  <si>
    <t>[Serreze, Mark C.; Meier, Walter N.] Univ Colorado, Natl Snow &amp; Ice Data Ctr, Cooperat Inst Res Environm Sci, Campus Box 449, Boulder, CO 80309 USA</t>
  </si>
  <si>
    <t>University of Colorado System; University of Colorado Boulder</t>
  </si>
  <si>
    <t>Serreze, MC (corresponding author), Univ Colorado, Natl Snow &amp; Ice Data Ctr, Cooperat Inst Res Environm Sci, Campus Box 449, Boulder, CO 80309 USA.</t>
  </si>
  <si>
    <t>mark.serreze@colorado.edu</t>
  </si>
  <si>
    <t>Meier, Walter/AAI-9583-2021</t>
  </si>
  <si>
    <t>NSF [PLR 1603914, OPP 1748953]; NOAA [15OAR4310171]</t>
  </si>
  <si>
    <t>NSF(National Science Foundation (NSF)); NOAA(National Oceanic Atmospheric Admin (NOAA) - USA)</t>
  </si>
  <si>
    <t>This study was supported by NSF Grants PLR 1603914 and OPP 1748953 and NOAA Grant 15OAR4310171.</t>
  </si>
  <si>
    <t>0077-8923</t>
  </si>
  <si>
    <t>1749-6632</t>
  </si>
  <si>
    <t>ANN NY ACAD SCI</t>
  </si>
  <si>
    <t>Ann. N.Y. Acad. Sci.</t>
  </si>
  <si>
    <t>10.1111/nyas.13856</t>
  </si>
  <si>
    <t>HJ9TZ</t>
  </si>
  <si>
    <t>Y</t>
  </si>
  <si>
    <t>N</t>
  </si>
  <si>
    <t>WOS:000457543300003</t>
  </si>
  <si>
    <t>Bird, T; Lyon, J; Wotherspoon, S; Todd, C; Tonkin, Z; McCarthy, M</t>
  </si>
  <si>
    <t>Bird, Tomas; Lyon, Jarod; Wotherspoon, Simon; Todd, Charles; Tonkin, Zeb; McCarthy, Michael</t>
  </si>
  <si>
    <t>Combining capture-recapture data and known ages allows estimation of age-dependent survival rates</t>
  </si>
  <si>
    <t>ECOLOGY AND EVOLUTION</t>
  </si>
  <si>
    <t>age; Bayesian; individual growth; otoliths; state-space; survival</t>
  </si>
  <si>
    <t>COD MACCULLOCHELLA-MACQUARIENSIS; MURRAY COD; MODELS; GROWTH; HETEROGENEITY; SENESCENCE; SUCCESS; PEELII; RIVER</t>
  </si>
  <si>
    <t>In many animal populations, demographic parameters such as survival and recruitment vary markedly with age, as do parameters related to sampling, such as capture probability. Failing to account for such variation can result in biased estimates of population-level rates. However, estimating age-dependent survival rates can be challenging because ages of individuals are rarely known unless tagging is done at birth. For many species, it is possible to infer age based on size. In capture-recapture studies of such species, it is possible to use a growth model to infer the age at first capture of individuals. We show how to build estimates of age-dependent survival into a capture-mark-recapture model based on data obtained in a capture-recapture study. We first show how estimates of age based on length increments closely match those based on definitive aging methods. In simulated analyses, we show that both individual ages and age-dependent survival rates estimated from simulated data closely match true values. With our approach, we are able to estimate the age-specific apparent survival rates of Murray and trout cod in the Murray River, Australia. Our model structure provides a flexible framework within which to investigate various aspects of how survival varies with age and will have extensions within a wide range of ecological studies of animals where age can be estimated based on size.</t>
  </si>
  <si>
    <t>[Bird, Tomas; McCarthy, Michael] Univ Melbourne, Ctr Excellence Environm Decis, Dept Bot, Melbourne, Vic, Australia; [Bird, Tomas] NorthWest Atlantic Fisheries Ctr, Dept Fisheries &amp; Oceans, St John, NF, Canada; [Lyon, Jarod; Todd, Charles; Tonkin, Zeb] Arthur Rylah Inst, Dept Sustainabil &amp; Environm, Melbourne, Vic, Australia; [Wotherspoon, Simon] Univ Tasmania, Inst Marine &amp; Antarctic Studies, Hobart, Tas, Australia</t>
  </si>
  <si>
    <t>University of Melbourne; Melbourne Genomics Health Alliance; Fisheries &amp; Oceans Canada; Melbourne Genomics Health Alliance; University of Tasmania</t>
  </si>
  <si>
    <t>Bird, T (corresponding author), Univ Melbourne, Ctr Excellence Environm Decis, Dept Bot, Melbourne, Vic, Australia.</t>
  </si>
  <si>
    <t>tomasbird@gmail.com</t>
  </si>
  <si>
    <t>Wotherspoon, Simon J/B-2390-2013; McCarthy, Michael/O-5655-2014</t>
  </si>
  <si>
    <t>Wotherspoon, Simon J/0000-0002-6947-4445; Todd, Charles/0000-0003-0550-0349; , Zeb/0000-0001-9299-6404; McCarthy, Michael/0000-0003-1039-7980; lyon, jarod/0000-0002-8762-4128; Bird, Tomas/0000-0003-1345-6480</t>
  </si>
  <si>
    <t>Centre of Excellence for Environmental Decisions, Australian Research Council [LP110200211]; Murray Darlin Basin Authority; Australian Research Council [LP110200211] Funding Source: Australian Research Council</t>
  </si>
  <si>
    <t>Centre of Excellence for Environmental Decisions, Australian Research Council(Australian Research Council); Murray Darlin Basin Authority; Australian Research Council(Australian Research Council)</t>
  </si>
  <si>
    <t>Murray Darlin Basin Authority; Centre of Excellence for Environmental Decisions, Australian Research Council, Grant/Award Number: LP110200211</t>
  </si>
  <si>
    <t>2045-7758</t>
  </si>
  <si>
    <t>ECOL EVOL</t>
  </si>
  <si>
    <t>Ecol. Evol.</t>
  </si>
  <si>
    <t>10.1002/ece3.4633</t>
  </si>
  <si>
    <t>Ecology; Evolutionary Biology</t>
  </si>
  <si>
    <t>Environmental Sciences &amp; Ecology; Evolutionary Biology</t>
  </si>
  <si>
    <t>HK0VV</t>
  </si>
  <si>
    <t>WOS:000457622300008</t>
  </si>
  <si>
    <t>van der Loos, LM; Schmid, M; Leal, PP; McGraw, CM; Britton, D; Revill, AT; Virtue, P; Nichols, PD; Hurd, CL</t>
  </si>
  <si>
    <t>van der Loos, Luna M.; Schmid, Matthias; Leal, Pablo P.; McGraw, Christina M.; Britton, Damon; Revill, Andrew T.; Virtue, Patti; Nichols, Peter D.; Hurd, Catriona L.</t>
  </si>
  <si>
    <t>Responses of macroalgae to CO2 enrichment cannot be inferred solely from their inorganic carbon uptake strategy</t>
  </si>
  <si>
    <t>carbon uptake strategy; carbon dioxide-concentrating mechanism; CCM; CO2 enrichment; macroalgae; non-CCM; ocean acidification; physiology</t>
  </si>
  <si>
    <t>OCEAN ACIDIFICATION; ELEVATED CO2; MARINE MACROALGAE; ULVA-RIGIDA; INCREASED TEMPERATURE; NITROGEN-METABOLISM; VARIABLE RESPONSES; PALMARIA-PALMATA; AMMONIUM UPTAKE; CLIMATE-CHANGE</t>
  </si>
  <si>
    <t>Increased plant biomass is observed in terrestrial systems due to rising levels of atmospheric CO2, but responses of marine macroalgae to CO2 enrichment are unclear. The 200% increase in CO2 by 2100 is predicted to enhance the productivity of fleshy macroalgae that acquire inorganic carbon solely as CO2 (non-carbon dioxide-concentrating mechanism [CCM] species-i.e., species without a carbon dioxide-concentrating mechanism), whereas those that additionally uptake bicarbonate (CCM species) are predicted to respond neutrally or positively depending on their affinity for bicarbonate. Previous studies, however, show that fleshy macroalgae exhibit a broad variety of responses to CO2 enrichment and the underlying mechanisms are largely unknown. This physiological study compared the responses of a CCM species (Lomentaria australis) with a non-CCM species (Craspedocarpus ramentaceus) to CO2 enrichment with regards to growth, net photosynthesis, and biochemistry. Contrary to expectations, there was no enrichment effect for the non-CCM species, whereas the CCM species had a twofold greater growth rate, likely driven by a downregulation of the energetically costly CCM(s). This saved energy was invested into new growth rather than storage lipids and fatty acids. In addition, we conducted a comprehensive literature synthesis to examine the extent to which the growth and photosynthetic responses of fleshy macroalgae to elevated CO2 are related to their carbon acquisition strategies. Findings highlight that the responses of macroalgae to CO2 enrichment cannot be inferred solely from their carbon uptake strategy, and targeted physiological experiments on a wider range of species are needed to better predict responses of macroalgae to future oceanic change.</t>
  </si>
  <si>
    <t>[van der Loos, Luna M.; Schmid, Matthias; Leal, Pablo P.; Britton, Damon; Virtue, Patti; Nichols, Peter D.; Hurd, Catriona L.] Univ Tasmania, Inst Marine &amp; Antarctic Studies, Hobart, Tas, Australia; [van der Loos, Luna M.] Univ Groningen, Marine Ecol, Groningen, Netherlands; [Leal, Pablo P.] Inst Fomento Pesquero IFOP, Puerto Montt, Chile; [McGraw, Christina M.] Univ Otago, Dept Chem, NIWA, Res Ctr Oceanog, Dunedin, New Zealand; [Revill, Andrew T.; Virtue, Patti; Nichols, Peter D.] CSIRO Oceans &amp; Atmosphere, Hobart, Tas, Australia; [Virtue, Patti] Cooperat Res Ctr, Antarctic Climate &amp; Ecosyst, Hobart, Tas, Australia</t>
  </si>
  <si>
    <t>University of Tasmania; University of Groningen; Instituto de Fomento Pesquero (Valparaiso); University of Otago; Commonwealth Scientific &amp; Industrial Research Organisation (CSIRO); Antarctic Climate &amp; Ecosystems Cooperative Research Centre (ACE CRC)</t>
  </si>
  <si>
    <t>van der Loos, LM (corresponding author), Univ Tasmania, Inst Marine &amp; Antarctic Studies, Hobart, Tas, Australia.</t>
  </si>
  <si>
    <t>lunavdloos@gmail.com</t>
  </si>
  <si>
    <t>Leal, Pablo P./N-3927-2019; Nichols, Peter D/C-5128-2011; Revill, Andrew/B-8733-2011; Hurd, Catriona/J-2411-2013</t>
  </si>
  <si>
    <t>Leal, Pablo P./0000-0002-7616-1850; Revill, Andrew/0000-0003-2486-5976; Schmid, Matthias/0000-0002-7482-7356; Britton, Damon/0000-0002-9029-7527; van der Loos, Luna/0000-0003-3686-2844; Hurd, Catriona/0000-0001-9965-4917; McGraw, Christina/0000-0001-5841-0748; Virtue, Patti/0000-0002-9870-1256</t>
  </si>
  <si>
    <t>Holland Scholarship; Groningen University Fund; Deutsche Forschungsgemeinschaft</t>
  </si>
  <si>
    <t>Holland Scholarship; Groningen University Fund; Deutsche Forschungsgemeinschaft(German Research Foundation (DFG))</t>
  </si>
  <si>
    <t>10.1002/ece3.4679</t>
  </si>
  <si>
    <t>WOS:000457622300011</t>
  </si>
  <si>
    <t>Reum, JCP; Holsman, KK; Aydin, KY; Blanchard, JL; Jennings, S</t>
  </si>
  <si>
    <t>Reum, Jonathan C. P.; Holsman, Kirstin K.; Aydin, Kerim Y.; Blanchard, Julia L.; Jennings, Simon</t>
  </si>
  <si>
    <t>Energetically relevant predator-prey body mass ratios and their relationship with predator body size</t>
  </si>
  <si>
    <t>body size; ecosystem; food web; piscivory; size spectrum; trophic level</t>
  </si>
  <si>
    <t>BIOMASS FLOW; FOOD; SPECTRUM; MODELS; DISTRIBUTIONS; DETERMINANTS; DEPENDENCY; PREFERENCE; ALLOMETRY; ABUNDANCE</t>
  </si>
  <si>
    <t>Food web structure and dynamics depend on relationships between body sizes of predators and their prey. Species-based and community-wide estimates of preferred and realized predator-prey mass ratios (PPMR) are required inputs to size-based size spectrum models of marine communities, food webs, and ecosystems. Here, we clarify differences between PPMR definitions in different size spectrum models, in particular differences between PPMR measurements weighting prey abundance in individual predators by biomass (r(bio)) and numbers (r(num)). We argue that the former weighting generates PPMR as usually conceptualized in equilibrium (static) size spectrum models while the latter usually applies to dynamic models. We use diet information from 170,689 individuals of 34 species of fish in Alaskan marine ecosystems to calculate both PPMR metrics. Using hierarchical models, we examine how explained variance in these metrics changed with predator body size, predator taxonomic resolution, and spatial resolution. In the hierarchical analysis, variance in both metrics emerged primarily at the species level and substantially less variance was associated with other (higher) taxonomic levels or with spatial resolution. This suggests that changes in species composition are the main drivers of community-wide mean PPMR. At all levels of analysis, relationships between weighted mean r(bio) or weighted mean r(num) and predator mass tended to be dome-shaped. Weighted mean r(num) values, for species and community-wide, were approximately an order of magnitude higher than weighted mean r(bio), reflecting the consistent numeric dominance of small prey in predator diets. As well as increasing understanding of the drivers of variation in PPMR and providing estimates of PPMR in the north Pacific Ocean, our results demonstrate that that r(bio) or r(num), as well as their corresponding weighted means for any defined group of predators, are not directly substitutable. When developing equilibrium size-based models based on bulk energy flux or comparing PPMR estimates derived from the relationship between body mass and trophic level with those based on diet analysis, weighted mean r(bio) is a more appropriate measure of PPMR. When calibrating preference PPMR in dynamic size spectrum models then weighted mean r(num) will be a more appropriate measure of PPMR.</t>
  </si>
  <si>
    <t>[Reum, Jonathan C. P.] Univ Washington, Sch Aquat &amp; Fishery Sci, Seattle, WA 98195 USA; [Holsman, Kirstin K.; Aydin, Kerim Y.] NOAA, Alaska Fisheries Sci Ctr, Natl Marine Fisheries Serv, Seattle, WA USA; [Blanchard, Julia L.] Univ Tasmania, Inst Marine &amp; Antarctic Studies, Hobart, Tas, Australia; [Blanchard, Julia L.] Univ Tasmania, Ctr Marine Socioecol, Hobart, Tas, Australia; [Jennings, Simon] Int Council Explorat Sea, Copenhagen V, Denmark</t>
  </si>
  <si>
    <t>University of Washington; University of Washington Seattle; National Oceanic Atmospheric Admin (NOAA) - USA; University of Tasmania; University of Tasmania</t>
  </si>
  <si>
    <t>Reum, JCP (corresponding author), Univ Washington, Sch Aquat &amp; Fishery Sci, Seattle, WA 98195 USA.</t>
  </si>
  <si>
    <t>reumj@uw.edu</t>
  </si>
  <si>
    <t>Blanchard, Julia L/E-4919-2010</t>
  </si>
  <si>
    <t>Blanchard, Julia/0000-0003-0532-4824; Reum, Jonathan/0000-0001-6601-4550</t>
  </si>
  <si>
    <t>Alaska CLIMate Project (ACLIM); Natural Environment Research Council; Department for Environment, Food and Rural Affairs [NE/L003279/1]; University of Tasmania; NERC [NE/L003279/1] Funding Source: UKRI</t>
  </si>
  <si>
    <t>Alaska CLIMate Project (ACLIM); Natural Environment Research Council(UK Research &amp; Innovation (UKRI)Natural Environment Research Council (NERC)); Department for Environment, Food and Rural Affairs(Department for Environment, Food &amp; Rural Affairs (DEFRA)); University of Tasmania; NERC(UK Research &amp; Innovation (UKRI)Natural Environment Research Council (NERC))</t>
  </si>
  <si>
    <t>Alaska CLIMate Project (ACLIM); Natural Environment Research Council and Department for Environment, Food and Rural Affairs, Grant/Award Number: NE/L003279/1; University of Tasmania</t>
  </si>
  <si>
    <t>10.1002/ece3.4715</t>
  </si>
  <si>
    <t>WOS:000457622300017</t>
  </si>
  <si>
    <t>Lemcke, S; Holding, J; Moller, EF; Thyrring, J; Gustavson, K; Juul-Pedersen, T; Sejr, MK</t>
  </si>
  <si>
    <t>Lemcke, Signe; Holding, Johnna; Moller, Eva Friis; Thyrring, Jakob; Gustavson, Kim; Juul-Pedersen, Thomas; Sejr, Mikael K.</t>
  </si>
  <si>
    <t>Acute oil exposure reduces physiological process rates in Arctic phyto- and zooplankton</t>
  </si>
  <si>
    <t>ECOTOXICOLOGY</t>
  </si>
  <si>
    <t>Arctic; WAF; Oil spill; Calanus finmarchicus; Phytoplankton; Phototoxicity</t>
  </si>
  <si>
    <t>WATER-ACCOMMODATED FRACTION; SLOPE CRUDE-OIL; CALANUS-FINMARCHICUS; PHOTOENHANCED TOXICITY; DISPERSED OIL; CHLOROPHYLL-A; PHYTOPLANKTON; PHOTOOXIDATION; SEA; PHOTOTOXICITY</t>
  </si>
  <si>
    <t>Arctic shipping and oil exploration are expected to increase, as sea ice extent is reduced. This enhances the risk for accidental oil spills throughout the Arctic, which emphasises the need to quantify potential consequences to the marine ecosystem and to evaluate risk and choose appropriate remediation methods. This study investigated the sensitivity of Arctic marine plankton to the water accommodated fraction (WAF) of heavy fuel oil. Arctic marine phytoplankton and copepods (Calanus finmarchicus) were exposed to three WAF concentrations corresponding to total hydrocarbon contents of 0.07mgl(-1), 0.28mgl(-1) and 0.55mgl(-1). Additionally, the potential phototoxic effects of exposing the WAF to sunlight, including the UV spectrum, were tested. The study determined sub-lethal effects of WAF exposure on rates of key ecosystem processes: primary production of phytoplankton and grazing (faecal pellet production) of copepods. Both phytoplankton and copepods responded negatively to WAF exposure. Biomass specific primary production was reduced by 6, 52 and 73% and faecal pellet production by 18, 51 and 86% with increasing WAF concentrations compared to controls. The phototoxic effect reduced primary production in the two highest WAF concentration treatments by 71 and 91%, respectively. This experiment contributes to the limited knowledge of acute sub-lethal effects of potential oil spills to the Arctic pelagic food web.</t>
  </si>
  <si>
    <t>[Lemcke, Signe; Holding, Johnna; Moller, Eva Friis; Sejr, Mikael K.] Aarhus Univ, Arctic Res Ctr, Dept Biosci, DK-8000 Aarhus C, Denmark; [Moller, Eva Friis] Aarhus Univ, Dept Biosci Marine Divers &amp; Expt Ecol, DK-4000 Roskilde, Denmark; [Thyrring, Jakob] Univ British Columbia, Dept Zool, Vancouver, BC V6T 1Z4, Canada; [Thyrring, Jakob] British Antarctic Survey, Madingley Rd, Cambridge CV3 0ET, England; [Gustavson, Kim] Aarhus Univ, Arctic Environm, Dept Biosci, DK-4000 Roskilde, Denmark; [Juul-Pedersen, Thomas] Greenland Climate Res Ctr, Greenland Inst Nat Resources, POB 570, Nuuk 3900, Greenland; [Sejr, Mikael K.] Aarhus Univ, Marine Ecol, Dept Biosci, DK-8600 Silkeborg, Denmark</t>
  </si>
  <si>
    <t>Aarhus University; Aarhus University; University of British Columbia; UK Research &amp; Innovation (UKRI); Natural Environment Research Council (NERC); NERC British Antarctic Survey; Aarhus University; Greenland Institute of Natural Resources; Aarhus University</t>
  </si>
  <si>
    <t>Lemcke, S (corresponding author), Aarhus Univ, Arctic Res Ctr, Dept Biosci, DK-8000 Aarhus C, Denmark.</t>
  </si>
  <si>
    <t>signelemcke@gmail.com</t>
  </si>
  <si>
    <t>Møller, Eva F/I-7468-2013; Gustavson, Kim/J-7851-2013; Møller, Eva F/JAN-9483-2023; Sejr, Mikael K./P-4235-2019; Thyrring, Jakob/M-9479-2015</t>
  </si>
  <si>
    <t>Møller, Eva F/0000-0002-7640-3514; Sejr, Mikael K./0000-0001-8370-5791; Holding, Johnna M/0000-0002-7364-0055; Gustavson, Kim/0000-0001-8242-0276; Thyrring, Jakob/0000-0002-1029-3105</t>
  </si>
  <si>
    <t>Independent Research Fund Denmark (Danmarks Frie Forskningsfond) [7027-00060B]; European Union's Horizon 2020 research and innovation programme under the Marie Sklodowska-Curie grant [752325]; NERC [bas0100036] Funding Source: UKRI; Marie Curie Actions (MSCA) [752325] Funding Source: Marie Curie Actions (MSCA)</t>
  </si>
  <si>
    <t>Independent Research Fund Denmark (Danmarks Frie Forskningsfond)(Det Frie Forskningsrad (DFF)); European Union's Horizon 2020 research and innovation programme under the Marie Sklodowska-Curie grant(Marie Curie Actions); NERC(UK Research &amp; Innovation (UKRI)Natural Environment Research Council (NERC)); Marie Curie Actions (MSCA)(Marie Curie Actions)</t>
  </si>
  <si>
    <t>The authors want to thank the crew of R/V Dana for help during field sampling. Sampling was carried out as part of the North East Greenland Environmental Study Program initiated by the Greenland Government. JT gratefully acknowledges financial support from the Independent Research Fund Denmark (Danmarks Frie Forskningsfond) during the writing of this paper (Individual Post-doctoral Grant no. 7027-00060B). J.M.H was supported by European Union's Horizon 2020 research and innovation programme under the Marie Sklodowska-Curie grant agreement No 752325.</t>
  </si>
  <si>
    <t>DORDRECHT</t>
  </si>
  <si>
    <t>VAN GODEWIJCKSTRAAT 30, 3311 GZ DORDRECHT, NETHERLANDS</t>
  </si>
  <si>
    <t>0963-9292</t>
  </si>
  <si>
    <t>1573-3017</t>
  </si>
  <si>
    <t>Ecotoxicology</t>
  </si>
  <si>
    <t>10.1007/s10646-018-1995-4</t>
  </si>
  <si>
    <t>Ecology; Environmental Sciences; Toxicology</t>
  </si>
  <si>
    <t>Environmental Sciences &amp; Ecology; Toxicology</t>
  </si>
  <si>
    <t>HJ7QA</t>
  </si>
  <si>
    <t>WOS:000457391200003</t>
  </si>
  <si>
    <t>Audzijonyte, A; Barneche, DR; Baudron, AR; Belmaker, J; Clark, TD; Marshall, CT; Morrongiello, JR; van Rijn, I</t>
  </si>
  <si>
    <t>Audzijonyte, Asta; Barneche, Diego R.; Baudron, Alan R.; Belmaker, Jonathan; Clark, Timothy D.; Marshall, C. Tara; Morrongiello, John R.; van Rijn, Itai</t>
  </si>
  <si>
    <t>Is oxygen limitation in warming waters a valid mechanism to explain decreased body sizes in aquatic ectotherms?</t>
  </si>
  <si>
    <t>GLOBAL ECOLOGY AND BIOGEOGRAPHY</t>
  </si>
  <si>
    <t>adaptation; alternative mechanisms; climate change; energy budget; geometric biology; growth; poikilotherm; temperature size rule</t>
  </si>
  <si>
    <t>LIMITED THERMAL TOLERANCE; CLIMATE-CHANGE; GROWTH-PERFORMANCE; TEMPERATURE-DEPENDENCE; ONTOGENIC GROWTH; INTRINSIC GROWTH; REACTION NORMS; TRADE-OFFS; FISH; EVOLUTION</t>
  </si>
  <si>
    <t>Aim The negative correlation between temperature and body size of ectothermic animals (broadly known as the temperature-size rule or TSR) is a widely observed pattern, especially in aquatic organisms. Studies have claimed that the TSR arises due to decreased oxygen solubility and increasing metabolic costs at warmer temperatures, whereby oxygen supply to a large body becomes increasingly difficult. However, mixed empirical evidence has led to a controversy about the mechanisms affecting species' size and performance under different temperatures. We review the main competing genetic, physiological and ecological explanations for the TSR and suggest a roadmap to move the field forward. Location Global. Taxa Aquatic ectotherms. Time period 1980-present. Results We show that current studies cannot discriminate among alternative hypotheses and none of the hypotheses can explain all TSR-related observations. To resolve this impasse, we need experiments and field-sampling programmes that specifically compare alternative mechanisms and formally consider energetics related to growth costs, oxygen supply and behaviour. We highlight the distinction between evolutionary and plastic mechanisms, and suggest that the oxygen limitation debate should separate processes operating on short, decadal and millennial time-scales. Conclusions Despite decades of research, we remain uncertain whether the TSR is an adaptive response to temperature-related physiological (enzyme activity) or ecological changes (food, predation and other mortality), or a response to constraints operating at a cellular level (oxygen supply and associated costs). To make progress, ecologists, physiologists, modellers and geneticists should work together to develop a cross-disciplinary research programme that integrates theory and data, explores time-scales over which the TSR operates, and assesses limits to adaptation or plasticity. We identify four questions for such a programme. Answering these questions is crucial given the widespread impacts of climate change and reliance of management on models that are highly dependent on accurate representation of ecological and physiological responses to temperature.</t>
  </si>
  <si>
    <t>[Audzijonyte, Asta] Univ Tasmania, Inst Marine &amp; Antarctic Studies, 20 Castray Esplanade, Hobart, Tas 7001, Australia; [Barneche, Diego R.] Univ Sydney, Sch Life &amp; Environm Sci, Sydney, NSW, Australia; [Baudron, Alan R.; Marshall, C. Tara] Univ Aberdeen, Sch Biol Sci, Aberdeen, Scotland; [Belmaker, Jonathan; van Rijn, Itai] Tel Aviv Univ, Sch Zool, George S Wise Fac Life Sci, Tel Aviv, Israel; [Clark, Timothy D.] Deakin Univ, Sch Life &amp; Environm Sci, Geelong, Vic, Australia; [Morrongiello, John R.] Univ Melbourne, Sch BioSci, Melbourne, Vic, Australia</t>
  </si>
  <si>
    <t>University of Tasmania; University of Sydney; University of Aberdeen; Tel Aviv University; Deakin University; University of Melbourne; Melbourne Genomics Health Alliance</t>
  </si>
  <si>
    <t>Audzijonyte, A (corresponding author), Univ Tasmania, Inst Marine &amp; Antarctic Studies, 20 Castray Esplanade, Hobart, Tas 7001, Australia.</t>
  </si>
  <si>
    <t>asta.audzijonyte@utas.edu.au</t>
  </si>
  <si>
    <t>Belmaker, Jonathan/I-1004-2019; Marshall, C. Tara/I-7930-2014; Barneche, Diego R/A-3498-2014; Morrongiello, John/E-8716-2011; Audzijonyte, Asta/O-5598-2017; Clark, Timothy/K-7129-2012</t>
  </si>
  <si>
    <t>Belmaker, Jonathan/0000-0002-5618-7359; Barneche, Diego R/0000-0002-4568-2362; Morrongiello, John/0000-0002-9608-4151; Clark, Timothy/0000-0001-8738-3347</t>
  </si>
  <si>
    <t>Australian Research Council [DP170104240]; Kone Foundation; Australian Academy of Science; Horizon 2020 Framework Programme [677039]</t>
  </si>
  <si>
    <t>Australian Research Council(Australian Research Council); Kone Foundation; Australian Academy of Science; Horizon 2020 Framework Programme(Horizon 2020)</t>
  </si>
  <si>
    <t>Australian Research Council, Grant/Award Number: DP170104240; The Kone Foundation; Australian Academy of Science; Horizon 2020 Framework Programme, Grant/Award Number: 677039</t>
  </si>
  <si>
    <t>1466-822X</t>
  </si>
  <si>
    <t>1466-8238</t>
  </si>
  <si>
    <t>GLOBAL ECOL BIOGEOGR</t>
  </si>
  <si>
    <t>Glob. Ecol. Biogeogr.</t>
  </si>
  <si>
    <t>10.1111/geb.12847</t>
  </si>
  <si>
    <t>Ecology; Geography, Physical</t>
  </si>
  <si>
    <t>HK3CJ</t>
  </si>
  <si>
    <t>Green Accepted, Bronze, Green Submitted, Green Published</t>
  </si>
  <si>
    <t>WOS:000457789900001</t>
  </si>
  <si>
    <t>Harris, P; Sotirakopoulos, K; Robinson, S; Wang, L; Livina, V</t>
  </si>
  <si>
    <t>Harris, Peter; Sotirakopoulos, Kostas; Robinson, Stephen; Wang, Lian; Livina, Valerie</t>
  </si>
  <si>
    <t>A statistical method for the evaluation of long term trends in underwater noise measurements</t>
  </si>
  <si>
    <t>JOURNAL OF THE ACOUSTICAL SOCIETY OF AMERICA</t>
  </si>
  <si>
    <t>AMBIENT NOISE; SOUND LEVELS; OCEAN; WEST</t>
  </si>
  <si>
    <t>Deep ocean ambient sound levels have been the subject of recent studies, with particular interest in the identification of long term trends. This paper describes a statistical method for performing long term trend analysis and uncertainty evaluation of the estimated trends. Uncertainties are needed if the quality of the estimates are to be assessed and if the results from different studies or different methods are to be compared. The measured data span 14 years, from 2003 to 2017, and originate from the Southern Ocean close to Cape Leeuwin, Australia. The method uses a flexible discrete model incorporating terms that capture seasonal variations in the data and a moving-average statistical model to describe the serial correlation of residual deviations, with uncertainties validated using bootstrap resampling. The method is applied to time series representing monthly and daily aggregated statistical levels for five frequency bands to obtain estimates for the change in sound pressure level over the examined period with associated uncertainties. The results show a statistically significant reduction in sound pressure levels over the examined period at that location. Possible explanations for these changes are postulated, including the effects of shipping, wind speed, sea surface temperature, and changes in Antarctic ice volume. (C) 2019 Acoustical Society of America.</t>
  </si>
  <si>
    <t>[Harris, Peter; Sotirakopoulos, Kostas; Robinson, Stephen; Wang, Lian; Livina, Valerie] Natl Phys Lab, Hampton Rd, Teddington TW11 0LW, Middx, England</t>
  </si>
  <si>
    <t>National Physical Laboratory - UK</t>
  </si>
  <si>
    <t>Robinson, S (corresponding author), Natl Phys Lab, Hampton Rd, Teddington TW11 0LW, Middx, England.</t>
  </si>
  <si>
    <t>stephen.robinson@npl.co.uk</t>
  </si>
  <si>
    <t>Livina, Valerie N/C-7636-2011</t>
  </si>
  <si>
    <t>Livina, Valerie N/0000-0003-3759-9013; Robinson, Stephen/0000-0003-1497-9371</t>
  </si>
  <si>
    <t>UK's Department for Business, Energy and Industrial Strategy</t>
  </si>
  <si>
    <t>This work was funded by the UK's Department for Business, Energy and Industrial Strategy. The contributions of CTBTO's Albert Brouwer and the specialists at the virtual Data Exploitation Centre (vDEC) are gratefully acknowledged by the authors. The views expressed in the paper are those of the authors and do not necessarily represent those of the CTBTO. The authors would like to express their thanks to the anonymous reviewers for their insightful comments and suggestions.</t>
  </si>
  <si>
    <t>ACOUSTICAL SOC AMER AMER INST PHYSICS</t>
  </si>
  <si>
    <t>STE 1 NO 1, 2 HUNTINGTON QUADRANGLE, MELVILLE, NY 11747-4502 USA</t>
  </si>
  <si>
    <t>0001-4966</t>
  </si>
  <si>
    <t>1520-8524</t>
  </si>
  <si>
    <t>J ACOUST SOC AM</t>
  </si>
  <si>
    <t>J. Acoust. Soc. Am.</t>
  </si>
  <si>
    <t>10.1121/1.5084040</t>
  </si>
  <si>
    <t>Acoustics; Audiology &amp; Speech-Language Pathology</t>
  </si>
  <si>
    <t>HJ9OL</t>
  </si>
  <si>
    <t>WOS:000457528600039</t>
  </si>
  <si>
    <t>Gastauer, S; Chu, DZ; Cox, MJ</t>
  </si>
  <si>
    <t>Gastauer, Sven; Chu, Dezhang; Cox, Martin J.</t>
  </si>
  <si>
    <t>ZooScatR-An R package for modelling the scattering properties of weak scattering targets using the distorted wave Born approximation</t>
  </si>
  <si>
    <t>SOUND SPEED CONTRASTS; ACOUSTIC SCATTERING; ANTARCTIC KRILL; ZOOPLANKTON; INFERENCE; DENSITY; OBJECTS</t>
  </si>
  <si>
    <t>A thorough understanding of the scattering characteristics of marine organisms is a prerequisite for robust quantitative fisheries acoustic data processing or interpretation. Target strength models, such as the distorted wave Born approximation (DWBA) can be used to improve the understanding of field recordings of weakly scattering targets. With acoustic methods now being used by a wide audience, allowing access to such models becomes a necessity. To ease access to the DWBA model, an R package (ZOOSCATR) which includes a web application and the ability to parameterise the model either through the web application, text files, or pure scripting has been developed and is now freely available on Github. (C) 2019 Acoustical Society of America</t>
  </si>
  <si>
    <t>[Gastauer, Sven] Univ Tasmania, Antarctic Climate &amp; Ecosyst Cooperat Res Ctr, Private Bag 80, Hobart, Tas 7001, Australia; [Chu, Dezhang] NOAA, Northwest Fisheries Sci Ctr, Natl Marine Fisheries Serv, 2725 Montlake Blvd East, Seattle, WA 98112 USA; [Gastauer, Sven; Cox, Martin J.] Australian Antarctic Div, 203 Channel Highway, Kingston, Tas 7050, Australia</t>
  </si>
  <si>
    <t>Antarctic Climate &amp; Ecosystems Cooperative Research Centre (ACE CRC); University of Tasmania; National Oceanic Atmospheric Admin (NOAA) - USA; Australian Antarctic Division</t>
  </si>
  <si>
    <t>Gastauer, S (corresponding author), Univ Tasmania, Antarctic Climate &amp; Ecosyst Cooperat Res Ctr, Private Bag 80, Hobart, Tas 7001, Australia.</t>
  </si>
  <si>
    <t>sven.gastauer@utas.edu.au; dezhang.chu@noaa.gov; martin.cox@aad.gov.au</t>
  </si>
  <si>
    <t>Gastauer, Sven/0000-0001-9676-9946</t>
  </si>
  <si>
    <t>EL102</t>
  </si>
  <si>
    <t>EL108</t>
  </si>
  <si>
    <t>10.1121/1.5085655</t>
  </si>
  <si>
    <t>WOS:000457528600018</t>
  </si>
  <si>
    <t>[Anonymous]</t>
  </si>
  <si>
    <t>Business as usual for Antarctic krill despite ocean acidification</t>
  </si>
  <si>
    <t>News Item</t>
  </si>
  <si>
    <t>WOS:000457512500072</t>
  </si>
  <si>
    <t>Perkins, NR; Hosack, GR; Foster, SD; Hill, NA; Barrett, NS</t>
  </si>
  <si>
    <t>Perkins, Nicholas R.; Hosack, Geoffrey R.; Foster, Scott D.; Hill, Nicole A.; Barrett, Neville S.</t>
  </si>
  <si>
    <t>Spatial properties of sessile benthic organisms and the design of repeat visual survey transects</t>
  </si>
  <si>
    <t>AQUATIC CONSERVATION-MARINE AND FRESHWATER ECOSYSTEMS</t>
  </si>
  <si>
    <t>AUV; benthic monitoring; geostatistical modelling; sampling design; species distributions</t>
  </si>
  <si>
    <t>MARINE; MODELS; AUTOCORRELATION; CONSEQUENCES; MACROFAUNA; VARIABLES; PATTERN; IMAGERY; TRENDS</t>
  </si>
  <si>
    <t>Monitoring the impacts of pressures, such as climate change, on marine benthic ecosystems is of high conservation priority. Novel imaging technologies, such as autonomous underwater vehicles (AUVs), remotely operated vehicles (ROVs), and towed systems, now give researchers the ability to monitor benthic ecosystems over large spatial and temporal scales. The design of monitoring programmes that use such technologies is currently hindered by a lack of information about the typical abundance and spatial distributions of target indicators and the level of sampling required to detect changes. A further complicating factor is that these sampling platforms are often not able to be exactly relocated when conducting repeat surveys. How the spatial properties of benthic organisms influence the estimates of cover, given alternative designs that vary in the geolocation precision of transects and the sampling intensity of images, is explored. A geostatistical modelling approach is used to quantify the spatial distribution of 20 key deep-water invertebrate species at a long-term monitoring site. The parameter estimates from these models are then used to simulate repeat transects with geolocation error and different levels of sampling. Results suggest that species with short effective ranges (i.e. those with strong spatial dependence over relatively short distances) and large spatial variance, which suggests strong spatial dependence effects, will require greater sampling effort to achieve a given standard of precision. Spatial offsets of 2 m, typical of an AUV, are unlikely to have dramatic impacts on the precision of estimates when sufficient images are sampled, but offsets of 10 m that are typical of towed systems may require a prohibitively high sampling effort for some species. These findings have important implications for benthic monitoring programmes, and highlight the importance of considering the interactions between sampling design, the technical limitations of survey equipment, and the spatial properties of indicator species.</t>
  </si>
  <si>
    <t>[Perkins, Nicholas R.; Hill, Nicole A.; Barrett, Neville S.] Univ Tasmania, Inst Marine &amp; Antarctic Studies, Hobart, Tas, Australia; [Hosack, Geoffrey R.; Foster, Scott D.] CSIRO, Hobart, Tas, Australia</t>
  </si>
  <si>
    <t>University of Tasmania; Commonwealth Scientific &amp; Industrial Research Organisation (CSIRO)</t>
  </si>
  <si>
    <t>Perkins, NR (corresponding author), Inst Marine &amp; Antarctic Studies, Taroona Private Bag 49, Hobart, Tas 7001, Australia.</t>
  </si>
  <si>
    <t>nicholas.perkins@utas.edu.au</t>
  </si>
  <si>
    <t>Hosack, Geoffrey/E-8566-2010; Foster, Scott/E-9311-2010; Barrett, Neville/J-7593-2014</t>
  </si>
  <si>
    <t>Hosack, Geoffrey/0000-0002-6462-6817; Foster, Scott/0000-0002-6719-8002; Barrett, Neville/0000-0002-6167-1356; Perkins, Nicholas/0000-0002-1328-2321</t>
  </si>
  <si>
    <t>Australian Government's National Environmental Science Programme</t>
  </si>
  <si>
    <t>Australian Government's National Environmental Science Programme(Australian Government)</t>
  </si>
  <si>
    <t>1052-7613</t>
  </si>
  <si>
    <t>1099-0755</t>
  </si>
  <si>
    <t>AQUAT CONSERV</t>
  </si>
  <si>
    <t>Aquat. Conserv.-Mar. Freshw. Ecosyst.</t>
  </si>
  <si>
    <t>10.1002/aqc.2960</t>
  </si>
  <si>
    <t>Environmental Sciences; Marine &amp; Freshwater Biology; Water Resources</t>
  </si>
  <si>
    <t>Environmental Sciences &amp; Ecology; Marine &amp; Freshwater Biology; Water Resources</t>
  </si>
  <si>
    <t>HI9UW</t>
  </si>
  <si>
    <t>WOS:000456804200006</t>
  </si>
  <si>
    <t>Mahwi, TO; Abdulateef, DS</t>
  </si>
  <si>
    <t>Mahwi, Taha O.; Abdulateef, Darya S.</t>
  </si>
  <si>
    <t>Relation of Different Components of Climate with Human Pituitary-Thyroid Axis and FT3/FT4 Ratio: A Study on Euthyroid and SCH Subjects in Two Different Seasons</t>
  </si>
  <si>
    <t>INTERNATIONAL JOURNAL OF ENDOCRINOLOGY</t>
  </si>
  <si>
    <t>PROLONGED ANTARCTIC RESIDENCE; FOLLOW-UP; HIGH-ALTITUDE; IODINE INTAKE; THYROXINE; TSH; TRIIODOTHYRONINE; THYROTROPIN; WINTER; PERFORMANCE</t>
  </si>
  <si>
    <t>Background. Various changes in thyroid hormones (TH) and thyroid-stimulating hormone (TSH) level were observed in different seasons among euthyroid and hypothyroid subjects living in areas with an extreme temperature difference between summer and winter. Objectives. This study aims at finding the effect of temperate climate on the seasonal variations of TSH and TH in euthyroid and subclinical hypothyroidism (SCH) subjects and at evaluating if the test season has an effect on the number of subjects diagnosed as SCH. It basically focuses on the relation of different components of climate with TH and TSH. Method. In a prospective study on 152 healthy (euthyroid) volunteers and 25 SCH subjects, the serum hormone levels (TSH, FT4, and FT3) were measured in both the summer and winter seasons and correlated with all the climate components using Pearson's correlation coefficient. The effect of duration of outdoor exposure on hormone levels was compared using a paired sample t-test (P&lt;0.05). Results. Small but statistically significant increased FT3 level and decreased FT4 level were observed during the winter season in euthyroid and SCH subjects, respectively. There was a significant negative correlation between FT3 and FT3/FT4 ratio with temperature and sunshine duration and a positive correlation with humidity and atmospheric pressure. A positive correlation was found between FT4 and sunshine duration. Conclusion. The climate components contributed to the slight variance in hormone levels in different seasons, and the effect was mostly on peripheral conversion of FT4 to FT3 rather than the pituitary-thyroid axis leading to slightly higher FT3 in winter. Seasonal variation does not affect the diagnosis of SCH cases.</t>
  </si>
  <si>
    <t>[Mahwi, Taha O.] Univ Sulaimani, Coll Med, Dept Med, Sulaymaniyah 46001, Iraq; [Abdulateef, Darya S.] Univ Sulaimani, Coll Med, Physiol Dept, Sulaymaniyah 46001, Iraq</t>
  </si>
  <si>
    <t>University of Sulimanyah; University of Sulimanyah</t>
  </si>
  <si>
    <t>Abdulateef, DS (corresponding author), Univ Sulaimani, Coll Med, Physiol Dept, Sulaymaniyah 46001, Iraq.</t>
  </si>
  <si>
    <t>darya.abdulateef@univsul.edu.iq</t>
  </si>
  <si>
    <t>Abdulateef, Darya/AAN-3954-2020; Abdulateef, Darya/ABH-3387-2021</t>
  </si>
  <si>
    <t>Abdulateef, Darya/0000-0001-6516-8611;</t>
  </si>
  <si>
    <t>HINDAWI LTD</t>
  </si>
  <si>
    <t>ADAM HOUSE, 3RD FLR, 1 FITZROY SQ, LONDON, W1T 5HF, ENGLAND</t>
  </si>
  <si>
    <t>1687-8337</t>
  </si>
  <si>
    <t>1687-8345</t>
  </si>
  <si>
    <t>INT J ENDOCRINOL</t>
  </si>
  <si>
    <t>Int. J. Endocrinol.</t>
  </si>
  <si>
    <t>10.1155/2019/2762978</t>
  </si>
  <si>
    <t>Endocrinology &amp; Metabolism</t>
  </si>
  <si>
    <t>HJ2OV</t>
  </si>
  <si>
    <t>Green Published, gold, Green Submitted</t>
  </si>
  <si>
    <t>WOS:000457010000001</t>
  </si>
  <si>
    <t>Benkort, D; Plourde, S; Winkler, G; Cabrol, J; Ollier, A; Cope, LE; Maps, F</t>
  </si>
  <si>
    <t>Benkort, D.; Plourde, S.; Winkler, G.; Cabrol, J.; Ollier, A.; Cope, L-E; Maps, F.</t>
  </si>
  <si>
    <t>Individual-based modeling explains the contrasted seasonality in size, growth, and reproduction of the sympatric Arctic (Thysanoessa raschii) and Nordic krill (Meganyctiphanes norvegica) in the St. Lawrence Estuary, eastern Canada</t>
  </si>
  <si>
    <t>LIMNOLOGY AND OCEANOGRAPHY</t>
  </si>
  <si>
    <t>DIEL VERTICAL MIGRATION; NORTHERN KRILL; ANTARCTIC KRILL; EUPHAUSIA-SUPERBA; CALANUS-FINMARCHICUS; MOLT CYCLE; M-SARS; GULF; RESPIRATION; TEMPERATURE</t>
  </si>
  <si>
    <t>The Nordic krill Meganyctiphanes norvegica and Arctic krill Thysanoessa raschii both dominate the krill community within the Estuary and Gulf of St. Lawrence system where they are central forage species for its pelagic ecosystem. We developed a species-specific physiological individual based model that implements the critical physiological processes of growth, molting, and reproduction of female adults as responses to environmental forcing. Key innovations of our approach were the decoupling between the molting schedule and growth, as well as considering two distinct sources of prey (phytoplankton and mesozooplankton). Our simulation results revealed that the details of the feeding process were critical for an accurate representation of the production dynamics of adult individuals from both species. Their specific feeding preferences on phytoplankton and mesozooplankton resulted in distinct species-specific phenological patterns that reproduced observations. The present study highlights the importance of detailed knowledge of diet and feeding behavior of krill species to improve our understanding of population responses in a rapidly changing environment.</t>
  </si>
  <si>
    <t>[Benkort, D.; Maps, F.] Univ Laval, Dept Biol, Takuv Joint Int Lab, CNRS France,Quebec Ocean, Quebec City, PQ, Canada; [Plourde, S.] Fisheries &amp; Oceans Canada, Maurice Lamontagne Inst, Mont Joli, PQ, Canada; [Winkler, G.; Cabrol, J.; Ollier, A.; Cope, L-E] Univ Quebec Rimouski, Quebec Ocean, Inst Sci Mer Rimouski, Rimouski, PQ, Canada</t>
  </si>
  <si>
    <t>Laval University; Fisheries &amp; Oceans Canada; University of Quebec; Universite du Quebec a Rimouski</t>
  </si>
  <si>
    <t>Benkort, D (corresponding author), Univ Laval, Dept Biol, Takuv Joint Int Lab, CNRS France,Quebec Ocean, Quebec City, PQ, Canada.</t>
  </si>
  <si>
    <t>deborah.benkort.1@ulaval.ca</t>
  </si>
  <si>
    <t>Maps, Frederic/L-4546-2013</t>
  </si>
  <si>
    <t>Maps, Frederic/0000-0001-7115-2464</t>
  </si>
  <si>
    <t>Natural Sciences and Engineering Research Council of Canada (NSERC) [447363]; Fisheries and Ocean Canada; Quebec-Ocean; Takuvik [UMI 3376]</t>
  </si>
  <si>
    <t>Natural Sciences and Engineering Research Council of Canada (NSERC)(Natural Sciences and Engineering Research Council of Canada (NSERC)); Fisheries and Ocean Canada; Quebec-Ocean; Takuvik</t>
  </si>
  <si>
    <t>We gratefully thank the Krill Project member's and the Maurice Lamontagne Institute that provided data critical to the completion of this modeling project. We also thank I. Deschepper, B. St-Beat, and Debra Christiansen-Stowe for their editorial help. We are thankful for the insightful comments of two anonymous reviewers. This work was supported by the strategic partnership grant (STPGP # 447363) from the Natural Sciences and Engineering Research Council of Canada (NSERC) awarded to GW, SP and FM, Fisheries and Ocean Canada and Quebec-Ocean. This is a contribution to the research programs of Quebec-Ocean and Takuvik (UMI 3376).</t>
  </si>
  <si>
    <t>0024-3590</t>
  </si>
  <si>
    <t>1939-5590</t>
  </si>
  <si>
    <t>LIMNOL OCEANOGR</t>
  </si>
  <si>
    <t>Limnol. Oceanogr.</t>
  </si>
  <si>
    <t>10.1002/lno.11032</t>
  </si>
  <si>
    <t>Limnology; Oceanography</t>
  </si>
  <si>
    <t>HI8QL</t>
  </si>
  <si>
    <t>WOS:000456720900016</t>
  </si>
  <si>
    <t>Venkatachalam, S; Matcher, GF; Lamont, T; van den Berg, M; Ansorge, IJ; Dorrington, RA</t>
  </si>
  <si>
    <t>Venkatachalam, Siddarthan; Matcher, Gwynneth F.; Lamont, Tarron; van den Berg, Marcel; Ansorge, Isabelle J.; Dorrington, Rosemary A.</t>
  </si>
  <si>
    <t>Influence of oceanographic variability on near-shore microbial communities of the sub-Antarctic Prince Edward Islands</t>
  </si>
  <si>
    <t>POLAR FRONTAL ZONE; SOUTHERN-OCEAN; CLIMATE-CHANGE; ENVIRONMENT; MESOZOOPLANKTON; DATABASE; EDDIES; DYNAMICS; VICINITY; REVEALS</t>
  </si>
  <si>
    <t>The Prince Edward Islands (PEIs) lie within the Antarctic Circumpolar Current (ACC), in a transition zone bordered by the sub-Antarctic Front (SAF) to the north and the Antarctic Polar Front (APF) in the south. A climate-driven southward shift of the ACC and its frontal systems, the SAF and APF, in the vicinity of the PEIs is associated with a long-term decline in the frequency of island-associated phytoplankton blooms. These oceanographic perturbations coincide with significant declines in top predator populations attributed to shifts in the distribution and availability of prey, illustrating the interconnectedness between the marine and terrestrial ecosystems of the PEIs. This study investigated the influence of oceanographic variability on the marine ecosystem of the PEIs. A shift in phytoplankton and bacterial communities was observed that coincides with the position of the southern branch of the SAF, which was located to the north of the PEIs during 2014 and to the south during 2012, 2013, and 2015. These shifts in the diversity and structure of marine microbial communities correlate with significant perturbations in the position of the SAF relative to the islands leading us to conlclude that bacterial and phytoplankton communities in the PEI region are strongly influenced by shifts in the position of the SAF relative to the PEIs. This study highlights the critical need to link on-going physical time series measurements with biological observations to provide a better understanding of the direct role that the upstream dynamics has on the near-shore island environment and its productivity.</t>
  </si>
  <si>
    <t>[Venkatachalam, Siddarthan; Matcher, Gwynneth F.; Dorrington, Rosemary A.] Rhodes Univ, Dept Biochem &amp; Microbiol, Grahamstown, South Africa; [Venkatachalam, Siddarthan; Matcher, Gwynneth F.; Dorrington, Rosemary A.] South African Inst Aquat Biodiveristy, Grahamstown, South Africa; [Lamont, Tarron; van den Berg, Marcel] Dept Environm Affairs, Oceans &amp; Coasts Res Branch, Cape Town, South Africa; [Lamont, Tarron; Ansorge, Isabelle J.] Univ Cape Town, Marine Res Inst, Dept Oceanog, Cape Town, South Africa</t>
  </si>
  <si>
    <t>Rhodes University; Department of Environment, Forestry &amp; Fisheries; University of Cape Town</t>
  </si>
  <si>
    <t>Dorrington, RA (corresponding author), Rhodes Univ, Dept Biochem &amp; Microbiol, Grahamstown, South Africa.;Dorrington, RA (corresponding author), South African Inst Aquat Biodiveristy, Grahamstown, South Africa.</t>
  </si>
  <si>
    <t>r.dorrington@ru.ac.za</t>
  </si>
  <si>
    <t>ANSORGE, ISABELLE/AAY-7396-2020</t>
  </si>
  <si>
    <t>Dorrington, Rosemary/0000-0002-8694-367X; Matcher, Gwynneth/0000-0001-6206-696X; Ansorge, Isabelle/0000-0001-7071-8147; Lamont, Tarron/0000-0001-8464-891X</t>
  </si>
  <si>
    <t>South African National Antarctic Programme (SANAP) through the South African National Research Foundation (NRF) [80260, 80270]; Rhodes University Sandisa Imbewu Programme; DST/NRF SARChI Post-Doctoral Fellowship [87583]; South African Department of Environmental Affairs (DEA); University of Cape Town; Rhodes University</t>
  </si>
  <si>
    <t>South African National Antarctic Programme (SANAP) through the South African National Research Foundation (NRF); Rhodes University Sandisa Imbewu Programme; DST/NRF SARChI Post-Doctoral Fellowship; South African Department of Environmental Affairs (DEA); University of Cape Town; Rhodes University</t>
  </si>
  <si>
    <t>This research was funded by grants from the South African National Antarctic Programme (SANAP) through the South African National Research Foundation (NRF) to R.A.D. (80260) and I.J.A. (80270) and the Rhodes University Sandisa Imbewu Programme. S.V. was supported by a DST/NRF SARChI Post-Doctoral Fellowship (87583). Opinions expressed and conclusions arrived at are those of the authors and are not necessarily to be attributed to any of the above-mentioned donors. This research was also supported by the South African Department of Environmental Affairs (DEA) as well as by the University of Cape Town and Rhodes University. Altimetry data were obtained from the AVISO and CCAR altimetry network. The authors thank Centre for High Performance Computing (CHPC, South Africa) for providing computing facility for bioinformatics data analysis. The authors acknowledge Tahlia Henry and Marcel du Plessis for their technical support. Finally, the authors thank Captain Gavin Syndercombe, the officers, and crew of the RV SA Agulhas I and RV SA Agulhas II for their unfailing and support of the science project during Marion Island Takeover Cruises from 2012 to 2015.</t>
  </si>
  <si>
    <t>10.1002/lno.11035</t>
  </si>
  <si>
    <t>WOS:000456720900018</t>
  </si>
  <si>
    <t>Gemelli, F; Johnson, CR; Wright, JT</t>
  </si>
  <si>
    <t>Gemelli, F.; Johnson, C. R.; Wright, J. T.</t>
  </si>
  <si>
    <t>Gastropod communities associated with different morphologies of the intertidal seaweed Hormosira banksii</t>
  </si>
  <si>
    <t>biodiversity; canopy-forming seaweed; community structure; ecosystem engineer; morphology</t>
  </si>
  <si>
    <t>STRUCTURAL COMPLEXITY; BEMBICIUM-AURATUM; SPATIAL-PATTERNS; WAVE EXPOSURE; FACILITATION; HABITAT; ASSEMBLAGES; ALGA; BIODIVERSITY; DISTURBANCE</t>
  </si>
  <si>
    <t>Hormosira banksii is an important intertidal habitat-forming seaweed in southern Australia that shows large variation in morphology. We examined the relationship between morphological variation in Hormosira and associated gastropod community structure, abundance and diversity in Tasmania, southern Australia. We sampled both Hormosira and gastropods from sites in two habitats (coast and estuary), two times (February-March and October-November) at two regions (northern and eastern Tasmania). There were distinct Hormosira morphs on the north coast (small individuals), east coast (intermediate sized individuals) and in estuaries (large individuals). Multivariate analysis showed that gastropod communities varied among the different algal morphologies, and suggest an influence of morphological traits, specifically thallus length, vesicle number and size, on the distribution patterns of gastropod species. Despite the finding of distinct gastropod communities associated with the different Hormosira morphs, because the different morphs occur in different locations with different physical conditions, we cannot unequivocally attribute the differences in gastropod communities to seaweed morphology per se. Nonetheless, our results confirm that H. banksii is an important foundation species in the intertidal zone and suggest a habitat-specific effect of algal morphological traits on gastropods.</t>
  </si>
  <si>
    <t>[Gemelli, F.; Johnson, C. R.; Wright, J. T.] Univ Tasmania, Inst Marine &amp; Antarctic Studies, Private Bag 129, Hobart, Tas 7001, Australia</t>
  </si>
  <si>
    <t>Gemelli, F (corresponding author), Univ Tasmania, Inst Marine &amp; Antarctic Studies, Private Bag 129, Hobart, Tas 7001, Australia.</t>
  </si>
  <si>
    <t>federica.gemelli@utas.edu.au</t>
  </si>
  <si>
    <t>Wright, Jeffrey/J-7536-2014</t>
  </si>
  <si>
    <t>Wright, Jeffrey/0000-0002-1085-4582</t>
  </si>
  <si>
    <t>10.1071/MF18159</t>
  </si>
  <si>
    <t>HJ2QM</t>
  </si>
  <si>
    <t>WOS:000457015000009</t>
  </si>
  <si>
    <t>Ricciardelli, A; Casillo, A; Vergara, A; Balasco, N; Corsaro, MM; Tutino, ML; Parrilli, E</t>
  </si>
  <si>
    <t>Ricciardelli, Annarita; Casillo, Angela; Vergara, Alessandro; Balasco, Nicole; Corsaro, Maria Michela; Tutino, Maria Luisa; Parrilli, Ermenegilda</t>
  </si>
  <si>
    <t>Environmental conditions shape the biofilm of the Antarctic bacterium Pseudoalteromonas haloplanktis TAC125</t>
  </si>
  <si>
    <t>MICROBIOLOGICAL RESEARCH</t>
  </si>
  <si>
    <t>p. haloplanktis TAC125; Biofilm matrix; Cellulose; Low temperature; Raman microspectroscopy; Confocal laser scanning microscopy</t>
  </si>
  <si>
    <t>EXTRACELLULAR DNA; MARINE BACTERIUM; PROTEINS; CELLULOSE; MOTILITY; COLD; LIPOOLIGOSACCHARIDE; POLYSACCHARIDE; IDENTIFICATION; COMPONENT</t>
  </si>
  <si>
    <t>Biofilms are the most widely distributed and successful microbial modes of life. The capacity of bacteria to colonize surfaces provides stability in the growth environment, allows the capturing of nutrients and affords protection from a range of environmental challenges and stress. Bacteria living in cold environments, like Antarctica, can be found as biofilms, even though the mechanisms of how this lifestyle is related to their environmental adaptation have been poorly investigated. In this paper, the biofilm of Pseudoalteromonas haloplanktis TAC125, one of the model organisms of cold-adapted bacteria, has been characterized in terms of biofilm typology and matrix composition. The characterization was performed on biofilms produced by the bacterium in response to different nutrient abundance and temperatures; in particular, this is the first report describing the structure of a biofilm formed at 0 degrees C. The results reported demonstrate that PhTAC125 produces biofilms in different amount and endowed with different physico-chemical properties, like hydrophobicity and roughness, by modulating the relative amount of the different macromolecules present in the biofilm matrix. The capability of PhTAC125 to adopt different biofilm structures in response to environment changes appears to be an interesting adaptation strategy and gives the first hints about the biofilm formation in cold environments.</t>
  </si>
  <si>
    <t>[Ricciardelli, Annarita; Casillo, Angela; Vergara, Alessandro; Corsaro, Maria Michela; Tutino, Maria Luisa; Parrilli, Ermenegilda] Univ Naples Federico II, Dept Chem Sci, Complesso Univ Monte St Angelo,Via Cintia 4, Naples, Italy; [Vergara, Alessandro] CEINGE Srl, Naples, Italy; [Balasco, Nicole] CNR, Inst Biostruct &amp; Bioimaging, I-80134 Naples, Italy</t>
  </si>
  <si>
    <t>University of Naples Federico II; CEINGE Biotecnologie Avanzate; Consiglio Nazionale delle Ricerche (CNR); Istituto di Biostrutture e Bioimmagini (IBB-CNR)</t>
  </si>
  <si>
    <t>Parrilli, E (corresponding author), Univ Naples Federico II, Dept Chem Sci, Complesso Univ Monte St Angelo,Via Cintia 4, Naples, Italy.</t>
  </si>
  <si>
    <t>erparril@unina.it</t>
  </si>
  <si>
    <t>parrilli, ermenegilda/JAZ-0586-2023; TUTINO, MARIA LUISA/L-1834-2013; Vergara, Alessandro/C-4435-2013; Ricciardelli, Annarita/AAF-3219-2021; parrilli, ermenegilda/K-4616-2016; Balasco, Nicole/JFK-4445-2023; Corsaro, Maria Michela/T-6190-2019</t>
  </si>
  <si>
    <t>Ricciardelli, Annarita/0000-0003-2084-0579; parrilli, ermenegilda/0000-0002-9002-5409; Corsaro, Maria Michela/0000-0002-6834-8682; Balasco, Nicole/0000-0001-7862-9448; Vergara, Alessandro/0000-0003-4135-0245</t>
  </si>
  <si>
    <t>ELSEVIER GMBH</t>
  </si>
  <si>
    <t>MUNICH</t>
  </si>
  <si>
    <t>HACKERBRUCKE 6, 80335 MUNICH, GERMANY</t>
  </si>
  <si>
    <t>0944-5013</t>
  </si>
  <si>
    <t>MICROBIOL RES</t>
  </si>
  <si>
    <t>Microbiol. Res.</t>
  </si>
  <si>
    <t>10.1016/j.micres.2018.09.010</t>
  </si>
  <si>
    <t>HJ1BW</t>
  </si>
  <si>
    <t>WOS:000456897900008</t>
  </si>
  <si>
    <t>Islam, MA; Beardall, J; Cook, P</t>
  </si>
  <si>
    <t>Islam, Md Ashraful; Beardall, John; Cook, Perran</t>
  </si>
  <si>
    <t>Intra-strain Variability in the Effects of Temperature on UV-B Sensitivity of Cyanobacteria</t>
  </si>
  <si>
    <t>PHOTOCHEMISTRY AND PHOTOBIOLOGY</t>
  </si>
  <si>
    <t>INDUCED DNA-DAMAGE; CYLINDROSPERMOPSIS-RACIBORSKII NOSTOCALES; DIATOM THALASSIOSIRA-PSEUDONANA; ULTRAVIOLET-RADIATION; STRATOSPHERIC OZONE; VERTICAL-DISTRIBUTION; CLIMATE-CHANGE; CHLOROPHYLL FLUORESCENCE; TOXIC CYANOBACTERIUM; LIGHT-INTENSITY</t>
  </si>
  <si>
    <t>Stratospheric ozone depletion is mostly marked over the Antarctic and to a lesser extent over the Arctic, though recent reports have revealed that this also occurs at lower latitudes. Continued depletion of ozone in the lower stratosphere allows more UVR to reach the Earth's surface. Furthermore, it is projected that surface water temperatures will increase by between 0.2 and 2.0 degrees C by the year 2060 and this will directly or indirectly influence algal growth. The interactions between environmental factors are complicated by the existence of different strains (ecotypes) of the same species that may respond differently. To understand the interactive effects of temperature and UV-B on two strains of Anabaena circinalis, we investigated the damaging effects of UV-B on cell numbers and photosynthetic characteristics and also examined the effect of temperature on the capacity of cells to recover from such stress. Both strains of A. circinalis responded differently in terms of survival, photosynthetic characteristics and recovery with interactions between temperature and UV-B. This could be due to the variations in strain-specific photoreactive mechanisms. This needs to be explored further including more strains and species before definitive conclusions can be reached about effects of global change on cyanobacteria generally.</t>
  </si>
  <si>
    <t>[Islam, Md Ashraful; Beardall, John] Monash Univ, Sch Biol Sci, Clayton, Vic, Australia; [Cook, Perran] Monash Univ, Sch Chem, Clayton, Vic, Australia</t>
  </si>
  <si>
    <t>Monash University; Monash University</t>
  </si>
  <si>
    <t>Beardall, J (corresponding author), Monash Univ, Sch Biol Sci, Clayton, Vic, Australia.</t>
  </si>
  <si>
    <t>john.beardall@monash.edu</t>
  </si>
  <si>
    <t>Beardall, John/L-5262-2019</t>
  </si>
  <si>
    <t>Beardall, John/0000-0001-7684-446X; Islam, M Ashraful/0000-0002-7458-485X</t>
  </si>
  <si>
    <t>Monash University, Australia</t>
  </si>
  <si>
    <t>Monash University, Australia(Monash University)</t>
  </si>
  <si>
    <t>Md Ashraful Islam is grateful for a Dean's International Postgraduate Scholarship from Monash University, Australia.</t>
  </si>
  <si>
    <t>0031-8655</t>
  </si>
  <si>
    <t>1751-1097</t>
  </si>
  <si>
    <t>PHOTOCHEM PHOTOBIOL</t>
  </si>
  <si>
    <t>Photochem. Photobiol.</t>
  </si>
  <si>
    <t>10.1111/php.13014</t>
  </si>
  <si>
    <t>Biochemistry &amp; Molecular Biology; Biophysics</t>
  </si>
  <si>
    <t>HJ0HK</t>
  </si>
  <si>
    <t>WOS:000456839400029</t>
  </si>
  <si>
    <t>Di Donato, P; Buono, A; Poli, A; Finore, I; Abbamondi, GR; Nicolaus, B; Lama, L</t>
  </si>
  <si>
    <t>Di Donato, Paola; Buono, Andrea; Poli, Annarita; Finore, Ilaria; Abbamondi, Gennaro Roberto; Nicolaus, Barbara; Lama, Licia</t>
  </si>
  <si>
    <t>Exploring Marine Environments for the Identification of Extremophiles and Their Enzymes for Sustainable and Green Bioprocesses</t>
  </si>
  <si>
    <t>SUSTAINABILITY</t>
  </si>
  <si>
    <t>extremophiles; extremozymes; biofuels; bioremediation; microwave; satellite remote sensing</t>
  </si>
  <si>
    <t>SEA-ICE; HYDROTHERMAL VENTS; ALGINATE LYASE; SP-NOV.; BACTERIUM; PURIFICATION; CELLULASE; DEHALOGENASE; INDUSTRIAL; LIPASE</t>
  </si>
  <si>
    <t>Sea environments harbor a wide variety of life forms that have adapted to live in hard and sometimes extreme conditions. Among the marine living organisms, extremophiles represent a group of microorganisms that attract increasing interest in relation to their ability to produce an array of molecules that enable them to thrive in almost every marine environment. Extremophiles can be found in virtually every extreme environment on Earth, since they can tolerate very harsh environmental conditions in terms of temperature, pH, pressure, radiation, etc. Marine extremophiles are the focus of growing interest in relation to their ability to produce biotechnologically useful enzymes, the so-called extremozymes. Thanks to their resistance to temperature, pH, salt, and pollutants, marine extremozymes are promising biocatalysts for new and sustainable industrial processes, thus representing an opportunity for several biotechnological applications. Since the marine microbioma, i.e., the complex of microorganisms living in sea environments, is still largely unexplored finding new species is a central issue for green biotechnology. Here we described the main marine environments where extremophiles can be found, some existing or potential biotechnological applications of marine extremozymes for biofuels production and bioremediation, and some possible approaches for the search of new biotechnologically useful species from marine environments.</t>
  </si>
  <si>
    <t>[Di Donato, Paola; Poli, Annarita; Finore, Ilaria; Abbamondi, Gennaro Roberto; Nicolaus, Barbara; Lama, Licia] Natl Res Council Italy, Inst Biomol Chem, Via Campi Flegrei 34, I-80078 Naples, Italy; [Di Donato, Paola] Univ Naples Parthenope, Dept Sci &amp; Technol, Ctr Direz Isola C4, I-80143 Naples, Italy; [Buono, Andrea] Univ Naples Parthenope, Dept Engn, Ctr Direz Isola C4, I-80143 Naples, Italy</t>
  </si>
  <si>
    <t>Parthenope University Naples; Parthenope University Naples</t>
  </si>
  <si>
    <t>Di Donato, P; Lama, L (corresponding author), Natl Res Council Italy, Inst Biomol Chem, Via Campi Flegrei 34, I-80078 Naples, Italy.;Di Donato, P (corresponding author), Univ Naples Parthenope, Dept Sci &amp; Technol, Ctr Direz Isola C4, I-80143 Naples, Italy.</t>
  </si>
  <si>
    <t>paola.didonato@uniparthenope.it; andrea.buono@uniparthenope.it; apoli@icb.cnr.it; ilaria.finore@icb.cnr.it; roberto.abbamondi@icb.cnr.it; bnicolaus@icb.cnr.it; licia.lama@icb.cnr.it</t>
  </si>
  <si>
    <t>lama, licia/AAX-6572-2020; Di Donato, Paola/P-9245-2016; Abbamondi, Gennaro Roberto/B-9343-2014; Buono, Andrea/H-8167-2019</t>
  </si>
  <si>
    <t>lama, licia/0000-0003-3312-204X; Di Donato, Paola/0000-0002-7485-1815; Abbamondi, Gennaro Roberto/0000-0003-4772-3989; Buono, Andrea/0000-0002-5523-7609</t>
  </si>
  <si>
    <t>German Space Agency [AO OCE3201]; NASA Earth Science MEaSUREs DISCOVER Project; AMSR-E; [PNRA16_00274]</t>
  </si>
  <si>
    <t>German Space Agency(Helmholtz AssociationGerman Aerospace Centre (DLR)); NASA Earth Science MEaSUREs DISCOVER Project; AMSR-E;</t>
  </si>
  <si>
    <t>The authors thank the European Space Agency who provided Sentinel-1 SAR data through the Copernicus scientific hub and the German Space Agency who provided TerraSAR-X SAR data under the AO OCE3201. AMSR-E data and SST/SSS products are produced by Remote Sensing Systems and sponsored by the NASA Earth Science MEaSUREs DISCOVER Project and the AMSR-E Science Team (freely available at www.remss.com).Sea ice concentration products are produced by the Satellite Application Facility on Ocean and Sea Ice freely available at www.osi-saf.org).The authors also acknowledge the Italian Antarctic Research Program and the project PNRA16_00274.</t>
  </si>
  <si>
    <t>2071-1050</t>
  </si>
  <si>
    <t>SUSTAINABILITY-BASEL</t>
  </si>
  <si>
    <t>Sustainability</t>
  </si>
  <si>
    <t>10.3390/su11010149</t>
  </si>
  <si>
    <t>Green &amp; Sustainable Science &amp; Technology; Environmental Sciences; Environmental Studies</t>
  </si>
  <si>
    <t>Science &amp; Technology - Other Topics; Environmental Sciences &amp; Ecology</t>
  </si>
  <si>
    <t>HJ4ER</t>
  </si>
  <si>
    <t>WOS:000457127300149</t>
  </si>
  <si>
    <t>Naraoka, H; Hashiguchi, M</t>
  </si>
  <si>
    <t>Naraoka, Hiroshi; Hashiguchi, Minako</t>
  </si>
  <si>
    <t>Distinct distribution of soluble N-heterocyclic compounds between CM and CR chondrites</t>
  </si>
  <si>
    <t>GEOCHEMICAL JOURNAL</t>
  </si>
  <si>
    <t>molecular evolution; N-heterocyclic compounds; carbonaceous meteorites; CM chondrite; CR chondrite</t>
  </si>
  <si>
    <t>ORGANIC-MATTER; PARENT BODY; AMINO-ACIDS; CARBONACEOUS CHONDRITES; ISOTOPIC COMPOSITIONS; MURCHISON; EVOLUTION; MURRAY; INTERSTELLAR; DIVERSITY</t>
  </si>
  <si>
    <t>Very complex mixtures of organic compounds occur in extraterrestrial materials such as carbonaceous meteorites. These intricate signatures of meteoritic organic matter can provide clues to elucidate chemical evolution processes in space. Previously, these complex organic molecules have not been well-resolved in primitive meteorites, so the formation mechanisms of extraterrestrial organics remain largely conjectural. In this study, the occurrence and abundance of soluble CHN organic compounds were examined in CM vs. CR meteorites to investigate possible chemical processes associated with the different parent bodies. Hydrogenated alkylpiperidines (CnH2n+1N) are more abundant in the CR chondrite, in contrast to more abundant aromatic alkylpyridines (CnH2n-5N) in the CM chondrites. Both alkylpyridines and alkylpiperidines are most likely synthesized from simple aldehydes and ammonia on meteorite parent bodies, but the differences between the distribution of N-cyclic compounds are consistent with different redox conditions of the parent bodies which influenced the organic molecular evolution processes in extraterrestrial materials.</t>
  </si>
  <si>
    <t>[Naraoka, Hiroshi] Kyushu Univ, Dept Earth &amp; Planetary Sci, Nishi Ku, 744 Motooka, Fukuoka, Fukuoka 8190395, Japan; [Naraoka, Hiroshi; Hashiguchi, Minako] Kyushu Univ, Res Ctr Planetary Trace Organ Cpds, Nishi Ku, 744 Motooka, Fukuoka, Fukuoka 8190395, Japan</t>
  </si>
  <si>
    <t>Kyushu University; Kyushu University</t>
  </si>
  <si>
    <t>Naraoka, H (corresponding author), Kyushu Univ, Dept Earth &amp; Planetary Sci, Nishi Ku, 744 Motooka, Fukuoka, Fukuoka 8190395, Japan.;Naraoka, H (corresponding author), Kyushu Univ, Res Ctr Planetary Trace Organ Cpds, Nishi Ku, 744 Motooka, Fukuoka, Fukuoka 8190395, Japan.</t>
  </si>
  <si>
    <t>naraoka@geo.kyushu-u.ac.jp</t>
  </si>
  <si>
    <t>HASHIGUCHI, Minako/Z-2896-2019</t>
  </si>
  <si>
    <t>HASHIGUCHI, MINAKO/0000-0002-0302-2171</t>
  </si>
  <si>
    <t>JSPS KAKENHI [JP15H05749]; MEXT KAKENHI [JP25108006]</t>
  </si>
  <si>
    <t>JSPS KAKENHI(Ministry of Education, Culture, Sports, Science and Technology, Japan (MEXT)Japan Society for the Promotion of ScienceGrants-in-Aid for Scientific Research (KAKENHI)); MEXT KAKENHI(Ministry of Education, Culture, Sports, Science and Technology, Japan (MEXT)Japan Society for the Promotion of ScienceGrants-in-Aid for Scientific Research (KAKENHI))</t>
  </si>
  <si>
    <t>The authors thank S. R. Poulson, J. Isa, L. Piani and two anonymous reviewers for comments on an earlier version of the manuscript. The Antarctic CR meteorite, Yamato 002540, was provided by the National Institute of Polar Research, Japan. This study was supported by JSPS KAKENHI Grant JP15H05749 and MEXT KAKENHI Grant JP25108006.</t>
  </si>
  <si>
    <t>GEOCHEMICAL SOC JAPAN</t>
  </si>
  <si>
    <t>TOKYO</t>
  </si>
  <si>
    <t>358-5 YAMABUKI-CHO, SHINJUKU-KU, TOKYO, 162-0801, JAPAN</t>
  </si>
  <si>
    <t>0016-7002</t>
  </si>
  <si>
    <t>1880-5973</t>
  </si>
  <si>
    <t>GEOCHEM J</t>
  </si>
  <si>
    <t>Geochem. J.</t>
  </si>
  <si>
    <t>10.2343/geochemj.2.0546</t>
  </si>
  <si>
    <t>HI2MN</t>
  </si>
  <si>
    <t>WOS:000456279400004</t>
  </si>
  <si>
    <t>Qu, Y; Jevrejeva, S; Jackson, LP; Moore, JC</t>
  </si>
  <si>
    <t>Qu, Ying; Jevrejeva, Svetlana; Jackson, Luke P.; Moore, John C.</t>
  </si>
  <si>
    <t>Coastal Sea level rise around the China Seas</t>
  </si>
  <si>
    <t>GLOBAL AND PLANETARY CHANGE</t>
  </si>
  <si>
    <t>Sea level rise; China; Tide gauge records; Vertical land motion; Sea level budget; Sea level projections</t>
  </si>
  <si>
    <t>VERTICAL LAND MOTION; TIDE-GAUGE; RIVER DELTA; ICE-SHEET; VARIABILITY; PROJECTIONS; RECONSTRUCTION; TEMPERATURE; SCENARIOS; GREENLAND</t>
  </si>
  <si>
    <t>We analyze the sea level rise along the Bohai Sea, the Yellow Sea, the East China Sea, and the South China Sea (the China Seas) coastline using 25 tide gauge records beginning with Macau in 1925, but with most starting during the 1950s and 60s. The main problem in estimating sea level rise for the period is the lack of vertical land movement (VLM) data for the tide gauge stations. We estimated VLM using satellite altimetry covering the 18 stations with records spanning 1993-2016. The results show that many tide gauge stations, typically in cities, have undergone significant subsidence due to groundwater extraction. After removing the VLM from tide gauge records, the 1993-2016 sea level rise rate is 3.2 +/- 1.1 mm/yr, and 2.9 +/- 0.8 mm/yr over the longer 1980-2016 period. We estimate the steric sea level contribution to be up to 0.9 +/- 0.3 mm/yr, and contributions from ice mass loss from glaciers and ice sheets of up to 1.1 +/- 0.1 mm/yr over the last 60 years. Contributions from VLM range between - 4.5 +/- 1.0 mm/yr and 1.4 +/- 1.3 mm/yr across the stations. Projections of coastal sea level probability distributions under future climate scenarios show that the steric factor is the main contributor under both the RCP 4.5 and High-end RCP 8.5 scenarios except in the upper tails under High-end RCP 8.5 when the Antarctic ice sheet makes the greatest contribution. By 2100 we expect median coastal sea level rises at the stations of 48-61 cm under RCP 4.5, and 84-99 cm under High-end RCP 8.5 scenario.</t>
  </si>
  <si>
    <t>[Qu, Ying; Moore, John C.] Beijing Normal Univ, Coll Global Change &amp; Earth Syst Sci, Beijing, Peoples R China; [Qu, Ying; Jevrejeva, Svetlana] Natl Oceanog Ctr, 6 Brownlow St, Liverpool L3 5DA, Merseyside, England; [Jackson, Luke P.] Univ Oxford, Nuffield Coll, Programme Econ Modelling, 1 New Rd, Oxford OX1 1NF, England; [Moore, John C.] Univ Lapland, Arctic Ctr, POB 122, Rovaniemi 96101, Finland; [Moore, John C.] CAS Ctr Excellence Tibetan Plateau Earth Sci, Beijing 100101, Peoples R China</t>
  </si>
  <si>
    <t>Beijing Normal University; NERC National Oceanography Centre; University of Oxford; University of Lapland</t>
  </si>
  <si>
    <t>Moore, JC (corresponding author), Beijing Normal Univ, Coll Global Change &amp; Earth Syst Sci, Beijing, Peoples R China.</t>
  </si>
  <si>
    <t>john.moore.bnu@gmail.com</t>
  </si>
  <si>
    <t>Moore, John C/B-2868-2013; Qu, Ying/ABD-3104-2021</t>
  </si>
  <si>
    <t>Moore, John C/0000-0001-8271-5787;</t>
  </si>
  <si>
    <t>China Scholarship Council; Natural Environmental Research Council [NE/P01517/1]; EPSRC NEWTON Fund Sustainable Deltas Programme [EP/R024537/1]; NERC [NE/P015107/1, noc010010] Funding Source: UKRI; Newton Fund [EP/R024537/1] Funding Source: UKRI</t>
  </si>
  <si>
    <t>China Scholarship Council(China Scholarship Council); Natural Environmental Research Council(UK Research &amp; Innovation (UKRI)Natural Environment Research Council (NERC)); EPSRC NEWTON Fund Sustainable Deltas Programme(UK Research &amp; Innovation (UKRI)Engineering &amp; Physical Sciences Research Council (EPSRC)); NERC(UK Research &amp; Innovation (UKRI)Natural Environment Research Council (NERC)); Newton Fund</t>
  </si>
  <si>
    <t>Tide gauge data are obtained from the Permanent Service for Mean Sea level (PSMSL) (www.psmsl.org).EN4 version 4.2.0 gridded temperature and salinity data are obtained from the U.K. Met Office (www.metoffice.gov.uk/hadobs/en4/).Altimetry data provided by SSALTO/DUACS are obtained from AVISO (www.aviso.altimetry.fr).Sea level pressure are downloaded from NCEP/NCAR Reanalysis datasets (www.esrl.noaa.gov/psd).GH thanks Thomas Ferederikse for providing the present-day mass redistribution data, and Francisco Mir. Calafat for the helpful suggestions. Also the authors gratefully acknowledge the financial support from China Scholarship Council. SJ was supported by the Natural Environmental Research Council under Grant Agreement No. NE/P01517/1 for the project called Sea level rise trajectories by 2200 with warmings of 1.5 to 2 degrees C and by the EPSRC NEWTON Fund Sustainable Deltas Programme, grant number EP/R024537/1, ANCODE project (Applying nature-based coastal defense to the world's largest urban area - from science to practice).</t>
  </si>
  <si>
    <t>0921-8181</t>
  </si>
  <si>
    <t>1872-6364</t>
  </si>
  <si>
    <t>GLOBAL PLANET CHANGE</t>
  </si>
  <si>
    <t>Glob. Planet. Change</t>
  </si>
  <si>
    <t>10.1016/j.gloplacha.2018.11.005</t>
  </si>
  <si>
    <t>HI1RN</t>
  </si>
  <si>
    <t>WOS:000456222800033</t>
  </si>
  <si>
    <t>Danielson, M; Bart, PJ</t>
  </si>
  <si>
    <t>Danielson, M.; Bart, P. J.</t>
  </si>
  <si>
    <t>Topographic control on the post-LGM grounding zone locations of the West Antarctic Ice Sheet in the Whales Deep Basin, Eastern Ross Sea</t>
  </si>
  <si>
    <t>MARINE GEOLOGY</t>
  </si>
  <si>
    <t>PLEISTOCENE-HOLOCENE RETREAT; CONTINENTAL-SHELF; LINE RETREAT; STREAM; SEDIMENTATION; BENEATH; SYSTEM; STABILITY; EMBAYMENT; THICKNESS</t>
  </si>
  <si>
    <t>After the Last Glacial Maximum (LGM), the Antarctic Ice Sheet retreated several hundred kilometers from the outer continental shelf. An overall backstepping stratal pattern of grounding zone wedges (GZWs) indicates that the post-LGM retreat occurred in a step-wise fashion. Each GZW records a prior interval of ice-stream sedimentation during which the location of paleo-grounding zone (i.e., the former seaward limit of flowing ice grounded to the seafloor) was relatively stationary. Here we investigate whether the locations of post-LGM grounding-zone stillstands in the Whales Deep Basin (WDB) of the eastern Ross Sea were controlled by the antecedent topography. The Bindschadler Ice Stream formerly occupied the WDB. We used similar to 7500 km of seismic reflection data to create a depth-converted map of the LGM unconformity that was sub-glacially eroded when the WAIS was grounded at the continental shelf edge (i.e., prior to the deposition of the post-LGM GZWs). Our mapping shows that the first three paleo-grounding zones were located slightly downstream of relatively low-relief obstacles on the LGM unconformity. The subsequent four grounding zones were located above a low-relief saddle on the LGM unconformity at a bottleneck constriction in the width of the paleo-ice-stream basin. These observations support the general hypotheses that post-LGM grounding-zone locations were at least partly controlled by the antecedent subglacial topography. We cannot exclude the possibility that other factors may have also been important. However, the results suggest that models seeking to accurately predict the changing extent of grounded ice in response to ongoing climate changes should incorporate highly resolved maps of the existing subglacial topography as well as considerations as to how subglacial topography evolves in response to contemporaneous ice-stream erosion and sedimentation.</t>
  </si>
  <si>
    <t>[Danielson, M.; Bart, P. J.] Louisiana State Univ, Dept Geol &amp; Geophys, Howe Russell Geosci Complex E235, Baton Rouge, LA 70803 USA</t>
  </si>
  <si>
    <t>Louisiana State University System; Louisiana State University</t>
  </si>
  <si>
    <t>Bart, PJ (corresponding author), Louisiana State Univ, Dept Geol &amp; Geophys, Howe Russell Geosci Complex E235, Baton Rouge, LA 70803 USA.</t>
  </si>
  <si>
    <t>pbart@lsu.edu</t>
  </si>
  <si>
    <t>Danielson, Matthew/0000-0001-7722-8896</t>
  </si>
  <si>
    <t>United States National Science Foundation Office of Polar Programs Antarctic Earth Sciences Division grant [1246357]; Office of Polar Programs (OPP); Directorate For Geosciences [1246357] Funding Source: National Science Foundation</t>
  </si>
  <si>
    <t>United States National Science Foundation Office of Polar Programs Antarctic Earth Sciences Division grant; Office of Polar Programs (OPP); Directorate For Geosciences(National Science Foundation (NSF)NSF - Directorate for Geosciences (GEO))</t>
  </si>
  <si>
    <t>Support for the project was provided by a United States National Science Foundation Office of Polar Programs Antarctic Earth Sciences Division grant (#1246357) to Bart. We thank the captain, crew, technical support staff and the Louisiana State University shipboard scientists who participated in data acquisition and processing on Nathaniel B. Palmer RVIB during expedition NBP1502B. We thank Maddie Meyers for processing the NBP1205B seismic data. We thank the Rice University scientific party members of expedition NBP1502A who helped with all aspects of our data acquisition. We thank John Anderson who provided hardcopies of seismic data utilized in this study. We thank Johann Klages, Robert Larter and an anonymous reviewer for comments and suggestions that greatly improved the manuscript.</t>
  </si>
  <si>
    <t>0025-3227</t>
  </si>
  <si>
    <t>1872-6151</t>
  </si>
  <si>
    <t>MAR GEOL</t>
  </si>
  <si>
    <t>Mar. Geol.</t>
  </si>
  <si>
    <t>10.1016/j.margeo.2018.11.001</t>
  </si>
  <si>
    <t>Geosciences, Multidisciplinary; Oceanography</t>
  </si>
  <si>
    <t>Geology; Oceanography</t>
  </si>
  <si>
    <t>HI1RO</t>
  </si>
  <si>
    <t>WOS:000456222900016</t>
  </si>
  <si>
    <t>Thibodeau, PS; Steinberg, DK; Stammerjohn, SE; Hauri, C</t>
  </si>
  <si>
    <t>Thibodeau, P. S.; Steinberg, D. K.; Stammerjohn, S. E.; Hauri, C.</t>
  </si>
  <si>
    <t>Environmental controls on pteropod biogeography along the Western Antarctic Peninsula</t>
  </si>
  <si>
    <t>OCEAN ACIDIFICATION; CLIMATE-CHANGE; ROSS SEA; GYMNOSOMATOUS PTEROPODS; GRAZING IMPACT; MCMURDO SOUND; TIME-SERIES; ZONE WEST; ZOOPLANKTON; MACROZOOPLANKTON</t>
  </si>
  <si>
    <t>Pteropods are abundant zooplankton in the Western Antarctic Peninsula (WAP) and important grazers of phytoplankton and prey for higher trophic levels. We analyzed long-term (1993-2017) trends in summer (January-February) abundance of WAP pteropods in relation to environmental controls (sea ice, sea surface temperature, climate indices, phytoplankton biomass and productivity, and carbonate chemistry) and interspecies dynamics using general linear models. There was no overall directional trend in abundance of thecosomes, Limacina helicina antarctica and Clio pyramidata, throughout the entire WAP, although L. antarctica abundance increased in the slope region and C. pyramidata abundance increased in the South. High L. antarctica abundance was strongly tied to a negative Multivariate El Nino Southern Oscillation Index the previous year. C. pyramidata abundance was best explained by early sea ice retreat 1-yr prior. Abundance of the gymnosome species, Clione antarctica and Spongiobranchaea australis, increased over the time series, particularly in the slope region. Gymnosome abundance was positively influenced by abundance of their prey, L. antarctica, during the same season, and late sea ice advance 2-yr prior. These trends indicate a shorter ice season promotes longer periods of open water in spring/summer favoring all pteropod species. Weak relationships were found between pteropod abundance and carbonate chemistry, and no long-term trend in carbonate parameters was detected. These factors indicate ocean acidification is not presently influencing WAP pteropod abundance. Pteropods are responsive to the considerable environmental variability on both temporal and spatial scales-key for predicting future effects of climate change on regional carbon cycling and plankton trophic interactions.</t>
  </si>
  <si>
    <t>[Thibodeau, P. S.; Steinberg, D. K.] Coll William &amp; Mary, Virginia Inst Marine Sci, Gloucester Point, VA 23062 USA; [Stammerjohn, S. E.] Univ Colorado, Inst Arctic &amp; Alpine Res, Boulder, CO 80309 USA; [Hauri, C.] Univ Alaska Fairbanks, Int Arctic Res Ctr, Fairbanks, AK USA</t>
  </si>
  <si>
    <t>William &amp; Mary; Virginia Institute of Marine Science; University of Colorado System; University of Colorado Boulder; University of Alaska System; University of Alaska Fairbanks</t>
  </si>
  <si>
    <t>Thibodeau, PS (corresponding author), Coll William &amp; Mary, Virginia Inst Marine Sci, Gloucester Point, VA 23062 USA.</t>
  </si>
  <si>
    <t>psthibodeau@vims.edu</t>
  </si>
  <si>
    <t>Thibodeau, Patricia/0000-0002-6005-8816; Steinberg, Deborah K./0000-0001-9884-4655</t>
  </si>
  <si>
    <t>National Science Foundation's Antarctic Organisms and Ecosystems Program [OPP NSF PLR 1440435]</t>
  </si>
  <si>
    <t>National Science Foundation's Antarctic Organisms and Ecosystems Program</t>
  </si>
  <si>
    <t>The authors thank the Captain, officers, and crew of the MV Polar Duke and ARSV Laurence M. Gould, and Raytheon Polar Services and Lockheed Martin personnel for their scientific and logistical support. The authors are grateful to the many student volunteers who assisted during the PAL LTER cruises and in the laboratory. The authors thank Doug Martinson and Rich Iannuzzi for consult on SST data, Grace Saba for advice with climate index analyses, Naomi Manahan and Matt Erickson for TA and DIC data, Jack Conroy for assistance with figure preparation, Joe Cope for advice on data analysis, Mary Fabrizio for advice on GLMs, and Hugh Ducklow for his leadership of the PAL LTER. The authors also thank O. Schofield, N. Waite, B. Prezelin, M. Vernet, and R. Smith for PP and Chl a data used in analyses. This research was supported by the National Science Foundation's Antarctic Organisms and Ecosystems Program (OPP NSF PLR 1440435). This is contribution number 3779 from the Virginia Institute of Marine Science.</t>
  </si>
  <si>
    <t>S240</t>
  </si>
  <si>
    <t>S256</t>
  </si>
  <si>
    <t>10.1002/lno.11041</t>
  </si>
  <si>
    <t>HI0WC</t>
  </si>
  <si>
    <t>WOS:000456164100019</t>
  </si>
  <si>
    <t>Wojczulanis-Jakubas, K; Plenzler, J; Jakubas, D</t>
  </si>
  <si>
    <t>Wojczulanis-Jakubas, K.; Plenzler, J.; Jakubas, D.</t>
  </si>
  <si>
    <t>Indications of contagious behaviours in the southern elephant seal: an observational study</t>
  </si>
  <si>
    <t>BEHAVIOUR</t>
  </si>
  <si>
    <t>Antarctic; contagious behaviours; elephant seal; marine mammals; Mirounga leonina; social behaviours</t>
  </si>
  <si>
    <t>NO EVIDENCE; PERCEPTION</t>
  </si>
  <si>
    <t>Behavioural contagion is a curious phenomenon of human social life which is believed to facilitate group living. It has also been demonstrated in animals that some behaviours may be contagious: how widespread this phenomenon is remains unclear, as only a few species have been tested. In this context, we examined whether three behaviours commonly exhibited by moulting southern elephant seals (Mirounga leonina): sneezing, scratching and yawning could be contagious. Using the randomization approach, we found this to be the case in general for all the behaviours, although the pattern was not that obvious or present at all for all the social groups. This indicates there is a potential for social contagion but the issue is complex. Despite limitations associated with observational study on small-size social groups, this is the first report of contagious behaviours in marine mammals and is to encourage further investigation.</t>
  </si>
  <si>
    <t>[Wojczulanis-Jakubas, K.; Jakubas, D.] Univ Gdansk, Fac Biol, Dept Vertebrate Ecol &amp; Zool, Gdansk, Poland; [Plenzler, J.] Polish Acad Sci, Inst Biochem &amp; Biophys, Dept Antarctic Biol, Warsaw, Poland</t>
  </si>
  <si>
    <t>Fahrenheit Universities; University of Gdansk; Polish Academy of Sciences; Institute of Biochemistry &amp; Biophysics - Polish Academy of Sciences</t>
  </si>
  <si>
    <t>Wojczulanis-Jakubas, K (corresponding author), Univ Gdansk, Fac Biol, Dept Vertebrate Ecol &amp; Zool, Gdansk, Poland.</t>
  </si>
  <si>
    <t>biokwj@univ.gda.pl</t>
  </si>
  <si>
    <t>Jakubas, Dariusz/N-3680-2019; Wojczulanis-Jakubas, Katarzyna/AAO-4126-2021</t>
  </si>
  <si>
    <t>Jakubas, Dariusz/0000-0002-1879-4342; Wojczulanis-Jakubas, Katarzyna/0000-0001-6230-0509; Plenzler, Joanna/0000-0002-0566-0062</t>
  </si>
  <si>
    <t>Polish National Science Centre [2015/19/B/NZ8/01981]</t>
  </si>
  <si>
    <t>Polish National Science Centre</t>
  </si>
  <si>
    <t>We are grateful to all members of Polish Antarctic Expedition to Arctowski Station for their logistic support and meteorological data. We are also grateful anonymous reviewers for the comments that helped to improve the manuscript, Peter Senn for English improvement, and Adrian Zwolicki for inspirational discussion during data analysis. KWJ and DJ were supported by Polish National Science Centre through grant 2015/19/B/NZ8/01981. No one of the authors has any conflict of interest to declare. Data are available upon reasonable request.</t>
  </si>
  <si>
    <t>0005-7959</t>
  </si>
  <si>
    <t>1568-539X</t>
  </si>
  <si>
    <t>Behaviour</t>
  </si>
  <si>
    <t>10.1163/1568539X-00003530</t>
  </si>
  <si>
    <t>Behavioral Sciences; Zoology</t>
  </si>
  <si>
    <t>HH7ZM</t>
  </si>
  <si>
    <t>WOS:000455950600003</t>
  </si>
  <si>
    <t>Marizcurrena, JJ; Martínez-López, W; Ma, HJ; Lamparter, T; Castro-Sowinski, S</t>
  </si>
  <si>
    <t>Jose Marizcurrena, Juan; Martinez-Lopez, Wilner; Ma, Hongju; Lamparter, Tilman; Castro-Sowinski, Susana</t>
  </si>
  <si>
    <t>A highly efficient and cost-effective recombinant production of a bacterial photolyase from the Antarctic isolate Hymenobacter sp. UV11</t>
  </si>
  <si>
    <t>EXTREMOPHILES</t>
  </si>
  <si>
    <t>Photolyase; Hymenobacter; UV-irradiation; Photorepair; Antarctica</t>
  </si>
  <si>
    <t>Photolyases are DNA-repairing flavoproteins that are represented in most phylogenetic taxa with the exception of placental mammals. These enzymes reduce the ultraviolet-induced DNA damage; thus, they have features that make them very attractive for dermatological or other medical uses, such as the prevention of human skin cancer and actinic keratosis. In this work, we identified a 50.8kDa photolyase from the UVC-resistant Antarctic bacterium Hymenobacter sp. UV11. The enzyme was produced by recombinant DNA technology, purified using immobilized metal affinity chromatography and its activity was analyzed using different approaches: detection of cyclobutane pyrimidine dimers (CPDs) by immunochemistry, high-performance liquid chromatography and comet assays using Chinese Hamster Ovary (CHO) and immortalized nontumorigenic human epidermal (HaCat) cells. The information supports that the recombinant protein has the ability to repair the formation of CPDs, on both double- and single-stranded DNA. This CPD-photolyase was fully active on CHO and HaCat cell lines, suggesting that this enzyme could be used for medical or cosmetic purposes. Results also suggest that the UV11 CPD-photolyase uses MTHF as chromophore in the antenna domain. The potential use of this recombinant enzyme in the development of new inventions with pharmaceutical and cosmetic applications is discussed during this work.</t>
  </si>
  <si>
    <t>[Jose Marizcurrena, Juan; Castro-Sowinski, Susana] Univ Republ UdelaR, Fac Sci, Biochem &amp; Mol Biol, Igua 4225, Montevideo 11400, Uruguay; [Jose Marizcurrena, Juan; Martinez-Lopez, Wilner] Inst Clemente Estable, Epigenet &amp; Genom Instabil Lab, Ave Italia 3318, Montevideo 11600, Uruguay; [Jose Marizcurrena, Juan; Martinez-Lopez, Wilner] Inst Clemente Estable, Biodosimetry Serv, Ave Italia 3318, Montevideo 11600, Uruguay; [Ma, Hongju; Lamparter, Tilman] Karlsruhe Inst Technol, Inst Bot, Fritz Haber Weg 4, D-76131 Karlsruhe, Germany; [Castro-Sowinski, Susana] Inst Clemente Estable, Mol Microbiol, Ave Italia 3318, Montevideo 11600, Uruguay</t>
  </si>
  <si>
    <t>Universidad de la Republica, Uruguay; Instituto de Investigaciones Biologicas Clemente Estable Uruguay; Instituto de Investigaciones Biologicas Clemente Estable Uruguay; Helmholtz Association; Karlsruhe Institute of Technology; Instituto de Investigaciones Biologicas Clemente Estable Uruguay</t>
  </si>
  <si>
    <t>Castro-Sowinski, S (corresponding author), Univ Republ UdelaR, Fac Sci, Biochem &amp; Mol Biol, Igua 4225, Montevideo 11400, Uruguay.;Castro-Sowinski, S (corresponding author), Inst Clemente Estable, Mol Microbiol, Ave Italia 3318, Montevideo 11600, Uruguay.</t>
  </si>
  <si>
    <t>s.castro.sow@gmail.com</t>
  </si>
  <si>
    <t>Lamparter, Tilman/KFR-2495-2024; Marizcurrena, Juan Jose/AAB-5482-2020; Lamparter, Tilman/E-4421-2013</t>
  </si>
  <si>
    <t>Marizcurrena, Juan Jose/0000-0002-5191-1539; Lamparter, Tilman/0000-0003-4327-9737</t>
  </si>
  <si>
    <t>PEDECIBA (Programa de Desarrollo de las Ciencias Basicas); CSIC (Comision Sectorial de Investigacion Cientifica) [C667]; ANII (Agencia Nacional de Investigacion e Innovacion) [FMV_3_2016_1_1226654]; ANII; CAP (Comision Academica de Posgrado, UdelaR)</t>
  </si>
  <si>
    <t>PEDECIBA (Programa de Desarrollo de las Ciencias Basicas); CSIC (Comision Sectorial de Investigacion Cientifica); ANII (Agencia Nacional de Investigacion e Innovacion); ANII; CAP (Comision Academica de Posgrado, UdelaR)</t>
  </si>
  <si>
    <t>The authors thank the Uruguayan Antarctic Institute for the logistic support during the stay in the Antarctic Base Artigas. S. Castro-Sowinski, W. Martinez Lopez and J. J. Marizcurrena are members of the National Research System (SNI, Sistema Nacional de Investigadores). This work was partially supported by PEDECIBA (Programa de Desarrollo de las Ciencias Basicas), CSIC (Comision Sectorial de Investigacion Cientifica; Project C667), ANII (Agencia Nacional de Investigacion e Innovacion, Project FMV_3_2016_1_1226654) and donations by Celsius Laboratory (http://www.celsius.uy/).The work of JJM was supported by ANII and CAP (Comision Academica de Posgrado, UdelaR).</t>
  </si>
  <si>
    <t>SPRINGER JAPAN KK</t>
  </si>
  <si>
    <t>SHIROYAMA TRUST TOWER 5F, 4-3-1 TORANOMON, MINATO-KU, TOKYO, 105-6005, JAPAN</t>
  </si>
  <si>
    <t>1431-0651</t>
  </si>
  <si>
    <t>1433-4909</t>
  </si>
  <si>
    <t>Extremophiles</t>
  </si>
  <si>
    <t>10.1007/s00792-018-1059-y</t>
  </si>
  <si>
    <t>Biochemistry &amp; Molecular Biology; Microbiology</t>
  </si>
  <si>
    <t>HH9AD</t>
  </si>
  <si>
    <t>WOS:000456024600005</t>
  </si>
  <si>
    <t>Ferreira, EMS; de Sousa, FMP; Rosa, LH; Pimenta, RS</t>
  </si>
  <si>
    <t>Silva Ferreira, Eskalath Morganna; Pinheiro de Sousa, Francisca Maria; Rosa, Luiz Henrique; Pimenta, Raphael Sanzio</t>
  </si>
  <si>
    <t>Taxonomy and richness of yeasts associated with angiosperms, bryophytes, and meltwater biofilms collected in the Antarctic Peninsula</t>
  </si>
  <si>
    <t>Antarctica; Yeasts; Epiphytes; Diversity</t>
  </si>
  <si>
    <t>ENZYMATIC-ACTIVITIES; DIVERSITY; COMMUNITIES; MACROALGAE; ENVIRONMENTS; PATAGONIA; PATTERNS; FUNGI; SPP.</t>
  </si>
  <si>
    <t>The interest in the diversity of yeasts in the Antarctic environment has increased in recent years, mainly because Antarctic microbiology is a recent science, and little is known about the biodiversity and genetic resources of the microorganisms that inhabit this ecosystem. This study aimed to determine the diversity of epiphytic yeasts in samples of Deschampsia antarctica, Colobanthus quitensis, and bryophytes, as well yeasts present in biofilms collected from Antarctic meltwater. Samples were collected in the summer of 2014 and 2015 during expeditions organized by the Brazilian Antarctic Program. A total of 310 yeasts were isolated, and 34 species were identified by sequencing the D1/D2 domains of the rDNA region belonging to 18 genera. The species Vishniacozyma victoriae and Mrakia gelida were the most abundant. Dioszegia antarctica and Leucosporidium creatinivorum were found only in plant substrates. Most psychrophilic yeasts were isolated from biofilms, including Glaciozyma antarctica, Glaciozyma martinii, Mrakia gelida, Mrakia frigida, Mrakia robertii, Phenoliferia glacialis, and Phenoliferia psychrophenolica, suggesting that the substrates examined in this study represented an interesting habitat for the isolation and characterization of epiphytic and non-epiphytic yeasts that colonize the Antarctic region.</t>
  </si>
  <si>
    <t>[Silva Ferreira, Eskalath Morganna; Pinheiro de Sousa, Francisca Maria; Pimenta, Raphael Sanzio] Fed Univ Tocantins, Lab Gen &amp; Appl Microbiol, Palmas, TO, Brazil; [Rosa, Luiz Henrique] Univ Fed Minas Gerais, Inst Biol Sci, Dept Microbiol, Belo Horizonte, MG, Brazil</t>
  </si>
  <si>
    <t>Universidade Federal do Tocantins (UFT); Universidade Federal de Minas Gerais</t>
  </si>
  <si>
    <t>Ferreira, EMS (corresponding author), Fed Univ Tocantins, Lab Gen &amp; Appl Microbiol, Palmas, TO, Brazil.</t>
  </si>
  <si>
    <t>morganna_ferreira@hotmail.com</t>
  </si>
  <si>
    <t>Pimenta, Raphael Sanzio/ABE-4515-2021; Pimenta, Raphael Sanzio/D-9195-2013</t>
  </si>
  <si>
    <t>Pimenta, Raphael Sanzio/0000-0001-7207-4437</t>
  </si>
  <si>
    <t>CAPES (Coordenacao de Aperfeicoamento de Pessoal de Nivel Superior) [AUXPEPRO-AMAZONIA-3312/2013/process n 23038.010315/2013-66]; Programa Antartico Brasileiro (Brazilian Antarctic Program; PROANTAR) [407230/2013-0]; INCT Criosfera</t>
  </si>
  <si>
    <t>CAPES (Coordenacao de Aperfeicoamento de Pessoal de Nivel Superior)(Coordenacao de Aperfeicoamento de Pessoal de Nivel Superior (CAPES)); Programa Antartico Brasileiro (Brazilian Antarctic Program; PROANTAR); INCT Criosfera</t>
  </si>
  <si>
    <t>The authors thank Cristiane Martins Coelho and Marcia Regina Marson Oliveira for their personal collaboration. Financial support from CAPES (Coordenacao de Aperfeicoamento de Pessoal de Nivel Superior) (AUXPEPRO-AMAZONIA-3312/2013/process n 23038.010315/2013-66), Programa Antartico Brasileiro (Brazilian Antarctic Program; PROANTAR process 407230/2013-0), and INCT Criosfera is acknowledged.</t>
  </si>
  <si>
    <t>10.1007/s00792-018-1069-9</t>
  </si>
  <si>
    <t>WOS:000456024600014</t>
  </si>
  <si>
    <t>Subhavana, KL; Qureshi, A; Chakraborty, P; Tiwari, AK</t>
  </si>
  <si>
    <t>Subhavana, K. L.; Qureshi, A.; Chakraborty, P.; Tiwari, A. K.</t>
  </si>
  <si>
    <t>Mercury and Organochlorines in the Terrestrial Environment of Schirmacher Hills, Antarctica</t>
  </si>
  <si>
    <t>BULLETIN OF ENVIRONMENTAL CONTAMINATION AND TOXICOLOGY</t>
  </si>
  <si>
    <t>Antarctica; Schirmacher Hills; Mercury; Organochlorine pesticides</t>
  </si>
  <si>
    <t>KING GEORGE ISLAND; POLYCHLORINATED-BIPHENYLS; ORGANIC POLLUTANTS; PESTICIDES; MOSSES; SOILS; CONTAMINATION; PENGUIN; WATER; PCBS</t>
  </si>
  <si>
    <t>We report the levels of mercury (Hg) and nine organochlorine pesticides [OCPs: -hexachlorocyclohexane (HCH), -HCH, -HCH, -HCH, -Endosulfan, -Endosulfan, Endosulfan sulfate, p,p-dichlorodiphenyldichloroethylene (DDE) and p,p-dichlorodiphenyldichloroethane (DDD)] in the terrestrial environment (moss and soil) and water (OCPs only) of Schirmacher Hills, Antarctica. This area has never been studied for mercury and not for OCPs since 1988. Mercury levels in moss, 66 +/- 37ng/g dry weight (dw), are comparable to other Antarctic locations. Levels of -HCH, below detection to 4.48ng/g dw, and p,p-DDE, below detection to 31ng/g dw, in mosses are lower or marginally higher than other Antarctic locations. No other OCPs were detected in moss. None of the OCPs were detected in soil. This suggests that Schirmacher Hills may be considered as a background site with respect to mercury and analyzed OCPs, despite the operation of two old research stations (Maitri, est. 1989, and Novolazarevskaya, est. 1961) in the region.</t>
  </si>
  <si>
    <t>[Subhavana, K. L.; Qureshi, A.] IIT Hyderabad, Sangareddy 502285, TS, India; [Chakraborty, P.] SRM Univ, Kancheepuram 603203, TN, India; [Tiwari, A. K.] NCPOR, Vasco Da Gama 403804, Goa, India</t>
  </si>
  <si>
    <t>Indian Institute of Technology System (IIT System); Indian Institute of Technology (IIT) - Hyderabad; SRM Institute of Science &amp; Technology Chennai; Ministry of Earth Sciences (MoES) - India; National Centre for Polar and Ocean Research (NCPOR)</t>
  </si>
  <si>
    <t>Qureshi, A (corresponding author), IIT Hyderabad, Sangareddy 502285, TS, India.</t>
  </si>
  <si>
    <t>asif@iith.ac.in</t>
  </si>
  <si>
    <t>Chakraborty, Paromita/GRO-1142-2022</t>
  </si>
  <si>
    <t>Qureshi, Asif/0000-0003-3329-0166; , Subhavana/0000-0001-5946-5441; Chakraborty, Paromita/0000-0002-4192-0992</t>
  </si>
  <si>
    <t>Department of Science and Technology (DST) India-Inspire grant [IFA-13 EAS-10]; Center of Excellence in Sustainable Development at IIT Hyderabad; Earth System Science Organization-Ministry of Earth Sciences (ESSO-MoES) for the Indian Antarctic Expedition 2015-16; Ministry of Human Resource Development (MHRD) fellowship; DST Fast Track Grant under Young Scientist Scheme [SR/FTP/EE-44/2012]</t>
  </si>
  <si>
    <t>Department of Science and Technology (DST) India-Inspire grant; Center of Excellence in Sustainable Development at IIT Hyderabad; Earth System Science Organization-Ministry of Earth Sciences (ESSO-MoES) for the Indian Antarctic Expedition 2015-16; Ministry of Human Resource Development (MHRD) fellowship; DST Fast Track Grant under Young Scientist Scheme</t>
  </si>
  <si>
    <t>Funding was provided by the Department of Science and Technology (DST) India-Inspire grant (IFA-13 EAS-10) to AQ, the Center of Excellence in Sustainable Development at IIT Hyderabad, the Earth System Science Organization-Ministry of Earth Sciences (ESSO-MoES) for the Indian Antarctic Expedition 2015-16, Ministry of Human Resource Development (MHRD) fellowship to KLS, and DST Fast Track Grant under Young Scientist Scheme to PC (SR/FTP/EE-44/2012). We thank the Director and Logistics team of NCAOR for support during the expedition, and Lohit Pranav for help in collecting some samples.</t>
  </si>
  <si>
    <t>0007-4861</t>
  </si>
  <si>
    <t>1432-0800</t>
  </si>
  <si>
    <t>B ENVIRON CONTAM TOX</t>
  </si>
  <si>
    <t>Bull. Environ. Contam. Toxicol.</t>
  </si>
  <si>
    <t>10.1007/s00128-018-2497-z</t>
  </si>
  <si>
    <t>Environmental Sciences; Toxicology</t>
  </si>
  <si>
    <t>HH2CC</t>
  </si>
  <si>
    <t>WOS:000455525200003</t>
  </si>
  <si>
    <t>Lucas, MP; Emery, JP; Hiroi, T; McSween, HY</t>
  </si>
  <si>
    <t>Lucas, Michael P.; Emery, Joshua P.; Hiroi, Takahiro; McSween, Harry Y.</t>
  </si>
  <si>
    <t>Spectral properties and mineral compositions of acapulcoite-lodranite clan meteorites: Establishing S-type asteroid-meteorite connections</t>
  </si>
  <si>
    <t>METEORITICS &amp; PLANETARY SCIENCE</t>
  </si>
  <si>
    <t>OLIVINE-DOMINATED ASTEROIDS; ORDINARY CHONDRITES; DIFFERENTIATED ACHONDRITES; REFLECTANCE PROPERTIES; PRIMITIVE ACHONDRITES; PARENT BODY; GEOCHEMISTRY; SPECTROSCOPY; EVOLUTION; PYROXENES</t>
  </si>
  <si>
    <t>Except for asteroid sample return missions, measurements of the spectral properties of both meteorites and asteroids offer the best possibility of linking meteorite groups with their parent asteroid(s). Visible plus near-infrared spectra reveal distinguishing absorption features controlled mainly by the Fe2+ contents and modal abundances of olivine and pyroxene. Meteorite samples provide relationships between spectra and mineralogy. These relationships are useful for estimating the olivine and pyroxene mineralogy of stony (S-type) asteroid surfaces. Using a suite of 10 samples of the acapulcoite-lodranite clan (ALC), we have developed new correlations between spectral parameters and mafic mineral compositions for partially melted asteroids. A well-defined relationship exists between Band II center and ferrosilite (Fs) content of orthopyroxene. Furthermore, because Fs in orthopyroxene and fayalite (Fa) content in olivine are well correlated in these meteorites, the derived Fs content can be used to estimate Fa of the coexisting olivine. We derive new equations for determining the mafic silicate compositions of partially melted S-type asteroid parent bodies. Stony meteorite spectra have previously been used to delineate meteorite analog spectral zones in Band I versus band area ratio (BAR) parameter space for the establishment of asteroid-meteorite connections with S-type asteroids. However, the spectral parameters of the partially melted ALC overlap with those of ordinary (H) chondrites in this parameter space. We find that Band I versus Band II center parameter space reveals a clear distinction between the ALC and the H chondrites. This work allows the distinction of S-type asteroids as nebular (ordinary chondrites) or geologically processed (primitive achondrites).</t>
  </si>
  <si>
    <t>[Lucas, Michael P.; Emery, Joshua P.; McSween, Harry Y.] Univ Tennessee, Dept Earth &amp; Planetary Sci, 1621 Cumberland Ave,602 Strong Hall, Knoxville, TN 37996 USA; [Hiroi, Takahiro] Brown Univ, Dept Earth Environm &amp; Planetary Sci, Providence, RI 02912 USA</t>
  </si>
  <si>
    <t>University of Tennessee System; University of Tennessee Knoxville; Brown University</t>
  </si>
  <si>
    <t>Lucas, MP (corresponding author), Univ Tennessee, Dept Earth &amp; Planetary Sci, 1621 Cumberland Ave,602 Strong Hall, Knoxville, TN 37996 USA.</t>
  </si>
  <si>
    <t>mlucas9@vols.utk.edu</t>
  </si>
  <si>
    <t>Hiroi, Takahiro/AAE-9701-2020</t>
  </si>
  <si>
    <t>Hiroi, Takahiro/0000-0003-2866-9091</t>
  </si>
  <si>
    <t>NASA; NASA Earth and Space Sciences Fellowship grant [NNX13AO69H]; University of Tennessee Graduate School; NASA [NNX13AO69H, 468200] Funding Source: Federal RePORTER</t>
  </si>
  <si>
    <t>NASA(National Aeronautics &amp; Space Administration (NASA)); NASA Earth and Space Sciences Fellowship grant; University of Tennessee Graduate School; NASA(National Aeronautics &amp; Space Administration (NASA))</t>
  </si>
  <si>
    <t>RELAB is a multiuser facility supported by NASA programs such as SSERVI. We are grateful to the MWG for supplying five Antarctic acapulcoite-lodranite meteorite samples. The authors thank Christine Floss and Ed Cloutis for constructive reviews that significantly improved the manuscript. We appreciate Colin Sumrall, Micah Jessup, Anthony Faiia, and Larry Taylor for providing laboratory space. We thank Tim Diedesch for assistance with photomicrography. We are obliged to Sean Lindsay for the development of the IDL-based SARA algorithm, and to Allan Patchen for assistance with EPMA. Support for this work was provided by NASA Earth and Space Sciences Fellowship grant NNX13AO69H to J.P.E. and M.P.L. M.P.L. is grateful to the University of Tennessee Graduate School for an Oscar R. Ashley Fellowship, and to the M.D. Anderson Cancer Center, Houston, TX.</t>
  </si>
  <si>
    <t>1086-9379</t>
  </si>
  <si>
    <t>1945-5100</t>
  </si>
  <si>
    <t>METEORIT PLANET SCI</t>
  </si>
  <si>
    <t>Meteorit. Planet. Sci.</t>
  </si>
  <si>
    <t>10.1111/maps.13203</t>
  </si>
  <si>
    <t>HH1VJ</t>
  </si>
  <si>
    <t>WOS:000455507700008</t>
  </si>
  <si>
    <t>Eder, EB; Muelbert, MMC; Hindell, MA; Davis, RW; Rodríguez, DH; Lewis, MN</t>
  </si>
  <si>
    <t>Eder, Elena B.; Muelbert, Monica M. C.; Hindell, Mark A.; Davis, Randall W.; Rodriguez, Diego H.; Lewis, Mirtha N.</t>
  </si>
  <si>
    <t>Foraging Strategies of Female Elephant Seals from Peninsula Valdes, Patagonia, Inferred from Whisker Stable Isotope Signatures of Their Pups</t>
  </si>
  <si>
    <t>habitat use; neritic/oceanic foraging strategies; stable isotopes; individual specialization</t>
  </si>
  <si>
    <t>MIROUNGA-LEONINA; DIVING BEHAVIOR; TROPHIC ECOLOGY; CARBON; AREAS; DIET; TEMPERATURE; VARIABILITY; INVESTIGATE; POPULATION</t>
  </si>
  <si>
    <t>The foraging strategies of gestating female elephant seals (Mirounga leonina) from Peninsula Valdes, Patagonia, were assessed by analyzing the values of stable isotopes of carbon (C) and nitrogen (N) from whiskers of 60 weanlings as a proxy for maternal spatial niche utilization. The data were combined with isotopic values and at-sea satellite locations of juvenile seals and adult female satellite tracks to provide classifications of the likely foraging strategies of the mothers of the studied pups. Based on at-sea locations during the austral summer, females foraged in oceanic waters while juveniles foraged both in neritic and in oceanic habitats. Weanling isotopic values (n = 60 pups) ranged from -19.9 to -14.8 parts per thousand for C and from 10.6 to 18.9 parts per thousand for N. The degree of variation of spatial niche distribution exhibited individual patterns of habitat use over time and revealed significant intra-population differences. Ten percent of the individuals exhibited neritic maternal foraging (delta C-13 = -15.6 +/- 0.5 parts per thousand, delta N-15 = 17.3 +/- 1.1 parts per thousand) and high consistency, thus suggesting specialization (%CV delta C-13 values = 0.3 to 2.2), while 90% of the individuals exhibited oceanic maternal for- aging (delta C-13 = -17.9 +/- 0.7 parts per thousand, delta N-15 = 12.4 +/- 0.5). Additionally, oceanic maternal foraging could be further classified to distinguish broader individual variability: 58% were specialists (%CV = 0.03 to 2.2), 30% were intermediate specialists-generalists (%CV = 2.5 to 4.5), and 12% were generalists (%CV = 5.0 to 7.3). The prevailing strategy for females was oceanic foraging as exhibited by location at sea and the greater extent of oceanic habitats (88%) potentially available for foraging. At the population level, the existence of both alternate foraging strategies and high individual variability exhibited by gestating females in a high-quality foraging area such as the oceanic environment of the Argentine Basin may confer an ecological edge to these females to succeed in a less predictable (although fairly rich) environment, thus influencing population trends.</t>
  </si>
  <si>
    <t>[Eder, Elena B.; Lewis, Mirtha N.] Ctr Nacl Patagon CENPAT CONICET, Blvd Brown 2915, RA-9120 Puerto Madryn, Chubut, Argentina; [Muelbert, Monica M. C.] Museu Oceanog Prof Eliezer de C Rios MOFURG, BR-96203900 Rio Grande, RS, Brazil; [Muelbert, Monica M. C.] Fundacao Univ Fed Rio Grande FURG, BR-96203900 Rio Grande, RS, Brazil; [Muelbert, Monica M. C.; Hindell, Mark A.] Univ Tasmania, Inst Marine &amp; Antarctic Studies, IMAS Hobart Private Bag 129, Hobart, Tas 7001, Australia; [Davis, Randall W.] Texas A&amp;M Univ, Dept Marine Biol, OCSB, 200 Seawolf Pkwy, Galveston, TX 77553 USA; [Rodriguez, Diego H.] Univ Nacl Mar del Plata, CONICET, Inst Invest Marinas &amp; Costeras, Diagonal JB Alberdi 2695, RA-7600 Mar Del Plata, Buenos Aires, Argentina</t>
  </si>
  <si>
    <t>Consejo Nacional de Investigaciones Cientificas y Tecnicas (CONICET); Centro Nacional Patagonico (CENPAT); Universidade Federal do Rio Grande; University of Tasmania; Texas A&amp;M University System; National University of Mar del Plata; Consejo Nacional de Investigaciones Cientificas y Tecnicas (CONICET)</t>
  </si>
  <si>
    <t>Eder, EB (corresponding author), Ctr Nacl Patagon CENPAT CONICET, Blvd Brown 2915, RA-9120 Puerto Madryn, Chubut, Argentina.</t>
  </si>
  <si>
    <t>eder@cenpat-conicet.gob.ar</t>
  </si>
  <si>
    <t>Rodríguez, Diego/L-3172-2013; Hindell, Mark A/K-1131-2013; Muelbert, Monica/T-3935-2019</t>
  </si>
  <si>
    <t>Hindell, Mark/0000-0002-7823-7185; Lewis, Mirtha/0000-0001-6262-6226</t>
  </si>
  <si>
    <t>CONICET (Consejo Nacional de Investigaciones Cientificas y Tecnicas) [PICT 01-11749-ANPCyT 117]; Wildlife Conservation Society; National Geographic Society; Prince Bernhard Nature Fund; Lima Lee and Luke Mooney Endowment; Texas A&amp;M Department of Marine Biology; Brazilian National Research Council (CNPq [Conselho Nacional de Desenvolvimento Cientifico e Tecnologico]) [520196/2006-6]; CAPES (Brazilian Education Ministry) fellowship</t>
  </si>
  <si>
    <t>CONICET (Consejo Nacional de Investigaciones Cientificas y Tecnicas)(Consejo Nacional de Investigaciones Cientificas y Tecnicas (CONICET)); Wildlife Conservation Society; National Geographic Society(National Geographic Society); Prince Bernhard Nature Fund; Lima Lee and Luke Mooney Endowment; Texas A&amp;M Department of Marine Biology; Brazilian National Research Council (CNPq [Conselho Nacional de Desenvolvimento Cientifico e Tecnologico])(Conselho Nacional de Desenvolvimento Cientifico e Tecnologico (CNPQ)); CAPES (Brazilian Education Ministry) fellowship(Coordenacao de Aperfeicoamento de Pessoal de Nivel Superior (CAPES))</t>
  </si>
  <si>
    <t>The satellite-tracking data used in this study were supported partially by grants from the CONICET (Consejo Nacional de Investigaciones Cientificas y Tecnicas, PICT 01-11749-ANPCyT 117 [Agencia Nacional de Promocion Cientifica y Tecnologica]), the Wildlife Conservation Society, the National Geographic Society, the Prince Bernhard Nature Fund, the Lima Lee and Luke Mooney Endowment, and from the Texas A&amp;M Department of Marine Biology. The Brazilian National Research Council (CNPq [Conselho Nacional de Desenvolvimento Cientifico e Tecnologico]) provided financial support to MAH and MMCM through specific travel grants under a related research project (CNN Proc. 520196/2006-6). MMCM is supported by a CAPES (Brazilian Education Ministry) fellowship. This study was conducted under permits from the Chubut provincial authorities. Centro Nacional Pataganico (CENPAT-CONICET) provided institutional and logistical support. The authors arc in debt to Maria Rosa Marin for her help in the spatial analysis and in the elaboration of the maps presented in this study, Luis Bala and Cynthia Sequeiros for logistical support, and Ricardo Vera and Kristen McGovern for their valuable help in the field.</t>
  </si>
  <si>
    <t>10.1578/AM.45.1.2019.1</t>
  </si>
  <si>
    <t>HH2QV</t>
  </si>
  <si>
    <t>WOS:000455564300001</t>
  </si>
  <si>
    <t>Sedov, S; Zazovskaya, E; Fedorov-Davydov, D; Alekseeva, T</t>
  </si>
  <si>
    <t>Sedov, Sergey; Zazovskaya, Elya; Fedorov-Davydov, Dmitriy; Alekseeva, Tatiana</t>
  </si>
  <si>
    <t>Soils of East Antarctic oasis: Interplay of organisms and mineral components at microscale</t>
  </si>
  <si>
    <t>BOLETIN DE LA SOCIEDAD GEOLOGICA MEXICANA</t>
  </si>
  <si>
    <t>Article; Proceedings Paper</t>
  </si>
  <si>
    <t>15th International Conference on Soil Micromorphology (ICSM)</t>
  </si>
  <si>
    <t>NOV 27-DEC 05, 2016</t>
  </si>
  <si>
    <t>Univ Nacl Autonoma Mexico, Inst Geologia, Mexico City, MEXICO</t>
  </si>
  <si>
    <t>Univ Nacl Autonoma Mexico, Inst Geologia</t>
  </si>
  <si>
    <t>Antarctic oasis; extreme ecosystems; weathering; biological soil crust</t>
  </si>
  <si>
    <t>NORTHERN VICTORIA LAND; SCHIRMACHER OASIS; SEDIMENTS; ENVIRONMENT; CLASSIFICATION; PEDOGENESIS; DISSOLUTION; BIOFILMS; CRYOSOLS; GRANITE</t>
  </si>
  <si>
    <t>The soils of Antarctic oases-coastal as well as inland ice-free areas limited by ice sheet or ice shelves attract attention as a block of one of the most extreme terrestrial ecosystems of the Earth. The knowledge about early stages of pedogenesis, solum formation and stabilization, interaction between organic and mineral components in these soils is still limited. We performed micromorphological investigation of several thin soil profiles developed under mosses and lichens on the sediments deposited by meltwater in a lake depression of Schirmacher Oasis. Mineral components are dominated by sand particles of primary minerals (mostly quartz, K-Na feldspars and micas) derived from gneiss bedrock. Quartz grains exhibit surface structures indicative of cryogenic fragmentation, whereas biotite has signs of chemical alteration: exfoliation along cleavage planes, deformation of laminae, loss of interference colours and pleochroism. Despite severe environmental conditions, incipient weathering occurs that contribute clay minerals and iron oxides to the fine material. The latter forms discontinuous coatings on the coarse grains providing a chitonic c/f related distribution pattern. Arrangement of the fine components in form of coatings on coarse grains provides their maximal interaction with soil moisture and organic matter and generation of microhabitats for the microorganisms. Common micromorphological features of the studied soils is a complex groundmass which combines well preserved organic tissues of mosses and lichens and mineral particles spread among them. We conclude that the studied soil bodies are synsedimentary: fluvial (and possibly eolian) deposition of mineral material that occurs simultaneously with the growth of primitive plants. The mineral grains are trapped between plant tissues which form a framework of the soil matrix. This interlacing provides also conservation of organic material within the soil layer. Studied soils demonstrate similarities with the biological crusts of other present and past extreme terrestrial environments.</t>
  </si>
  <si>
    <t>[Sedov, Sergey] Univ Nacl Autonoma Mexico, Inst Geol, Coyoacan 04510, Cdmx, Mexico; [Zazovskaya, Elya] Russian Acad Sci, Inst Geog, Staromonetnyi Per 29, Moscow 109017, Russia; [Fedorov-Davydov, Dmitriy; Alekseeva, Tatiana] Russian Acad Sci, Inst Physicochem &amp; Biol Problems Soil Sci, Ulitsa Inst 2, Pushchino 142290, Russia</t>
  </si>
  <si>
    <t>Universidad Nacional Autonoma de Mexico; Institute of Geography, Russian Academy of Sciences; Russian Academy of Sciences; Russian Academy of Sciences; Pushchino Scientific Center for Biological Research (PSCBI) of the Russian Academy of Sciences; Institute of Physicohemical &amp; Biological Problems of Soil Science</t>
  </si>
  <si>
    <t>Sedov, S (corresponding author), Univ Nacl Autonoma Mexico, Inst Geol, Coyoacan 04510, Cdmx, Mexico.</t>
  </si>
  <si>
    <t>serg_sedov@yahoo.com</t>
  </si>
  <si>
    <t>Alekseeva, Tatiana/ABF-1847-2020; Sedov, Sergey/U-9138-2019; Zazovskaya, Elya/J-4800-2018; Добрянский, Александр/AAG-6075-2021</t>
  </si>
  <si>
    <t>Alekseeva, Tatiana/0000-0002-3880-2573; Zazovskaya, Elya/0000-0002-1202-657X; Sedov, Sergey/0000-0002-7396-3735</t>
  </si>
  <si>
    <t>Russian Science Foundation [14-27-00133]; Russian Foundation for Basic Research [17-04-01475]; Russian Antarctic Expedition; Russian Science Foundation [17-27-00010] Funding Source: Russian Science Foundation</t>
  </si>
  <si>
    <t>Russian Science Foundation(Russian Science Foundation (RSF)); Russian Foundation for Basic Research(Russian Foundation for Basic Research (RFBR)Spanish Government); Russian Antarctic Expedition; Russian Science Foundation(Russian Science Foundation (RSF))</t>
  </si>
  <si>
    <t>Investigations were partly financially supported by the Russian Science Foundation, project No. 14-27-00133 (analytical results) and by the Russian Foundation for Basic Research, project No. 17-04-01475 (investigations of organomineral interactions). The field works were supported by the Russian Antarctic Expedition. We are grateful to Jaime Diaz (UNAM) for preparing soil thin sections.</t>
  </si>
  <si>
    <t>UNIV NACIONAL AUTONOMA MEXICO, INST GEOGRAFIA</t>
  </si>
  <si>
    <t>COYOACAN C P</t>
  </si>
  <si>
    <t>CIUDAD UNIV, FAC ECONOMIA, CIRCUITO INTEROR S-N, 1ER PISO, EDIFICIO B, COYOACAN C P, 04510, MEXICO</t>
  </si>
  <si>
    <t>1405-3322</t>
  </si>
  <si>
    <t>BOL SOC GEOL MEX</t>
  </si>
  <si>
    <t>Bol. Soc. Geol. Mex.</t>
  </si>
  <si>
    <t>10.18268/BSGM2019v71n1a4</t>
  </si>
  <si>
    <t>Science Citation Index Expanded (SCI-EXPANDED); Conference Proceedings Citation Index - Science (CPCI-S)</t>
  </si>
  <si>
    <t>HH4PL</t>
  </si>
  <si>
    <t>WOS:000455704700005</t>
  </si>
  <si>
    <t>Harrison, S; Smith, DE; Glasser, NF</t>
  </si>
  <si>
    <t>Harrison, Stephan; Smith, David E.; Glasser, Neil F.</t>
  </si>
  <si>
    <t>Late Quaternary meltwater pulses and sea level change</t>
  </si>
  <si>
    <t>JOURNAL OF QUATERNARY SCIENCE</t>
  </si>
  <si>
    <t>global mean sea level; Last Glacial Maximum; meltwater pulse</t>
  </si>
  <si>
    <t>ANTARCTIC ICE-SHEET; LAST GLACIAL MAXIMUM; SUBMARINE MASS FAILURES; CORAL ACROPORA-PALMATA; FRESH-WATER OUTBURSTS; YOUNGER DRYAS; LAKE AGASSIZ; NORTH-ATLANTIC; CLIMATE-CHANGE; BARENTS SEA</t>
  </si>
  <si>
    <t>After the Last Glacial Maximum (LGM) global mean sea level (GMSL) rise was characterized by rapid increases over short (decadal to centennial) timescales superimposed on a longer term secular rise and these have been termed meltwater pulses (MWPs). In this paper we review the timing, impact and nature of these and the effects of rapid drainage of large post-glacial MWPs into the world's oceans. We identify nine MWPs, four of which occurred in three periods of rapid sea level rise (19.5-18.8, 14.8-13.0 and 11.5-11.1 ka BP). The rest are dated to the period during the Early Holocene sea level rise after 11 ka BP. We show that drainage of the known post-glacial lakes in total produced less than around 1.2 m of the 125 m of GMSLR since the LGM.</t>
  </si>
  <si>
    <t>[Harrison, Stephan] Exeter Univ, Coll Life, Environm Sci, Penryn, Cornwall, England; [Smith, David E.] Univ Oxford, Sch Geog, Oxford, England; [Glasser, Neil F.] Aberystwyth Univ, Inst Geog Hist Polit &amp; Psychol, Aberystwyth, Dyfed, Wales</t>
  </si>
  <si>
    <t>University of Oxford; Aberystwyth University</t>
  </si>
  <si>
    <t>Harrison, S (corresponding author), Exeter Univ, Coll Life, Environm Sci, Penryn, Cornwall, England.</t>
  </si>
  <si>
    <t>stephan.harrison@exeter.ac.uk</t>
  </si>
  <si>
    <t>0267-8179</t>
  </si>
  <si>
    <t>1099-1417</t>
  </si>
  <si>
    <t>J QUATERNARY SCI</t>
  </si>
  <si>
    <t>J. Quat. Sci.</t>
  </si>
  <si>
    <t>10.1002/jqs.3070</t>
  </si>
  <si>
    <t>HH2GA</t>
  </si>
  <si>
    <t>Green Submitted, hybrid</t>
  </si>
  <si>
    <t>WOS:000455535800001</t>
  </si>
  <si>
    <t>Li, CC; Liu, SH; Zhang, W; Chen, KS; Zhang, PY</t>
  </si>
  <si>
    <t>Li, Chengcheng; Liu, Shenghao; Zhang, Wei; Chen, Kaoshan; Zhang, Pengying</t>
  </si>
  <si>
    <t>Transcriptional profiling and physiological analysis reveal the critical roles of ROS-scavenging system in the Antarctic moss Pohlia nutans under Ultraviolet-B radiation</t>
  </si>
  <si>
    <t>PLANT PHYSIOLOGY AND BIOCHEMISTRY</t>
  </si>
  <si>
    <t>Antarctic moss; Differentially expressed genes (DEGs); Flavonoids; Ultraviolet-B radiation; Transcriptome</t>
  </si>
  <si>
    <t>SOLAR UV-RADIATION; SIGNAL-TRANSDUCTION; GENE-EXPRESSION; DNA-DAMAGE; TOLERANCE; STRESS; ARABIDOPSIS; RESPONSES; ACCLIMATION; PATHWAY</t>
  </si>
  <si>
    <t>Organisms suffer more harmful ultraviolet radiation in the Antarctica due to the ozone layer destruction. Bryophytes are the dominant flora in the Antarctic continent However, the molecular mechanism of Antarctic moss adaptation to UV-B radiation remains unclear. In the research, the transcriptional profiling of the Antarctic moss Pohlia moms under UV-B radiation was conducted by Illumina HiSeq2500 platform. Totally, 72,922 unigenes with N so length of 1434 bp were generated. Differential expression analysis demonstrated that 581 unigenes were markedly up-regulated and 249 unigenes were significantly down-regulated. The gene clustering analysis showed that these differentially expressed genes (DEGs) includes several transcription factors, photolyases, antioxidant enzymes, and flavonoid biosynthesis-related genes. Further analyses suggested that the content of malondialdehyde (MDA), the activities of several antioxidant enzymes (i.e., catalase, peroxidase, and glutathione reductase) were significantly enhanced upon UV-B treatment Furthermore, the content of flavonoids and the gene expression levels of their synthesis-related enzymes were also markedly increased when plants were exposed to UV-B light. Therefore, these results suggested that the pathways of antioxidant enzymes, flavonoid synthesis and photolyases were the main defense systems that contributed to the adaption of Pohlia nutans to the enhanced UV-B radiation in Antarctica.</t>
  </si>
  <si>
    <t>[Li, Chengcheng; Chen, Kaoshan; Zhang, Pengying] Shandong Univ, Sch Life Sci, Natl Glycoengn Res Ctr, Jinan 250100, Shandong, Peoples R China; [Liu, Shenghao] State Ocean Adm, Inst Oceanog 1, Key Lab Marine Bioact Subst, Qingdao 266061, Peoples R China; [Zhang, Wei] Qingdao Univ, Sch Environm, Qingdao 266061, Peoples R China</t>
  </si>
  <si>
    <t>Shandong University; First Institute of Oceanography, Ministry of Natural Resources; Qingdao University</t>
  </si>
  <si>
    <t>Zhang, PY (corresponding author), 72 Coastal Highway, Qingdao 266000, Shandong, Peoples R China.</t>
  </si>
  <si>
    <t>zhangpy80@sdu.edu.cn</t>
  </si>
  <si>
    <t>Liu, Shenghao/ISU-3076-2023</t>
  </si>
  <si>
    <t>Liu, Shenghao/0000-0002-1449-3526; Li, Chengcheng/0000-0001-5121-8411</t>
  </si>
  <si>
    <t>National Natural Science Foundation of China [41476174, 41206176]; Natural Science Foundation of Shandong Province of China [ZR2017MD013]; Excellent Creative Team Fund of Jinan of China; Fund project for transformation of agricultural scientific and technological achievements of Shandong Province of China</t>
  </si>
  <si>
    <t>National Natural Science Foundation of China(National Natural Science Foundation of China (NSFC)); Natural Science Foundation of Shandong Province of China(Natural Science Foundation of Shandong Province); Excellent Creative Team Fund of Jinan of China; Fund project for transformation of agricultural scientific and technological achievements of Shandong Province of China</t>
  </si>
  <si>
    <t>This work was supported by the National Natural Science Foundation of China (41476174 and 41206176), the Natural Science Foundation of Shandong Province of China (ZR2017MD013), the Excellent Creative Team Fund of Jinan of China, and the Fund project for transformation of agricultural scientific and technological achievements of Shandong Province of China.</t>
  </si>
  <si>
    <t>ELSEVIER FRANCE-EDITIONS SCIENTIFIQUES MEDICALES ELSEVIER</t>
  </si>
  <si>
    <t>ISSY-LES-MOULINEAUX</t>
  </si>
  <si>
    <t>65 RUE CAMILLE DESMOULINS, CS50083, 92442 ISSY-LES-MOULINEAUX, FRANCE</t>
  </si>
  <si>
    <t>0981-9428</t>
  </si>
  <si>
    <t>1873-2690</t>
  </si>
  <si>
    <t>PLANT PHYSIOL BIOCH</t>
  </si>
  <si>
    <t>Plant Physiol. Biochem.</t>
  </si>
  <si>
    <t>10.1016/j.plaphy.2018.10.034</t>
  </si>
  <si>
    <t>HH4KT</t>
  </si>
  <si>
    <t>WOS:000455692000012</t>
  </si>
  <si>
    <t>Soriano, G; Del-Castillo-Alonso, MA; Monforte, L; Núñez-Olivera, E; Martínez-Abaigar, J</t>
  </si>
  <si>
    <t>Soriano, Gonzalo; Del-Castillo-Alonso, Maria-Angeles; Monforte, Laura; Nunez-Olivera, Encarnacion; Martinez-Abaigar, Javier</t>
  </si>
  <si>
    <t>Phenolic compounds from different bryophyte species and cell compartments respond specifically to ultraviolet radiation, but not particularly quickly</t>
  </si>
  <si>
    <t>Mosses; Liverworts; Ultraviolet radiation; Phenolic compounds; Apigenin; Luteolin; Hydroxycinnamic acids</t>
  </si>
  <si>
    <t>UV-B RADIATION; HYDROXYCINNAMIC ACID-DERIVATIVES; ABSORBING COMPOUNDS; AQUATIC LIVERWORT; OZONE DEPLETION; MARCHANTIA-POLYMORPHA; ANTARCTIC MOSS; HIGHER-PLANTS; PIGMENTATION; FLAVONOIDS</t>
  </si>
  <si>
    <t>To study the potential quick responses to ultraviolet (UV) radiation of bryophyte phenolic compounds, we cultivated two thalloid liverworts, two leafy liverworts, and two mosses under three moderate realistic UV levels in the laboratory for 22 days. At the end of the daylight period on the first and last culture days, we measured the bulk levels and individual contents of phenolic UV-absorbing compounds (UVACs) of each species, differentiating in both cases the UVACs located in the methanol-soluble (mainly vacuolar) and -insoluble (cell wallbound) fractions (SUVACs and IUVACs, respectively). The bulk levels of SUVACs and IUVACs mostly showed linear or hyperbolic relationships with the UV dose applied. Thirteen flavones (apigenin and luteolin derivatives) and two hydroxycinnamic acids (p-coumaric and ferulic acids) were identified in the soluble and insoluble fractions, respectively. Only two compounds (p-coumaric and ferulic acids) from the insoluble fraction of the leafy liverwort Plagiochila asplenioides showed a significant quick accumulation in response to UV radiation in the first day of culture, whereas six UVACs (mainly soluble apigenin and luteolin derivatives) from different species (mainly liverworts) were significantly accumulated at the end of the culture. In conclusion, the responses of bryophyte UVACs to UV radiation were influenced by the specific compound considered, the fraction in which each UVAC was located, the global or individual way of UVACs quantification, the bryophyte species and evolutionary lineage, and the experimental conditions used. Particularly, SUVACs were more UV-responsive than IUVACs and liverworts than mosses, and responses were not especially quick.</t>
  </si>
  <si>
    <t>[Soriano, Gonzalo; Del-Castillo-Alonso, Maria-Angeles; Monforte, Laura; Nunez-Olivera, Encarnacion; Martinez-Abaigar, Javier] Univ La Rioja, Fac Ciencia &amp; Tecnol, Madre Dios 53, Logrono 26006, La Rioja, Spain</t>
  </si>
  <si>
    <t>Universidad de La Rioja</t>
  </si>
  <si>
    <t>Martínez-Abaigar, J (corresponding author), Univ La Rioja, Fac Ciencia &amp; Tecnol, Madre Dios 53, Logrono 26006, La Rioja, Spain.</t>
  </si>
  <si>
    <t>javier.martinez@unirioja.es</t>
  </si>
  <si>
    <t>Soriano, Gonzalo/A-1353-2019; Martinez-Abaigar, Javier/L-7000-2014; Nunez-Olivera, Encarnacion/L-7164-2014</t>
  </si>
  <si>
    <t>Martinez-Abaigar, Javier/0000-0002-9762-9862; Soriano, Gonzalo/0000-0002-1728-7656; DEL CASTILLO ALONSO, MARIA ANGELES/0000-0003-4027-3313; Nunez-Olivera, Encarnacion/0000-0002-7221-3852</t>
  </si>
  <si>
    <t>Ministerio de Economia y Competitividad of Spain (MINECO) [CGL2014-54127-P]; Fondo Europeo de Desarrollo Regional (FEDER) [CGL2014-54127-P]; Universidad de La Rioja</t>
  </si>
  <si>
    <t>Ministerio de Economia y Competitividad of Spain (MINECO)(Spanish Government); Fondo Europeo de Desarrollo Regional (FEDER)(European Union (EU)Spanish Government); Universidad de La Rioja</t>
  </si>
  <si>
    <t>This work was supported by the Ministerio de Economia y Competitividad of Spain (MINECO) and Fondo Europeo de Desarrollo Regional (FEDER) (Project CGL2014-54127-P), and Universidad de La Rioja (PhD grants of Plan Propio 2013 and 2014 to GS and MADCA, respectively). We are grateful to the Gobierno de La Rioja (Direccion General de Medio Natural) for authorization to collect bryophyte samples.</t>
  </si>
  <si>
    <t>10.1016/j.plaphy.2018.07.020</t>
  </si>
  <si>
    <t>WOS:000455692000015</t>
  </si>
  <si>
    <t>Sitz, M</t>
  </si>
  <si>
    <t>Sitz, Miriam</t>
  </si>
  <si>
    <t>Colorado Firm Designs New Antarctic Research Base</t>
  </si>
  <si>
    <t>ARCHITECTURAL RECORD</t>
  </si>
  <si>
    <t>MCGRAW HILL INC</t>
  </si>
  <si>
    <t>1221 AVENUE OF THE AMERICAS, NEW YORK, NY 10020 USA</t>
  </si>
  <si>
    <t>0003-858X</t>
  </si>
  <si>
    <t>ARCHIT REC</t>
  </si>
  <si>
    <t>Archit. Rec.</t>
  </si>
  <si>
    <t>Architecture</t>
  </si>
  <si>
    <t>HG7KK</t>
  </si>
  <si>
    <t>WOS:000455169600002</t>
  </si>
  <si>
    <t>Dhaulaniya, AS; Balan, B; Kumar, M; Agrawal, PK; Singh, DK</t>
  </si>
  <si>
    <t>Dhaulaniya, Amit S.; Balan, Biji; Kumar, Mohit; Agrawal, Pawan K.; Singh, Dileep Kumar</t>
  </si>
  <si>
    <t>Cold survival strategies for bacteria, recent advancement and potential industrial applications</t>
  </si>
  <si>
    <t>ARCHIVES OF MICROBIOLOGY</t>
  </si>
  <si>
    <t>Psychrophiles; Cold-active enzyme; Industrial applications; Bioremediation; Anti-freezing proteins</t>
  </si>
  <si>
    <t>PSYCHROPHILIC ALPHA-AMYLASE; PERSISTENT ORGANIC POLLUTANTS; X-RAY-DIFFRACTION; ANTIFREEZE PROTEIN; LOW-TEMPERATURE; SEA-ICE; ANTARCTIC BACTERIUM; MARINE BACTERIUM; BIOTECHNOLOGICAL APPLICATIONS; BIOCHEMICAL-CHARACTERIZATION</t>
  </si>
  <si>
    <t>Microorganisms have evolved themselves to thrive under various extreme environmental conditions such as extremely high or low temperature, alkalinity, and salinity. These microorganisms adapted several metabolic processes to survive and reproduce efficiently under such extreme environments. As the major proportion of earth is covered with the cold environment and is exploited by human beings, these sites are not pristine anymore. Human interventions are a great reason for disturbing the natural biogeochemical cycles in these regions. The survival strategies of these organisms have shown great potential for helping us to restore these pristine sites and the use of isolated cold-adapted enzymes from these organisms has also revolutionized various industrial products. This review gives you the insight of psychrophilic enzyme adaptations and their industrial applications.</t>
  </si>
  <si>
    <t>[Dhaulaniya, Amit S.; Balan, Biji; Kumar, Mohit; Singh, Dileep Kumar] Univ Delhi, Soil Microbial Ecol &amp; Environm Toxicol Lab, Zool Dept, New Delhi 110007, Delhi, India; [Agrawal, Pawan K.] NASF, 707,Krishi Anusadhan Bhavan 1, New Delhi 110012, India</t>
  </si>
  <si>
    <t>University of Delhi</t>
  </si>
  <si>
    <t>Singh, DK (corresponding author), Univ Delhi, Soil Microbial Ecol &amp; Environm Toxicol Lab, Zool Dept, New Delhi 110007, Delhi, India.</t>
  </si>
  <si>
    <t>dileepksingh@gmail.com</t>
  </si>
  <si>
    <t>; Singh, Dileep K./B-1053-2011</t>
  </si>
  <si>
    <t>Kumar, Mohit/0000-0003-4242-0567; Dhaulaniya, Amit S./0000-0003-1517-8971; Singh, Dileep K./0000-0001-5522-523X</t>
  </si>
  <si>
    <t>NASF [NASF/CA-6030/2017-18]; CSIR-UGC JRF Fellowship, University Grant Commission (UGC), Government of India</t>
  </si>
  <si>
    <t>NASF; CSIR-UGC JRF Fellowship, University Grant Commission (UGC), Government of India</t>
  </si>
  <si>
    <t>Financial assistance provided by NASF research grant (project entitled Bioremediation of chemical contaminants and their complexes present in drainage water with high dynamic flux used for irrigation in urban and periurban agriculture), sanction no. NASF/CA-6030/2017-18 is highly acknowledged. The first author is obliged to CSIR-UGC JRF Fellowship, University Grant Commission (UGC), Government of India, for providing the stipend.</t>
  </si>
  <si>
    <t>0302-8933</t>
  </si>
  <si>
    <t>1432-072X</t>
  </si>
  <si>
    <t>ARCH MICROBIOL</t>
  </si>
  <si>
    <t>Arch. Microbiol.</t>
  </si>
  <si>
    <t>10.1007/s00203-018-1602-3</t>
  </si>
  <si>
    <t>HG2ED</t>
  </si>
  <si>
    <t>WOS:000454775000001</t>
  </si>
  <si>
    <t>Fabri-Ruiz, S; Danis, B; David, B; Saucède, T</t>
  </si>
  <si>
    <t>Fabri-Ruiz, Salome; Danis, Bruno; David, Bruno; Saucede, Thomas</t>
  </si>
  <si>
    <t>Can we generate robust species distribution models at the scale of the Southern Ocean?</t>
  </si>
  <si>
    <t>DIVERSITY AND DISTRIBUTIONS</t>
  </si>
  <si>
    <t>Antarctic; biogeography; conservation; Echinoidea; ecological niche; random forest; sampling effort; sub-Antarctic</t>
  </si>
  <si>
    <t>ANTARCTIC SEA-URCHIN; CLIMATE-CHANGE; GEOGRAPHIC DISTRIBUTIONS; SPATIAL AUTOCORRELATION; SAMPLING BIAS; ROSS SEA; NICHE; BIODIVERSITY; BIOGEOGRAPHY; UNCERTAINTY</t>
  </si>
  <si>
    <t>Aim Species distribution modelling (SDM) represents a valuable alternative to predict species distribution over vast and remote areas of the ocean. We tested whether reliable SDMs can be generated for benthic marine organisms at the scale of the Southern Ocean. We aimed at identifying the main large-scale factors that determine the distribution of the selected species. The robustness of SDMs was tested with regards to sampling effort, species niche width and biogeography. Location Southern Ocean. Methods The impact of sampling effort was tested using two sets of data: one set with all presence-only data available until 2005, and a second set using all data available until 2015 including recent records from campaigns carried out during the Census of Antarctic Marine Life (CAML) and the International Polar Year (IPY) period (2005-2010). The accuracy of SDMs was tested using a ground-truthing approach by comparing recent presence/absence data collected during the CAML and IPY period to pre-CAML model predictions. Results Our results show the significance of the SDM approach and the role of abiotic factors as important drivers of species distribution at broad spatial scale. The addition of recent data to the models significantly improved the prediction of SDM and changed the respective contributions of environmental predictors. However, the intensity of change varied between models depending on sampling tools, species ecological niche width and biogeographic barriers to dispersal. Main conclusions We highlight the need for new data and the significance of the ground-truthing approach to test the accuracy of SDMs. We show the importance of data collected through international initiatives, such as the CAML and IPY to the improvement of species distribution modelling at broad spatial scales. Finally, we discussed the relevance of SDM as a relevant marine conservation tool particularly in the context of climate change and the definition of Marine Protected Areas.</t>
  </si>
  <si>
    <t>[Fabri-Ruiz, Salome; David, Bruno; Saucede, Thomas] Univ Bourgogne Franche Comte, UMR 6282 CNRS, Biogeosci, Dijon, France; [Danis, Bruno] ULB, Lab Biol Marine, Brussels, Belgium; [David, Bruno] Museum Natl Hist Nat, Paris, France</t>
  </si>
  <si>
    <t>Universite de Bourgogne; Universite Libre de Bruxelles; Museum National d'Histoire Naturelle (MNHN)</t>
  </si>
  <si>
    <t>Fabri-Ruiz, S (corresponding author), Univ Bourgogne Franche Comte, UMR 6282 CNRS, Biogeosci, Dijon, France.</t>
  </si>
  <si>
    <t>salome.fabriruiz@gmail.com</t>
  </si>
  <si>
    <t>Danis, Bruno/AAS-8444-2021</t>
  </si>
  <si>
    <t>Danis, Bruno/0000-0002-9037-7623; Fabri-Ruiz, Salome/0000-0003-1861-8215</t>
  </si>
  <si>
    <t>Ecole Doctorale Environnements-Sante [554]; Belgian Science Policy Office (BELSPO) [BR/132/A1/vERSO]</t>
  </si>
  <si>
    <t>Ecole Doctorale Environnements-Sante; Belgian Science Policy Office (BELSPO)(Belgian Federal Science Policy Office)</t>
  </si>
  <si>
    <t>Ecole Doctorale no 554 Environnements-Sante; vERSO project funded by the Belgian Science Policy Office (BELSPO, contract no BR/132/A1/vERSO).</t>
  </si>
  <si>
    <t>1366-9516</t>
  </si>
  <si>
    <t>1472-4642</t>
  </si>
  <si>
    <t>DIVERS DISTRIB</t>
  </si>
  <si>
    <t>Divers. Distrib.</t>
  </si>
  <si>
    <t>10.1111/ddi.12835</t>
  </si>
  <si>
    <t>HG8PM</t>
  </si>
  <si>
    <t>Green Published, Bronze, Green Submitted</t>
  </si>
  <si>
    <t>WOS:000455265600004</t>
  </si>
  <si>
    <t>Zhang, YQ; Liu, HG; Hong, H; Luo, YK</t>
  </si>
  <si>
    <t>Zhang, Yuqi; Liu, Huaigao; Hong, Hui; Luo, Yongkang</t>
  </si>
  <si>
    <t>Purification and identification of dipeptidyl peptidase IV and angiotensin-converting enzyme inhibitory peptides from silver carp (Hypophthalmichthys molitrix) muscle hydrolysate</t>
  </si>
  <si>
    <t>EUROPEAN FOOD RESEARCH AND TECHNOLOGY</t>
  </si>
  <si>
    <t>Sliver carp; Dipeptidyl peptidase IV; Angiotensin converting enzyme; Dual inhibition</t>
  </si>
  <si>
    <t>BIOACTIVE PEPTIDES; SKIN GELATIN; DPP-IV; ANTARCTIC KRILL; HYPERTENSION; ANTIOXIDANT; MANAGEMENT; QSAR; VAL</t>
  </si>
  <si>
    <t>Diabetes and hypertension are increasing threats to human health, which could be improved by inhibiting dipeptidyl peptidase IV (DPP-IV) and angiotensin-converting enzyme (ACE), respectively. Herein, we used five different enzymes to hydrolyze silver carp (Hypophthalmichthys molitrix) muscle protein. Among all treatments, the Neutrase-generated hydrolysate that was purified by a three-step isolation and then was identified using liquid chromatography-tandem mass spectrometry resulted in the most potent DPP-IV inhibitory activity and relatively high ACE inhibitory activity. The identified peptide Ala-Ala-Leu-Glu-Gln-Thr-Glu-Arg was the most effective at inhibiting DPP-IV with a half-maximal inhibitory concentration (IC50) value of 647.02 +/- 4.30 mu M. Leu-Leu-Asp-Leu-Gly-Val-Pro showed the highest ACE inhibitory activity with an IC50 value of 329.33 +/- 15.53 mu M. Lys-Ala-Val-Gly-Glu-Pro-Pro-Leu-Phe exhibited the dual inhibition against both DPP-IV and ACE with IC50 values of 1,317.39 +/- 20.93 mu M and 726.01 +/- 8.69 mu M, respectively. Interestingly, it seemed that the majority of peptides which were responsible for inhibiting DPP-IV were different from the ones which caused the inhibition of ACE.</t>
  </si>
  <si>
    <t>[Zhang, Yuqi; Hong, Hui; Luo, Yongkang] China Agr Univ, Coll Food Sci &amp; Nutr Engn, Beijing 10083, Peoples R China; [Liu, Huaigao] Beijing Guotai Biotechnol Co Ltd, Beijing 100011, Peoples R China; [Hong, Hui] Univ Alberta, Dept Agr Food &amp; Nutr Sci, Edmonton, AB T6G 2P5, Canada</t>
  </si>
  <si>
    <t>China Agricultural University; University of Alberta</t>
  </si>
  <si>
    <t>Luo, YK (corresponding author), China Agr Univ, Coll Food Sci &amp; Nutr Engn, Beijing 10083, Peoples R China.</t>
  </si>
  <si>
    <t>luoyongkang@cau.edu.cn</t>
  </si>
  <si>
    <t>Hong, Hui/W-6610-2019; Li, Lei/JPE-6543-2023</t>
  </si>
  <si>
    <t>Hong, Hui/0000-0003-3723-3070;</t>
  </si>
  <si>
    <t>National Science and Technology Ministry of China [number2017YFD0400200]; China Agriculture Research System [CARS-45]</t>
  </si>
  <si>
    <t>National Science and Technology Ministry of China; China Agriculture Research System</t>
  </si>
  <si>
    <t>This study was supported by the National Science and Technology Ministry of China (Award number2017YFD0400200) and the China Agriculture Research System (CARS-45).</t>
  </si>
  <si>
    <t>1438-2377</t>
  </si>
  <si>
    <t>1438-2385</t>
  </si>
  <si>
    <t>EUR FOOD RES TECHNOL</t>
  </si>
  <si>
    <t>Eur. Food Res. Technol.</t>
  </si>
  <si>
    <t>10.1007/s00217-018-3157-6</t>
  </si>
  <si>
    <t>Food Science &amp; Technology</t>
  </si>
  <si>
    <t>HG4JZ</t>
  </si>
  <si>
    <t>WOS:000454942900022</t>
  </si>
  <si>
    <t>Nakata, K; Ohshima, KI; Nihashi, S</t>
  </si>
  <si>
    <t>Nakata, Kazuki; Ohshima, Kay, I; Nihashi, Sohey</t>
  </si>
  <si>
    <t>Estimation of Thin-Ice Thickness and Discrimination of Ice Type From AMSR-E Passive Microwave Data</t>
  </si>
  <si>
    <t>IEEE TRANSACTIONS ON GEOSCIENCE AND REMOTE SENSING</t>
  </si>
  <si>
    <t>Antarctic coastal polynya; frazil ice; passive microwave; thin-ice thickness</t>
  </si>
  <si>
    <t>NOVA BAY POLYNYA; SEA-ICE; COASTAL-POLYNYA; MULTISENSOR SATELLITE; FRAZIL ICE; ROSS SEA; DYNAMICS; MODEL; SSM/I; VALIDATION</t>
  </si>
  <si>
    <t>Detection of thin-ice thickness with microwave radiometers, such as the Advanced Microwave Scanning Radiometer-Earth Observing System (AMSR-E), is very effective for the estimation of sea-ice production, which causes dense water driving ocean thermohaline circulation. In previous thin-ice thickness algorithms, ice thickness is estimated by utilizing a negative correlation between ice thickness and polarization ratio (PR) of AMSR-E. However, in these thin-ice algorithms, the relationship has large dispersion. We consider that the problem is caused by not taking account of ice type. We classified thin-ice regions around Antarctica into two ice types: 1) active frazil, comprising frazil and open water and 2) thin solid ice, areas of the relatively uniform thin ice, using Moderate Resolution Imaging Spectroradiometer and Advanced Synthetic Aperture Radar data. For each ice type, we examined the relationship between the AMSR-E PR of 36 GHz and ice thickness, showing that the active frazil type has a much smaller thickness than the thin solid ice type for the same PR. The two ice types can be discriminated by a simple linear discriminant method in the plane of the PR and gradient ratio of AMSR-E, with the misclassification of 3%. From these results, we propose a new thin-ice algorithm. The two ice types are classified by the linear discriminant method, and then empirical equations are used to obtain the ice thickness for each ice type. This algorithm significantly improves the accuracy of the thin-ice thickness.</t>
  </si>
  <si>
    <t>[Nakata, Kazuki] Hokkaido Univ, Grad Sch Environm Sci, Sapporo, Hokkaido 0600810, Japan; [Nakata, Kazuki] Remote Sensing Technol Ctr Japan, Res &amp; Dev Dept, Tokyo 1050001, Japan; [Ohshima, Kay, I] Hokkaido Univ, Inst Low Temp Sci, Sapporo, Hokkaido 0600819, Japan; [Ohshima, Kay, I] Hokkaido Univ, Arctic Res Ctr, Sapporo, Hokkaido 0010021, Japan; [Nihashi, Sohey] Tomakomai Coll, Dept Engn Innovat, Natl Inst Technol, Tomakomai 0591275, Japan</t>
  </si>
  <si>
    <t>Hokkaido University; Hokkaido University; Hokkaido University</t>
  </si>
  <si>
    <t>Nakata, K (corresponding author), Hokkaido Univ, Grad Sch Environm Sci, Sapporo, Hokkaido 0600810, Japan.;Nakata, K (corresponding author), Remote Sensing Technol Ctr Japan, Res &amp; Dev Dept, Tokyo 1050001, Japan.</t>
  </si>
  <si>
    <t>nakata_kazuki@restec.or.jp; ohshima@lowtem.hokudai.ac.jp; sohey@tomakomai-ct.ac.jp</t>
  </si>
  <si>
    <t>Ohshima, Kay I/D-6909-2012</t>
  </si>
  <si>
    <t>Nakata, Kazuki/0000-0002-4298-1148</t>
  </si>
  <si>
    <t>Ministry of Education, Culture, Sports, Science and Technology in Japan [17H01157, 17H06317]; Japan Aerospace Exploration Agency (JAXA) [RA1W403]; Grants-in-Aid for Scientific Research [17H06317, 17H01157] Funding Source: KAKEN</t>
  </si>
  <si>
    <t>Ministry of Education, Culture, Sports, Science and Technology in Japan(Ministry of Education, Culture, Sports, Science and Technology, Japan (MEXT)); Japan Aerospace Exploration Agency (JAXA); Grants-in-Aid for Scientific Research(Ministry of Education, Culture, Sports, Science and Technology, Japan (MEXT)Japan Society for the Promotion of ScienceGrants-in-Aid for Scientific Research (KAKENHI))</t>
  </si>
  <si>
    <t>This work was supported in part by Grants-in-Aids for Scientific Research of the Ministry of Education, Culture, Sports, Science and Technology in Japan under Grant 17H01157 and Grant 17H06317, and in part by the research fund for the Global Change Observation MissionWater 1 (GCOM-W1) of the Japan Aerospace Exploration Agency (JAXA) under Grant RA1W403.</t>
  </si>
  <si>
    <t>0196-2892</t>
  </si>
  <si>
    <t>1558-0644</t>
  </si>
  <si>
    <t>IEEE T GEOSCI REMOTE</t>
  </si>
  <si>
    <t>IEEE Trans. Geosci. Remote Sensing</t>
  </si>
  <si>
    <t>10.1109/TGRS.2018.2853590</t>
  </si>
  <si>
    <t>Geochemistry &amp; Geophysics; Engineering, Electrical &amp; Electronic; Remote Sensing; Imaging Science &amp; Photographic Technology</t>
  </si>
  <si>
    <t>Geochemistry &amp; Geophysics; Engineering; Remote Sensing; Imaging Science &amp; Photographic Technology</t>
  </si>
  <si>
    <t>HG6JZ</t>
  </si>
  <si>
    <t>WOS:000455089000020</t>
  </si>
  <si>
    <t>Suh, SS; Hong, JM; Kim, EJ; Jung, SW; Chae, H; Kim, JE; Kim, JH; Kim, IC; Kim, S</t>
  </si>
  <si>
    <t>Suh, Sung-Suk; Hong, Ju-Mi; Kim, Eun Jae; Jung, Seung Won; Chae, Hyunsik; Kim, Jung Eun; Kim, Ji Hee; Kim, Il-Chan; Kim, Sanghee</t>
  </si>
  <si>
    <t>Antarctic freshwater microalga, Chloromonas reticulata, suppresses inflammation and carcinogenesis</t>
  </si>
  <si>
    <t>INTERNATIONAL JOURNAL OF MEDICAL SCIENCES</t>
  </si>
  <si>
    <t>Inflammation cancer; Chloromonas reticulata; pro-inflammatory cytokines; HCT116</t>
  </si>
  <si>
    <t>NF-KAPPA-B; TNF-ALPHA; EXPRESSION; INOS; CYCLOOXYGENASE-2; INHIBITION; COX-2; IL-6</t>
  </si>
  <si>
    <t>Inflammation triggered by the innate immune system is a strategy to protect organisms from the risk of environmental infection. However, it has recently become clear that inflammation can cause a variety of human diseases, including cancer. In this study, we investigated the effects of an ethanol extract of the Antarctic freshwater microalgae, Chloromonas reticulata (ETCH), on inflammation and carcinogenesis in RAW 264.7 macrophages and HCT116 human colon cancer cells, respectively. ETCH exhibited significant anti-inflammatory activity through the dose-dependent modulation of major inflammatory markers such as COX-2, IL-6, iNOS, TNF-alpha, and NO production. For example, ETCH reduced LPS-induced upregulation of COX-2, IL-6, iNOS, and TNF-alpha mRNA levels, leading to a significant decrease in the levels of LPS-stimulated NO and IL-6 as well as TNF-alpha products. In contract, ETCH exhibited dose-dependent cytotoxic activity against HCT116 cells, yielding a profound reduction in the proliferation of the cancer cells. Furthermore, ETCH induced G2 phase cell cycle arrest by transcriptionally regulating of genes involved in G2 / M transition including p21 (CDKN1A), cyclin B1 (CCNB1), and CDK1; CDKN1A mRNA levels were upregulated in response to ETCH, whereas CCNB1 and CDK1 were downregulated. This study reports for the first time anti-inflammatory and anti-cancer effects of, C. reticulata and provides new insights into the molecular mechanisms of the linkage between inflammation and cancer.</t>
  </si>
  <si>
    <t>[Suh, Sung-Suk] Mokpo Natl Univ, Dept Biosci, Mokpo 58554, South Korea; [Hong, Ju-Mi; Kim, Eun Jae; Chae, Hyunsik; Kim, Jung Eun; Kim, Ji Hee; Kim, Il-Chan; Kim, Sanghee] Korea Polar Res Inst, Div Polar Life Sci, Incheon 21990, South Korea; [Jung, Seung Won] Korea Inst Ocean Sci &amp; Technol, South Sea Environm Res Dept, Geoje 656830, South Korea; [Kim, Jung Eun] Sungkyunkwan Univ, Grad Sch, Dept Pharm, Suwon 16419, South Korea; [Kim, Ji Hee; Kim, Il-Chan; Kim, Sanghee] Univ Sci &amp; Technol, Dept Polar Sci, Incheon 21990, South Korea</t>
  </si>
  <si>
    <t>Mokpo National University; Korea Polar Research Institute (KOPRI); Korea Institute of Ocean Science &amp; Technology (KIOST); Sungkyunkwan University (SKKU)</t>
  </si>
  <si>
    <t>Kim, S (corresponding author), Korea Polar Res Inst, Div Polar Life Sci, Incheon 21990, South Korea.;Kim, S (corresponding author), Univ Sci &amp; Technol, Dept Polar Sci, Incheon 21990, South Korea.</t>
  </si>
  <si>
    <t>sangheekim@kopri.re.kr</t>
  </si>
  <si>
    <t>National Research Foundation of Korea (NRF) - Korea government (MSIT) [2018R1C1B5085764]; Korea Polar Research Institute, the Republic of Korea [PE19180]</t>
  </si>
  <si>
    <t>National Research Foundation of Korea (NRF) - Korea government (MSIT); Korea Polar Research Institute, the Republic of Korea</t>
  </si>
  <si>
    <t>This study was supported by the research projects (PE19180) of Korea Polar Research Institute, the Republic of Korea and the National Research Foundation of Korea (NRF) grant funded by the Korea government (MSIT) (No. 2018R1C1B5085764).</t>
  </si>
  <si>
    <t>IVYSPRING INT PUBL</t>
  </si>
  <si>
    <t>LAKE HAVEN</t>
  </si>
  <si>
    <t>PO BOX 4546, LAKE HAVEN, NSW 2263, AUSTRALIA</t>
  </si>
  <si>
    <t>1449-1907</t>
  </si>
  <si>
    <t>INT J MED SCI</t>
  </si>
  <si>
    <t>Int. J. Med. Sci.</t>
  </si>
  <si>
    <t>10.7150/ijms.30647</t>
  </si>
  <si>
    <t>Medicine, General &amp; Internal</t>
  </si>
  <si>
    <t>General &amp; Internal Medicine</t>
  </si>
  <si>
    <t>HG3AL</t>
  </si>
  <si>
    <t>WOS:000454841200001</t>
  </si>
  <si>
    <t>Wentzel, LCP; Inforsato, FJ; Montoya, QV; Rossin, BG; Nascimento, NR; Rodrigues, A; Sette, LD</t>
  </si>
  <si>
    <t>Wentzel, Lia Costa Pinto; Inforsato, Fabio Jose; Montoya, Quimi Vidaurre; Rossin, Bruna Gomes; Nascimento, Nadia Regina; Rodrigues, Andre; Sette, Lara Duraes</t>
  </si>
  <si>
    <t>Fungi from Admiralty Bay (King George Island, Antarctica) Soils and Marine Sediments</t>
  </si>
  <si>
    <t>MICROBIAL ECOLOGY</t>
  </si>
  <si>
    <t>Extremophiles; Fungal diversity; Marine mycology; Maritime Antarctica; Cold-adapted enzymes</t>
  </si>
  <si>
    <t>COLD-ADAPTED ENZYMES; MANGANESE PEROXIDASE; MICROBIAL DIVERSITY; TERRESTRIAL; YEASTS; COMMUNITIES; PARACONIOTHYRIUM; IDENTIFICATION; CLADOSPORIUM; MACROALGAE</t>
  </si>
  <si>
    <t>Extreme environments such as the Antarctic can lead to the discovery of new microbial taxa, as well as to new microbial-derived natural products. Considering that little is known yet about the diversity and the genetic resources present in these habitats, the main objective of this study was to evaluate the fungal communities from extreme environments collected at Aldmiralty Bay (Antarctica). A total of 891 and 226 isolates was obtained from soil and marine sediment samples, respectively. The most abundant isolates from soil samples were representatives of the genera Leucosporidium, Pseudogymnoascus, and a non-identified Ascomycota NIA6. Metschnikowia sp. was the most abundant taxon from marine samples, followed by isolates from the genera Penicillium and Pseudogymnoascus. Many of the genera were exclusive in marine sediment or terrestrial samples. However, representatives of eight genera were found in both types of samples. Data from non-metric multidimensional scaling showed that each sampling site is unique in their physical-chemical composition and fungal community. Biotechnological potential in relation to enzymatic production at low/moderate temperatures was also investigated. Ligninolytic enzymes were produced by few isolates from root-associated soil. Among the fungi isolated from marine sediments, 16 yeasts and nine fungi showed lipase activity and three yeasts and six filamentous fungi protease activity. The present study permitted increasing our knowledge on the diversity of fungi that inhabit the Antarctic, finding genera that have never been reported in this environment before and discovering putative new species of fungi.</t>
  </si>
  <si>
    <t>[Wentzel, Lia Costa Pinto; Inforsato, Fabio Jose; Montoya, Quimi Vidaurre; Rodrigues, Andre; Sette, Lara Duraes] Sao Paulo State Univ UNESP, Dept Bioquim &amp; Microbiol, Inst Biociencias, Av 24A,1515, BR-13506900 Rio Claro, SP, Brazil; [Rossin, Bruna Gomes; Nascimento, Nadia Regina] Sao Paulo State Univ UNESP, Dept Planejamento Terr &amp; Geoproc, Inst Geociencias &amp; Ciencias Exatas, Ave 24A,1515, BR-13506900 Rio Claro, SP, Brazil</t>
  </si>
  <si>
    <t>Universidade Estadual Paulista; Universidade Estadual Paulista</t>
  </si>
  <si>
    <t>Sette, LD (corresponding author), Sao Paulo State Univ UNESP, Dept Bioquim &amp; Microbiol, Inst Biociencias, Av 24A,1515, BR-13506900 Rio Claro, SP, Brazil.</t>
  </si>
  <si>
    <t>larasette@rc.unesp.br</t>
  </si>
  <si>
    <t>rodrigues, andre/JWP-8432-2024; Sette, Lara Durães/C-8298-2013; Rodrigues, Andre/B-8148-2012; Montoya, Quimi Vidaurre/L-3569-2019</t>
  </si>
  <si>
    <t>Sette, Lara Durães/0000-0002-5980-3786; Rodrigues, Andre/0000-0002-4164-9362; Montoya, Quimi Vidaurre/0000-0002-3285-5981; Wentzel, Lia/0000-0001-9018-8569</t>
  </si>
  <si>
    <t>FAPESP [2013/19486-0, 2016/07957-7]; CAPES; National Council for Scientific and Technological Development (CNPq) [304103/2013-6, 305341/2015-4]; Fundacao de Amparo a Pesquisa do Estado de Sao Paulo (FAPESP) [13/19486-0, 16/07957-7] Funding Source: FAPESP</t>
  </si>
  <si>
    <t>FAPESP(Fundacao de Amparo a Pesquisa do Estado de Sao Paulo (FAPESP)); CAPES(Coordenacao de Aperfeicoamento de Pessoal de Nivel Superior (CAPES)); National Council for Scientific and Technological Development (CNPq)(Conselho Nacional de Desenvolvimento Cientifico e Tecnologico (CNPQ)); Fundacao de Amparo a Pesquisa do Estado de Sao Paulo (FAPESP)(Fundacao de Amparo a Pesquisa do Estado de Sao Paulo (FAPESP))</t>
  </si>
  <si>
    <t>This paper was supported by grants financed by FAPESP (reference numbers: #2013/19486-0 and #2016/07957-7), and by scholarships financed by CAPES. LDS and AR thank the National Council for Scientific and Technological Development (CNPq) for Productivity Fellowships 304103/2013-6 and 305341/2015-4. LDS thanks MICROSFERA project (PROANTAR/CNPq) for the support with sample collection.</t>
  </si>
  <si>
    <t>0095-3628</t>
  </si>
  <si>
    <t>1432-184X</t>
  </si>
  <si>
    <t>MICROB ECOL</t>
  </si>
  <si>
    <t>Microb. Ecol.</t>
  </si>
  <si>
    <t>10.1007/s00248-018-1217-x</t>
  </si>
  <si>
    <t>HG4CJ</t>
  </si>
  <si>
    <t>WOS:000454921500002</t>
  </si>
  <si>
    <t>Ampaw, A; Charlton, TA; Briard, JG; Ben, RN</t>
  </si>
  <si>
    <t>Ampaw, Anna; Charlton, Thomas A.; Briard, Jennie G.; Ben, Robert N.</t>
  </si>
  <si>
    <t>Designing the next generation of cryoprotectants - From proteins to small molecules</t>
  </si>
  <si>
    <t>PEPTIDE SCIENCE</t>
  </si>
  <si>
    <t>antifreeze glycoprotein; antifreeze protein; cryopreservation; ice recrystallization; ice recrystallization inhibitors</t>
  </si>
  <si>
    <t>ICE RECRYSTALLIZATION INHIBITION; RED-BLOOD-CELLS; ANTIFREEZE GLYCOPROTEIN AFGP; FREE CRYOPRESERVATION; FREEZING RESISTANCE; CLINICAL TOXICITY; REPEATING UNIT; ANTARCTIC FISH; SLOWLY FROZEN; LIVING CELLS</t>
  </si>
  <si>
    <t>During the past decade, there have been many exciting advances in the fields of cellular therapies, regenerative medicine, and tissue engineering. However, current cryopreservation strategies and protocols result in inferior product after thawing. Thus, novel cryoprotectants and protocols capable of meeting the high- quality product(s) necessary for these therapies are urgently required. The search for new and improved cryoprotectants has been ongoing but novel small molecule ice recrystallization inhibitors, originally developed from naturally occurring antifreeze proteins, have demonstrated tremendous promise and will play a significant role in fully translating cellular and regenerative therapies into the clinical environment.</t>
  </si>
  <si>
    <t>[Ampaw, Anna; Charlton, Thomas A.; Briard, Jennie G.; Ben, Robert N.] Univ Ottawa, Dept Chem &amp; Biomol Sci, DIorio Hall,10 Marie Curie, Ottawa, ON K1N 6N5, Canada</t>
  </si>
  <si>
    <t>University of Ottawa</t>
  </si>
  <si>
    <t>Ben, RN (corresponding author), Univ Ottawa, Dept Chem &amp; Biomol Sci, DIorio Hall,10 Marie Curie, Ottawa, ON K1N 6N5, Canada.</t>
  </si>
  <si>
    <t>rben@uottawa.ca</t>
  </si>
  <si>
    <t>Ampaw, Anna/0000-0002-2087-9951; Ben, Robert/0000-0002-4625-5389</t>
  </si>
  <si>
    <t>2475-8817</t>
  </si>
  <si>
    <t>PEPTIDE SCI</t>
  </si>
  <si>
    <t>Pept. Sci.</t>
  </si>
  <si>
    <t>e24086</t>
  </si>
  <si>
    <t>10.1002/pep2.24086</t>
  </si>
  <si>
    <t>HG4PT</t>
  </si>
  <si>
    <t>WOS:000454958100021</t>
  </si>
  <si>
    <t>Kochkina, GA; Ivanushkina, NE; Lupachev, AV; Starodumova, IP; Vasilenko, OV; Ozerskaya, SM</t>
  </si>
  <si>
    <t>Kochkina, G. A.; Ivanushkina, N. E.; Lupachev, A. V.; Starodumova, I. P.; Vasilenko, O. V.; Ozerskaya, S. M.</t>
  </si>
  <si>
    <t>Diversity of mycelial fungi in natural and human-affected Antarctic soils</t>
  </si>
  <si>
    <t>Antarctica; Mycelial fungi; Biodiversity; Anthropogenic impact</t>
  </si>
  <si>
    <t>IDENTIFICATION; PERMAFROST; ANAMORPHS; LACCASE; NOV.</t>
  </si>
  <si>
    <t>Environmental disturbance is an unpreventable consequence of human impact after exploration and research station management in Antarctica. Environmental pollution may directly influence Antarctic mycobiota. However, information about the effect of anthropogenic factors on microscopic fungi at extremely low temperatures is insufficient. This work compared the abundance and the species diversity of mycelial fungi from soils of six Russian research Antarctic stationsBellingshausen, Progress-2, Druzhnaya-4, Molodezhnaya, Novolazarevskaya and Oasis-affected by various anthropogenic impacts (operation of tracked and wheeled vehicles, storage and use of petroleum products and petroleum leakage sites) with that from their background analogues. New data were obtained on the taxonomic diversity of mycelial fungi from Antarctic soils with different anthropogenic loads. Cultural, morphological and physiological studies of 142 isolated strains of mycelial fungi were supplemented by molecular-biological research into sterile mycelium strains and those with vague morphological characters. This contributed not only to the verification but also to a significant increase in the number of taxa of mycelial fungi isolated from low-temperature ecotopes. Leotiomycetes and Dothideomycetes were found to be the most dominant classes in the studied samples. It was shown that several ecological groups of micromycetes could be isolated among the mycobiota of the investigated habitats, the abundance and species composition of which changed differently under the influence of anthropogenic factors. The current results highlight that microbiota changes in human-affected soils can serve as an indicator of the state of low-temperature ecotopes in general.</t>
  </si>
  <si>
    <t>[Kochkina, G. A.; Ivanushkina, N. E.; Starodumova, I. P.; Vasilenko, O. V.; Ozerskaya, S. M.] Russian Acad Sci, GK Skryabin Inst Biochem &amp; Physiol Microorganisms, All Russian Collect Microorganisms VKM, Pushchino 142290, Moscow Region, Russia; [Lupachev, A. V.] Russian Acad Sci, Inst Physicochem &amp; Biol Problems Soil Sci, Pushchino 142290, Moscow Region, Russia</t>
  </si>
  <si>
    <t>Russian Academy of Sciences; Pushchino Scientific Center for Biological Research (PSCBI) of the Russian Academy of Sciences; Russian Academy of Sciences; Pushchino Scientific Center for Biological Research (PSCBI) of the Russian Academy of Sciences; Institute of Physicohemical &amp; Biological Problems of Soil Science</t>
  </si>
  <si>
    <t>Kochkina, GA (corresponding author), Russian Acad Sci, GK Skryabin Inst Biochem &amp; Physiol Microorganisms, All Russian Collect Microorganisms VKM, Pushchino 142290, Moscow Region, Russia.</t>
  </si>
  <si>
    <t>gak@dol.ru</t>
  </si>
  <si>
    <t>Nataliya, Ivanushkina/AAR-7639-2020; Starodumova, Irina/AAU-5100-2021; Ozerskaya, Svetlana/J-3821-2018; KOCHKINA, GALINA/AAR-7765-2020; Vasilenko, Oleg V/T-3983-2018</t>
  </si>
  <si>
    <t>Nataliya, Ivanushkina/0000-0001-6720-6626; Starodumova, Irina/0000-0001-5799-8164; Ozerskaya, Svetlana/0000-0002-0373-7521; KOCHKINA, GALINA/0000-0002-5893-7782;</t>
  </si>
  <si>
    <t>Russian Foundation for Basic Research [15-29-02629-ofi_m, 16-04-01050-a]</t>
  </si>
  <si>
    <t>This work was supported by the Russian Foundation for Basic Research, projects no. 15-29-02629-ofi_m and no. 16-04-01050-a. We thank the editor Dieter Piepenburg and the reviewers for the excellent contributions in improving the manuscript.</t>
  </si>
  <si>
    <t>10.1007/s00300-018-2398-y</t>
  </si>
  <si>
    <t>HG9BW</t>
  </si>
  <si>
    <t>WOS:000455301900004</t>
  </si>
  <si>
    <t>Bartlett, JC; Convey, P; Hayward, SAL</t>
  </si>
  <si>
    <t>Bartlett, Jesamine C.; Convey, Peter; Hayward, Scott A. L.</t>
  </si>
  <si>
    <t>Life cycle and phenology of an Antarctic invader: the flightless chironomid midge, Eretmoptera murphyi</t>
  </si>
  <si>
    <t>Chironomidae; Signy Island; Embryogenesis; Pupal development; Population growth</t>
  </si>
  <si>
    <t>BIOLOGICAL INVASIONS; BELGICA-ANTARCTICA; HABITAT PREFERENCE; TERRESTRIAL; DIPTERA; IMPACTS; ISLANDS; HISTORY; MITE; BIODIVERSITY</t>
  </si>
  <si>
    <t>Knowledge of the life cycles of non-native species in Antarctica is key to understanding their ability to establish and spread to new regions. Through laboratory studies and field observations on Signy Island (South Orkney Islands, maritime Antarctic), we detail the life stages and phenology of Eretmoptera murphyi (Schaeffer 1914), a brachypterous chironomid midge introduced to Signy in the 1960s from sub-Antarctic South Georgia where it is endemic. We confirm that the species is parthenogenetic and suggest that this enables E. murphyi to have an adult emergence period that extends across the entire maritime Antarctic summer season, unlike its sexually reproducing sister species Belgica antarctica which is itself endemic to the Antarctic Peninsula and South Shetland Islands. We report details of previously undescribed life stages, including verification of four larval instars, pupal development, egg gestation and development, reproductive viability and discuss potential environmental cues for transitioning between these developmental stages. Whilst reproductive success is limited to an extent by high mortality at eclosion, failure to oviposit and low egg-hatching rate, the population is still able to potentially double in size with every life cycle.</t>
  </si>
  <si>
    <t>[Bartlett, Jesamine C.; Hayward, Scott A. L.] Univ Birmingham, Sch Biosci, Edgbaston B15 2TT, England; [Convey, Peter] NERC, British Antarctic Survey, Madingley Rd, Cambridge CB3 0ET, England</t>
  </si>
  <si>
    <t>University of Birmingham; UK Research &amp; Innovation (UKRI); Natural Environment Research Council (NERC); NERC British Antarctic Survey</t>
  </si>
  <si>
    <t>Hayward, SAL (corresponding author), Univ Birmingham, Sch Biosci, Edgbaston B15 2TT, England.</t>
  </si>
  <si>
    <t>s.a.hayward@bham.ac.uk</t>
  </si>
  <si>
    <t>Convey, Peter/AAV-5728-2020</t>
  </si>
  <si>
    <t>Convey, Peter/0000-0001-8497-9903</t>
  </si>
  <si>
    <t>Natural Environment Research Council (NERC) through The Central England NERC Training Alliance (CENTA) Doctoral Training Partnership (DTP) [RRBN19276]; University of Birmingham; British Antarctic Survey (BAS); NERC; BAS through a NERC-CASS grant [CASS-121]; NERC [bas0100036] Funding Source: UKRI</t>
  </si>
  <si>
    <t>Natural Environment Research Council (NERC) through The Central England NERC Training Alliance (CENTA) Doctoral Training Partnership (DTP); University of Birmingham; British Antarctic Survey (BAS); NERC(UK Research &amp; Innovation (UKRI)Natural Environment Research Council (NERC)); BAS through a NERC-CASS grant; NERC(UK Research &amp; Innovation (UKRI)Natural Environment Research Council (NERC))</t>
  </si>
  <si>
    <t>J Bartlett is funded by a Natural Environment Research Council (NERC) through The Central England NERC Training Alliance (CENTA) Doctoral Training Partnership (DTP) (RRBN19276). Her PhD studentship is supported by the University of Birmingham and the British Antarctic Survey (BAS). P. Convey is supported by NERC core funding to the BAS 'Biodiversity, Evolution and Adaptation' Team. Fieldwork in this study was supported by BAS through a NERC-CASS grant (CASS-121) and permitted by the British Foreign and Commonwealth Office through Specialist Activities in Antarctica (No 22/2016). The authors also thank staff at Signy Research Station for their practical and moral support, and thank the reviewers for their helpful comments. This study contributes to the SCAR ` State of the Antarctic Ecosystem' (AntEco) programme.</t>
  </si>
  <si>
    <t>10.1007/s00300-018-2403-5</t>
  </si>
  <si>
    <t>Green Published, Green Accepted, hybrid</t>
  </si>
  <si>
    <t>WOS:000455301900008</t>
  </si>
  <si>
    <t>Life cycle and phenology of an Antarctic invader: the flightless chironomid midge, Eretmoptera murphyi (vol 42, pg 115, 2019)</t>
  </si>
  <si>
    <t>10.1007/s00300-018-2422-2</t>
  </si>
  <si>
    <t>WOS:000455301900009</t>
  </si>
  <si>
    <t>Rudak, A; Wódkiewicz, M; Znój, A; Chwedorzewska, KJ; Galera, H</t>
  </si>
  <si>
    <t>Rudak, Agnieszka; Wodkiewicz, Maciej; Znoj, Anna; Chwedorzewska, Katarzyna J.; Galera, Halina</t>
  </si>
  <si>
    <t>Plastic biomass allocation as a trait increasing the invasiveness of annual bluegrass (Poa annua L.) in Antarctica</t>
  </si>
  <si>
    <t>Biomass allocation; Invasive species; Plant morphology; Phenotypic plasticity</t>
  </si>
  <si>
    <t>KING GEORGE ISLAND; PHENOTYPIC PLASTICITY; BIOLOGICAL INVASIONS; PATTERNS; GROWTH; PLANTS; GRASS; COLD; ROOT; LEAF</t>
  </si>
  <si>
    <t>The plasticity of functional traits promotes invasiveness of a species. Biomass allocation, as one of these traits, is responsible for resource acquisition, and its plastic modifications can be of adaptive value in new environments before any genetic adaptations may occur. Our aim was to compare in situ biomass allocation in aboveground and belowground organs in an Antarctic and a Polish population of annual bluegrass (Poa annua), the only alien plant species successfully invading Antarctica. The Antarctic population was characterised by three times lower aboveground biomass, more compact plant growth habit and higher fraction of biomass allocated into belowground organs than in the Polish population. The differences between populations are probably a result of adaptation to local conditions. The modifications of the studied traits in the Antarctic population are most likely a response to extreme atmospheric and edaphic conditions and enable the species to survive and spread in this hostile environment. Our results are in accordance with the balanced growth hypothesis. At the same time, these trait values enhance species performance under Antarctic conditions making P. annua a potential threat to local plant communities under altering climate changes and growing human impact scenario.</t>
  </si>
  <si>
    <t>[Rudak, Agnieszka; Wodkiewicz, Maciej; Galera, Halina] Univ Warsaw, Biol &amp; Chem Res Ctr, Fac Biol, Zwirki &amp; Wigury 101, PL-02089 Warsaw, Poland; [Znoj, Anna; Chwedorzewska, Katarzyna J.] Inst Biochem &amp; Biophys PAS, Dept Antarctic Biol, Pawinskiego 5a, PL-02106 Warsaw, Poland; [Chwedorzewska, Katarzyna J.] Warsaw Univ Life Sci SGGW Warsaw, Dept Agron, Nowoursynowska 159, Warsaw, Poland</t>
  </si>
  <si>
    <t>University of Warsaw; Polish Academy of Sciences; Institute of Biochemistry &amp; Biophysics - Polish Academy of Sciences; Warsaw University of Life Sciences</t>
  </si>
  <si>
    <t>Wódkiewicz, M (corresponding author), Univ Warsaw, Biol &amp; Chem Res Ctr, Fac Biol, Zwirki &amp; Wigury 101, PL-02089 Warsaw, Poland.</t>
  </si>
  <si>
    <t>wodkie@biol.uw.edu.pl</t>
  </si>
  <si>
    <t>Galera, Halina/V-5347-2018; Chwedorzewska, Katarzyna J/A-9480-2008; Chwedorzewska, Katarzyna/M-9721-2019; Galera, Halina/IUQ-1030-2023; Rudak, Agnieszka/ISS-5183-2023; Znój, Anna/AAX-3819-2021</t>
  </si>
  <si>
    <t>Galera, Halina/0000-0001-6983-0908; Chwedorzewska, Katarzyna/0000-0001-6860-3666; Rudak, Agnieszka/0000-0002-9638-7726; Znój, Anna/0000-0002-8424-6707; Wodkiewicz, Maciej/0000-0002-7358-126X</t>
  </si>
  <si>
    <t>National Science Centre [218361 (2013/09/B/NZ8/03293)]; EU European Regional Development Fund under the Innovative Economy Operational Program, 2007-2013</t>
  </si>
  <si>
    <t>National Science Centre(National Science Centre, Poland); EU European Regional Development Fund under the Innovative Economy Operational Program, 2007-2013</t>
  </si>
  <si>
    <t>We thank two anonymous reviewers and the editor for remarks and discussion which helped us refine our ideas and improve the manuscript. This research was supported by The National Science Centre, Grant No 218361 (2013/09/B/NZ8/03293). Part of this study was carried out at the Biological and Chemical Research Centre, University of Warsaw, established within a project co-financed by the EU European Regional Development Fund under the Innovative Economy Operational Program, 2007-2013. Part of the plant material used in this research was collected at Henryk Arctowski Polish Antarctic Station.</t>
  </si>
  <si>
    <t>10.1007/s00300-018-2409-z</t>
  </si>
  <si>
    <t>WOS:000455301900011</t>
  </si>
  <si>
    <t>Fuentes, S; Arroyo, JI; Rodríguez-Marconi, S; Masotti, I; Alarcón-Schumacher, T; Polz, MF; Trefault, N; De la Iglesia, R; Díez, B</t>
  </si>
  <si>
    <t>Fuentes, Sebastian; Ignacio Arroyo, Jose; Rodriguez-Marconi, Susana; Masotti, Italo; Alarcon-Schumacher, Tomas; Polz, Martin F.; Trefault, Nicole; De la Iglesia, Rodrigo; Diez, Beatriz</t>
  </si>
  <si>
    <t>Summer phyto- and bacterioplankton communities during low and high productivity scenarios in the Western Antarctic Peninsula</t>
  </si>
  <si>
    <t>Bacterioplankton; Phytoplankton; Antarctic Peninsula; 16S rRNA gene sequencing</t>
  </si>
  <si>
    <t>RIBOSOMAL-RNA GENE; ICE-ZONE WEST; SP NOV.; DIVERSITY; ECOLOGY; DYNAMICS; BACTERIA; WATERS; SEA; ASSEMBLAGES</t>
  </si>
  <si>
    <t>Phytoplankton blooms taking place during the warm season drive high productivity in Antarctic coastal seawaters. Important temporal and spatial variations exist in productivity patterns, indicating local constraints influencing the phototrophic community. Surface water in Chile Bay (Greenwich Island, South Shetlands) is influenced by freshwater from the melting of sea ice and surrounding glaciers; however, it is not a widely studied system. The phyto- and bacterioplankton communities in Chile Bay were studied over two consecutive summers; during a low productivity period (chlorophyll a&lt;0.05mgm(-3)) and an ascendant phototrophic bloom (chlorophyll a up to 2.38mgm(-3)). Microbial communities were analyzed by 16S rRNAincluding plastidialgene sequencing. Diatoms (mainly Thalassiosirales) were the most abundant phytoplankton, particularly during the ascendant bloom. Bacterioplankton in the low productivity period was less diverse and dominated by a few operational taxonomic units (OTUs), related to Colwellia and Pseudoalteromonas. Alpha diversity was higher during the bloom, where several Bacteroidetes taxa absent in the low productivity period were present. Network analysis indicated that phytoplankton relative abundance was correlated with bacterioplankton phylogenetic diversity and the abundance of several bacterial taxa. Hubsthe most connected OTUs in the networkwere not the most abundant OTUs and included some poorly described taxa in Antarctica, such as Neptunomonas and Ekhidna. In summary, the results of this study indicate that in Antarctic Peninsula coastal waters, such as Chile Bay, higher bacterioplankton community diversity occurs during a phototrophic bloom. This is likely a result of primary production, providing a source of fresh organic matter to bacterioplankton.</t>
  </si>
  <si>
    <t>[Fuentes, Sebastian; Ignacio Arroyo, Jose; Alarcon-Schumacher, Tomas; De la Iglesia, Rodrigo; Diez, Beatriz] Pontificia Univ Catolica Chile, Fac Biol Sci, Dept Mol Genet &amp; Microbiol, Santiago, Chile; [Fuentes, Sebastian; Ignacio Arroyo, Jose; Alarcon-Schumacher, Tomas; Diez, Beatriz] Ctr Climate &amp; Resilience Res CR 2, Santiago, Chile; [Rodriguez-Marconi, Susana; Masotti, Italo] Univ Valparaiso, Fac Ciencias Mar &amp; Recursos Nat, Vina Del Mar, Chile; [Rodriguez-Marconi, Susana] Pontificia Univ Catolica Valparaiso, Programa Magister Oceanog, Univ Valparaiso, Valparaiso, Chile; [Polz, Martin F.] MIT, Dept Civil &amp; Environm Engn, 77 Massachusetts Ave, Cambridge, MA 02139 USA; [Trefault, Nicole] Univ Mayor, Ctr Genom &amp; Bioinformat, Fac Sci, Santiago, Chile</t>
  </si>
  <si>
    <t>Pontificia Universidad Catolica de Chile; Universidad de Valparaiso; Pontificia Universidad Catolica de Valparaiso; Universidad de Valparaiso; Massachusetts Institute of Technology (MIT); Universidad Mayor</t>
  </si>
  <si>
    <t>Díez, B (corresponding author), Pontificia Univ Catolica Chile, Fac Biol Sci, Dept Mol Genet &amp; Microbiol, Santiago, Chile.;Díez, B (corresponding author), Ctr Climate &amp; Resilience Res CR 2, Santiago, Chile.</t>
  </si>
  <si>
    <t>bdiez@bio.puc.cl</t>
  </si>
  <si>
    <t>Polz, Martin/ABE-7199-2020; Fuentes, Sebastian/ADH-4041-2022; Díez, Beatriz/AAG-2244-2021; Polz, Martin/HPG-8222-2023</t>
  </si>
  <si>
    <t>Díez, Beatriz/0000-0002-9371-8083; Polz, Martin/0000-0002-4975-2946; Fuentes Alburquenque, Sebastian/0000-0001-8855-4400; Alarcon-Schumacher, Tomas/0000-0001-9159-7188; Masotti, Italo/0000-0001-7635-0021</t>
  </si>
  <si>
    <t>CONICYT [DPI20140044, 21130515, 22172113]; FONDAP [15110009]; FONDECYT [3160424]; [INACH15-10]; [INACH_RG_09_17]</t>
  </si>
  <si>
    <t>CONICYT(Comision Nacional de Investigacion Cientifica y Tecnologica (CONICYT)); FONDAP; FONDECYT(Comision Nacional de Investigacion Cientifica y Tecnologica (CONICYT)CONICYT FONDECYT); ;</t>
  </si>
  <si>
    <t>This work was financially supported by the grants INACH15-10, INACH_RG_09_17, CONICYT for international cooperation DPI20140044, FONDAP No 15110009, FONDECYT postdoctoral No 3160424, CONICYT PhD scholarship No 21130515 and CONICYT magister scholarship No 22172113.</t>
  </si>
  <si>
    <t>10.1007/s00300-018-2411-5</t>
  </si>
  <si>
    <t>WOS:000455301900012</t>
  </si>
  <si>
    <t>Teso, V; Penchaszadeh, PE</t>
  </si>
  <si>
    <t>Teso, Valeria; Penchaszadeh, Pablo E.</t>
  </si>
  <si>
    <t>Development of the gastropod Trochita pileus (Calyptraeidae) in the sub-Antarctic Southwestern Atlantic</t>
  </si>
  <si>
    <t>Development; Calyptraeidae; Brooding; Nurse eggs; Adelphophagy; MPA Namuncura; Burdwood Bank</t>
  </si>
  <si>
    <t>CREPIDULA-DILATATA LAMARCK; ENCAPSULATED DEVELOPMENT; REPRODUCTIVE-BIOLOGY; CAENOGASTROPODA; PROSOBRANCHIA; PHYLOGENY; DIVERSITY; PATTERNS; MOLLUSCA; CHILE</t>
  </si>
  <si>
    <t>The family Calyptraeidae is widely distributed around the world and shows several types of development all with physical care. Adults and broods of Trochita pileus from sub-Antarctic waters were collected during two cruises off Tierra del Fuego and Burdwood Bank at depths between 39 and 298m. A total of 43 brooding females and 314 egg capsules of T. pileus were collected. Shell diameter of brooding females ranged from 12.6 to 28.8mm. The egg capsules were flattened triangular sacs with rounded vertices and lateral margins longer than the distal margin. The number of egg capsules per brood increased significantly with increasing shell diameter of brooding females from 1 to 15 and a mean number of 7.9 +/- 2.8. T. pileus has direct development from embryos which start consuming nurse eggs (oophagy) and then continue eating developing embryos (adelphophagy). The 80.7% of the initial eggs of T. pileus did not initiate development. From about 1000 initial uncleaved eggs per egg capsule (diameter around 250 mu m), only 8 complete their development hatching as crawling juveniles. The observation of the post-gastrula stage of T. pileus swallowing all nurse eggs and latter also other embryos in the same stage of development is the first case of oophagy and adelphophagy in the genus Trochita. No late intracapsular cannibalism has been observed. To our knowledge, there are no records of Antarctic Calyptraeidae and this would be the development of one of the southernmost species described.</t>
  </si>
  <si>
    <t>[Teso, Valeria; Penchaszadeh, Pablo E.] Museo Argentino Ciencias Nat Bernardino Rivadavia, Lab Ecosistemas Costeros Plataforma &amp; Mar Profund, Av Angel Gallardo 470,C1405DJR, Buenos Aires, DF, Argentina</t>
  </si>
  <si>
    <t>Museo Argentino de Ciencias Naturales Bernardino Rivadavia (MACN)</t>
  </si>
  <si>
    <t>Teso, V (corresponding author), Museo Argentino Ciencias Nat Bernardino Rivadavia, Lab Ecosistemas Costeros Plataforma &amp; Mar Profund, Av Angel Gallardo 470,C1405DJR, Buenos Aires, DF, Argentina.</t>
  </si>
  <si>
    <t>valeriateso@gmail.com</t>
  </si>
  <si>
    <t>Penchaszadeh, Pablo/ABB-8472-2021</t>
  </si>
  <si>
    <t>Penchaszadeh, Pablo/0000-0002-2043-8814; Teso, Valeria/0000-0002-7210-9721</t>
  </si>
  <si>
    <t>Consejo Nacional de Investigaciones Cientificas y Tecnicas (CONICET) of Argentina; Agencia Nacional de Promocion Cientifica y Tecnologica (Argentina) [PICT 2013-2504, PICT 2016-0271, PICT-2016-211]; CONICET [PIP 022]</t>
  </si>
  <si>
    <t>Consejo Nacional de Investigaciones Cientificas y Tecnicas (CONICET) of Argentina(Consejo Nacional de Investigaciones Cientificas y Tecnicas (CONICET)); Agencia Nacional de Promocion Cientifica y Tecnologica (Argentina)(ANPCyT); CONICET(Consejo Nacional de Investigaciones Cientificas y Tecnicas (CONICET))</t>
  </si>
  <si>
    <t>Special thanks go to Rachel Collin, P. Miloslavich, C. Aldea, F. Arrighetti and one anonymous reviewer who made very useful comments that improved an early version of the manuscript. We are grateful to Guido Pastorino for comments and some SEM images and Carlos Sanchez Antelo, Diego Urteaga, Noelia Sanchez, Pamela Rivadeneira, Javier Di Luca, Jonathan Flores and Mariano Martinez to collect the samples. This work is the contribution No 17 to the Area Marina Protegida Namuncura (Ley 26.875). We acknowledge funding by the Consejo Nacional de Investigaciones Cientificas y Tecnicas (CONICET) of Argentina, from which all the authors belong as members of the Carrera del Investigador Cientifico y Tecnico. This contribution was partially supported by the project PICT 2013-2504, PICT 2016-0271 and PICT-2016-211 from the Agencia Nacional de Promocion Cientifica y Tecnologica (Argentina) and PIP 022 from CONICET.</t>
  </si>
  <si>
    <t>10.1007/s00300-018-2412-4</t>
  </si>
  <si>
    <t>WOS:000455301900013</t>
  </si>
  <si>
    <t>Korczak-Abshire, M; Zmarz, A; Rodzewicz, M; Kycko, M; Karsznia, I; Chwedorzewska, KJ</t>
  </si>
  <si>
    <t>Korczak-Abshire, Malgorzata; Zmarz, Anna; Rodzewicz, Miroslaw; Kycko, Marlena; Karsznia, Izabela; Chwedorzewska, Katarzyna J.</t>
  </si>
  <si>
    <t>Study of fauna population changes on Penguin Island and Turret Point Oasis (King George Island, Antarctica) using an unmanned aerial vehicle</t>
  </si>
  <si>
    <t>Remote sensing; South Shetlands; Pygoscelis; Pinnipeds; BVLOS flight; Antarctica</t>
  </si>
  <si>
    <t>SOUTH SHETLAND ISLANDS; ADMIRALTY BAY; CHINSTRAP; FLIGHTS; ADELIE; GENTOO; UAV</t>
  </si>
  <si>
    <t>An unmanned aerial vehicle (UAV) as an alternative to manned aircrafts is an excellent, less invasive, safe tool, especially in sensitive polar regions. Here we used a fixed-wing UAV to collect data on seabird and pinniped populations in hardly accessible Antarctic areas. The implementation of an auto-piloted UAV equipped with a digital camera (Canon EOS 700D, 35mm f/2.0 lens) allowed us to collect high-quality material applicable to a quantitative analysis of the fauna populations. A successful photogrammetric mission, at an altitude of 550m above sea level, was accomplished during one Beyond Visual Line of Sight flight above hard-to-access Penguin Island and Turret Point Oasis (King George Island). Obtained selected RGB images were processed to generate a panoramic image stitch with resolution of 0.07m ground sampling distance. A total of 4290 (SD=33.08) breeding individuals of two penguin species, Adelie (Pygoscelis adeliae) and chinstrap (Pygoscelis antarcticus), 426 (SD=7.78) individuals of the southern elephant seal (Mirounga leonina) and 6 individuals of the Weddell seal (Leptonychotes weddellii) were identified in both study areas. Additionally, 222 (SD=2.0) individuals of the southern giant petrel (Macronectes giganteus) and 76 (SD=1.0) of the Antarctic shag (Phalacrocorax atriceps bransfieldensis) in the Turret Point area were recognized. The presented observations on the natural history of the investigated fauna together with the available literature may be useful in future research on population trends. A comparison with available historical data for both investigated areas suggests a decrease of 68.29% in both penguin species in the 1980-2016 period. The presented results confirmed that UAVs are useful for remote census work for Antarctic seabirds.</t>
  </si>
  <si>
    <t>[Korczak-Abshire, Malgorzata; Chwedorzewska, Katarzyna J.] Polish Acad Sci, Inst Biochem &amp; Biophys, Pawinskiego 5a, PL-02106 Warsaw, Poland; [Zmarz, Anna; Kycko, Marlena; Karsznia, Izabela] Univ Warsaw, Fac Geog &amp; Reg Studies, Dept Geoinformat Cartog &amp; Remote Sensing, Krakowskie Przedmiescie 30, PL-00927 Warsaw, Poland; [Rodzewicz, Miroslaw] Warsaw Univ Technol, Inst Aeronaut Engn &amp; Appl Mech, Fac Power &amp; Aeronaut Engn, Nowowiejska 24, PL-00665 Warsaw, Poland</t>
  </si>
  <si>
    <t>Polish Academy of Sciences; Institute of Biochemistry &amp; Biophysics - Polish Academy of Sciences; University of Warsaw; Warsaw University of Technology</t>
  </si>
  <si>
    <t>Korczak-Abshire, M (corresponding author), Polish Acad Sci, Inst Biochem &amp; Biophys, Pawinskiego 5a, PL-02106 Warsaw, Poland.</t>
  </si>
  <si>
    <t>mka@ibb.waw.pl</t>
  </si>
  <si>
    <t>Kycko, Marlena/X-1065-2018; Chwedorzewska, Katarzyna J/A-9480-2008; Korczak-Abshire, Malgorzata/AAA-1563-2020; Rodzewicz, Miroslaw/ABD-7241-2020; Karsznia, Izabela/W-8042-2019; Chwedorzewska, Katarzyna/M-9721-2019; Zmarz, Anna/T-9548-2018</t>
  </si>
  <si>
    <t>Kycko, Marlena/0000-0001-5133-3727; Korczak-Abshire, Malgorzata/0000-0001-7695-0588; Rodzewicz, Miroslaw/0000-0003-1424-8624; Chwedorzewska, Katarzyna/0000-0001-6860-3666; Zmarz, Anna/0000-0001-5846-4017; Karsznia, Izabela/0000-0001-5510-8770</t>
  </si>
  <si>
    <t>Polish-Norwegian Research Programme [197810]</t>
  </si>
  <si>
    <t>Polish-Norwegian Research Programme</t>
  </si>
  <si>
    <t>Gracious thanks are directed to Dr. Anna Kidawa for help in preparing permit documentation to conduct research on KGI, Adam Tomaszewski and Pawel Kusidel for UAV operation and service, and all the other members involved in the implementation of MONICA project. Gracious thanks are given to Captain Joseph C. Abshire for English proofreading. The research was funding by the Polish-Norwegian Research Programme operated by the National Centre for Research and Development under the Norwegian Financial Mechanism 2009-2014 in the frame of Project Contract No. 197810. The data used in the paper were collected at the Henryk Arctowski Polish Antarctic Station.</t>
  </si>
  <si>
    <t>10.1007/s00300-018-2379-1</t>
  </si>
  <si>
    <t>WOS:000455301900016</t>
  </si>
  <si>
    <t>Bester, MN; Wege, M; Glass, T</t>
  </si>
  <si>
    <t>Bester, M. N.; Wege, M.; Glass, T.</t>
  </si>
  <si>
    <t>Increase of sub-Antarctic fur seals at the Tristan da Cunha Islands</t>
  </si>
  <si>
    <t>Sub-Antarctic fur seals; Pup counts; Tristan da Cunha islands; Population increase</t>
  </si>
  <si>
    <t>ARCTOCEPHALUS-TROPICALIS; POPULATION SIZES; GAZELLA; TRENDS</t>
  </si>
  <si>
    <t>Sub-Antarctic fur seal, Arctocephalus tropicalis, pups were counted on some of the beaches on all four Tristan da Cunha (TdC) islands, in January 2017, to determine the status of the population, in the face of climate change that is magnified in polar regions. Compared to counts done 40years earlier on Gough, the breeding population increased markedly on some beaches, although negligibly on the largely open boulder beaches on the leeward northeastern sector of the island. Similarly, on the northern group of the TdC islands, the breeding population had increased markedly (including the very first pup counts at Inaccessible and Nightingale), despite fur seal females currently selecting only certain beaches for pupping (at Inaccessible and Tristan). At Tristan da Cunha, only one small breeding colony occurs which is remote from the human settlement, probably the result of anthropogenic disturbance.</t>
  </si>
  <si>
    <t>[Bester, M. N.; Wege, M.] Univ Pretoria, Mammal Res Inst, Dept Zool &amp; Entomol, Private Bag X20, ZA-0028 Pretoria, South Africa; [Glass, T.] Tristan da Cunha Conservat Dept, Edinburgh, Tristan Da Cunh, Scotland</t>
  </si>
  <si>
    <t>Wege, Mia/B-1103-2016; Bester, Marthán N/E-5387-2010</t>
  </si>
  <si>
    <t>Wege, Mia/0000-0002-9022-3069;</t>
  </si>
  <si>
    <t>10.1007/s00300-018-2406-2</t>
  </si>
  <si>
    <t>WOS:000455301900018</t>
  </si>
  <si>
    <t>Thorndycraft, VR; Bendle, JM; Benito, G; Davies, BJ; Sancho, C; Palmer, AP; Fabel, D; Medialdea, A; Martin, JRV</t>
  </si>
  <si>
    <t>Thorndycraft, Varyl R.; Bendle, Jacob M.; Benito, Gerardo; Davies, Bethan J.; Sancho, Carlos; Palmer, Adrian P.; Fabel, Derek; Medialdea, Alicia; Martin, Julian R. V.</t>
  </si>
  <si>
    <t>Glacial lake evolution and Atlantic-Pacific drainage reversals during deglaciation of the Patagonian Ice Sheet</t>
  </si>
  <si>
    <t>QUATERNARY SCIENCE REVIEWS</t>
  </si>
  <si>
    <t>Antarctic Cold Reversal; Bayesian age modelling; Cosmogenic isotopes; Glacial lake outburst floods (GLOFs); Palaeohydrology; Palaeogeography; Palaeolake shorelines; Pleistocene; South America</t>
  </si>
  <si>
    <t>LAGO BUENOS-AIRES; TORRES DEL PAINE; CHILEAN PATAGONIA; ULTIMA ESPERANZA; GENERAL CARRERA; YOUNGER DRYAS; GEOMORPHIC RECORDS; CLIMATE INFERENCES; SOUTHERN PATAGONIA; COSMOGENIC BE-10</t>
  </si>
  <si>
    <t>Modelling experiments of drainage events from proglacial lakes of the Rio Baker catchment (central Patagonia, 46-48 degrees S) indicate that Atlantic-Pacific drainage reversals may have caused freshwater forcing of regional climate. However, much of the region remains unmapped in detail and available geochronological data is equivocal, leading to multiple published palaeolake evolution models. We evaluate these models through new geomorphological mapping from the Baker valley; cosmogenic dating of moraine boulders that demonstrates an Antarctic Cold Reversal ice readvance that blocked drainage through the Rio Baker; an altitudinal-based review of published geochronology; and regional analysis of shoreline glacio-isostasy and palaeolake levels. We use these datasets to present a new regional palaeolake evolution model underpinned by Bayesian age modelling. We demonstrate that 10(3) km(3) of freshwater was released to the Pacific over at least 6 drainage events from before 15.3-15.0 cal yr BP to the early Holocene. The final stages of lake drainage involved catastrophic flooding along the Baker valley, evidenced by high magnitude flood landforms such as boulder bars, likely caused by failure of large valley floor moraine dams. We place these drainage events in the context of Late Quaternary meltwater pathways associated with advance/retreat of the Patagonian Ice Sheet and early human occupation across the region. Although broad patterns of ice retreat and lake formation may be similar across Patagonia, driven by Southern Hemisphere palaeoclimate, regional topographic settings likely resulted in spatial and temporal heterogeneity of Atlantic-Pacific drainage reorganisation across southernmost South America. (C) 2018 The Authors. Published by Elsevier Ltd.</t>
  </si>
  <si>
    <t>[Thorndycraft, Varyl R.; Bendle, Jacob M.; Davies, Bethan J.; Palmer, Adrian P.; Martin, Julian R. V.] Royal Holloway Univ London, Dept Geog, Ctr Quaternary Res, Egham TW20 0EX, Surrey, England; [Benito, Gerardo] CSIC, Museo Nacl Ciencias Nat, E-28006 Madrid, Spain; [Sancho, Carlos] Univ Zaragoza, Dept Earth Sci, E-50009 Zaragoza, Spain; [Fabel, Derek] Univ Glasgow, SUERC, Glasgow, Lanark, Scotland; [Medialdea, Alicia] Univ Cologne, Inst Geog, D-50674 Cologne, Germany</t>
  </si>
  <si>
    <t>University of London; Royal Holloway University London; Consejo Superior de Investigaciones Cientificas (CSIC); CSIC - Museo Nacional de Ciencias Naturales (MNCN); University of Zaragoza; University of Glasgow; Scottish Universities Research &amp; Reactor Center; University of Cologne</t>
  </si>
  <si>
    <t>Thorndycraft, VR (corresponding author), Royal Holloway Univ London, Dept Geog, Ctr Quaternary Res, Egham TW20 0EX, Surrey, England.</t>
  </si>
  <si>
    <t>Varyl.Thorndycraft@rhul.ac.uk</t>
  </si>
  <si>
    <t>Fabel, Derek/O-9933-2019; Davies, Bethan/KFR-3266-2024; Medialdea, Alicia/S-1424-2019; Benito, Gerardo/E-5456-2013</t>
  </si>
  <si>
    <t>Fabel, Derek/0000-0003-2859-3293; Davies, Bethan/0000-0002-8636-1813; Medialdea, Alicia/0000-0001-5895-0736; Benito, Gerardo/0000-0003-0724-1790; Martin, Julian/0000-0002-2535-1646; Bendle, Jacob/0000-0002-3572-7192</t>
  </si>
  <si>
    <t>Natural Resources Defence Council; Royal Holloway University of London Research Strategy Fund (RHUL-RSF); NERC [NE/L501803/1, NE/L002485/1]; RHUL-RSF funding; NERC [ciaf010001] Funding Source: UKRI</t>
  </si>
  <si>
    <t>Natural Resources Defence Council; Royal Holloway University of London Research Strategy Fund (RHUL-RSF); NERC(UK Research &amp; Innovation (UKRI)Natural Environment Research Council (NERC)); RHUL-RSF funding; NERC(UK Research &amp; Innovation (UKRI)Natural Environment Research Council (NERC))</t>
  </si>
  <si>
    <t>VT would like to thank the Natural Resources Defence Council and Royal Holloway University of London Research Strategy Fund (RHUL-RSF) for funding initial field visits that led to this research. VT, GB and CS would like to thank Alejandro Dussaillant (Aysen University) for inviting them to the Colonia sector for two field campaigns (2011 and 2012), and Jorge Teruco for camp logistics and boating. Geovanni Daneri (Centro de Investigaciones de Ecosistemas Patagonicas) also provided logistical support for our research. JB and JM were in receipt of NERC PhD awards (NE/L501803/1 and NE/L002485/1, respectively). Cosmogenic dating (BD and VT) was supported by RHUL-RSF funding and the British Society for Geomorphology, with analysis done at the NERC-Cosmogenic Isotope Analysis Facility. ASTER GDEM is a product of NASA and METI. VT and BD were supported in the field at the Bertrand moraines by Esteban Jaramillo; GB by Xavier Rodriguez-Lloveras. We thank an anonymous reviewer and Mike Kaplan for their review comments that helped improve the original manuscript.</t>
  </si>
  <si>
    <t>0277-3791</t>
  </si>
  <si>
    <t>QUATERNARY SCI REV</t>
  </si>
  <si>
    <t>Quat. Sci. Rev.</t>
  </si>
  <si>
    <t>10.1016/j.quascirev.2018.10.036</t>
  </si>
  <si>
    <t>HG4SN</t>
  </si>
  <si>
    <t>WOS:000454965400007</t>
  </si>
  <si>
    <t>Nicholson, E; Fulton, EA; Brooks, TM; Blanchard, R; Leadley, P; Metzger, JP; Mokany, K; Stevenson, S; Wintle, BA; Woolley, SNC; Barnes, M; Watson, JEM; Ferrier, S</t>
  </si>
  <si>
    <t>Nicholson, Emily; Fulton, Elizabeth A.; Brooks, Thomas M.; Blanchard, Ryan; Leadley, Paul; Metzger, Jean Paul; Mokany, Karel; Stevenson, Simone; Wintle, Brendan A.; Woolley, Skipton N. C.; Barnes, Megan; Watson, James E. M.; Ferrier, Simon</t>
  </si>
  <si>
    <t>Scenarios and Models to Support Global Conservation Targets</t>
  </si>
  <si>
    <t>TRENDS IN ECOLOGY &amp; EVOLUTION</t>
  </si>
  <si>
    <t>ECOSYSTEM SERVICES; CLIMATE-CHANGE; PROTECTED AREAS; BIODIVERSITY CONSERVATION; POPULATION-MODELS; EXTINCTION RISK; INDICATORS; IMPACTS; EVALUATE; PROGRESS</t>
  </si>
  <si>
    <t>Global biodiversity targets have far-reaching implications for nature conservation worldwide. Scenarios and models hold unfulfilled promise for ensuring such targets are well founded and implemented; here, we review how they can and should inform the Aichi Targets of the Strategic Plan for Biodiversity and their reformulation. They offer two clear benefits: providing a scientific basis for the wording and quantitative elements of targets; and identifying synergies and trade-offs by accounting for interactions between targets and the actions needed to achieve them. The capacity of scenarios and models to address complexity makes them invaluable for developing meaningful targets and policy, and improving conservation outcomes.</t>
  </si>
  <si>
    <t>[Nicholson, Emily; Stevenson, Simone] Deakin Univ, Sch Life &amp; Environm Sci, Ctr Integrat Ecol, Geelong, Vic, Australia; [Fulton, Elizabeth A.; Woolley, Skipton N. C.] CSIRO Oceans &amp; Atmosphere, Hobart, Tas, Australia; [Fulton, Elizabeth A.] Univ Tasmania, Ctr Marine Socioecol, Hobart, Tas, Australia; [Brooks, Thomas M.] IUCN, Gland, Switzerland; [Brooks, Thomas M.] Univ Philippines, World Agroforestry Ctr ICRAF, Los Banos, Laguna, Philippines; [Brooks, Thomas M.] Univ Tasmania, Inst Marine &amp; Antarctic Studies, Hobart, Tas, Australia; [Blanchard, Ryan] CSIR, Nat Resources &amp; Environm, Stellenbosch, South Africa; [Leadley, Paul] Univ Paris Saclay, Univ Paris Sud, CNRS, Ecol Systemat Evolut,AgroParisTech, Orsay, France; [Metzger, Jean Paul] Univ Sao Paulo, Dept Ecol, Sao Paulo, Brazil; [Mokany, Karel; Ferrier, Simon] CSIRO Land &amp; Water, Canberra, ACT, Australia; [Wintle, Brendan A.] Univ Melbourne, Australian Res Council Ctr Excellence Environm De, Sch Biosci, Melbourne, Vic, Australia; [Barnes, Megan] Univ Hawaii Manoa, Dept Nat Resources &amp; Environm Management, Manoa, HI USA; [Watson, James E. M.] Univ Queensland, Sch Earth &amp; Environm Sci, Brisbane, Qld, Australia; [Watson, James E. M.] Wildlife Conservat Soc, Global Conservat Program, Bronx, NY USA</t>
  </si>
  <si>
    <t>Deakin University; Commonwealth Scientific &amp; Industrial Research Organisation (CSIRO); University of Tasmania; CGIAR; World Agroforestry (ICRAF); University of the Philippines System; University of the Philippines Los Banos; University of the Philippines Open University; University of Tasmania; Council for Scientific &amp; Industrial Research (CSIR) - South Africa; AgroParisTech; Centre National de la Recherche Scientifique (CNRS); Universite Paris Cite; Universite Paris Saclay; Universidade de Sao Paulo; Commonwealth Scientific &amp; Industrial Research Organisation (CSIRO); CSIRO Land &amp; Water; Melbourne Genomics Health Alliance; University of Melbourne; University of Hawaii System; University of Hawaii Manoa; University of Queensland; Wildlife Conservation Society</t>
  </si>
  <si>
    <t>Nicholson, E (corresponding author), Deakin Univ, Sch Life &amp; Environm Sci, Ctr Integrat Ecol, Geelong, Vic, Australia.</t>
  </si>
  <si>
    <t>e.nicholson@deakin.edu.au</t>
  </si>
  <si>
    <t>Metzger, Jean Paul/C-2514-2012; Watson, James Edward Maxwell/D-8779-2013; Ferrier, Simon/C-1490-2009; blanchard, ryan/B-8856-2017; Barnes, Megan D/F-5214-2010; Mokany, Karel/C-1464-2009; Fulton, Beth/A-2871-2008; Nicholson, Emily/H-9001-2013</t>
  </si>
  <si>
    <t>Metzger, Jean Paul/0000-0002-0087-5240; Watson, James Edward Maxwell/0000-0003-4942-1984; blanchard, ryan/0000-0002-3560-4133; wintle, brendan/0000-0002-4234-5950; Barnes, Megan/0000-0002-8300-0975; Nicholson, Emily/0000-0003-2199-3446</t>
  </si>
  <si>
    <t>Veski Inspiring Women Fellowship from the Victorian Government [IWF001]; Australia Research Council (ARC) [DP170100609]; ARC Future Fellowship [FT100100819]; ARC Centre of Excellence for Environmental Decisions [CE110001014]; Belmont Forum Network grant; CSIR YREF grant</t>
  </si>
  <si>
    <t>Veski Inspiring Women Fellowship from the Victorian Government; Australia Research Council (ARC)(Australian Research Council); ARC Future Fellowship(Australian Research Council); ARC Centre of Excellence for Environmental Decisions(Australian Research Council); Belmont Forum Network grant; CSIR YREF grant</t>
  </si>
  <si>
    <t>E.N. acknowledges the support of a Veski Inspiring Women Fellowship (IWF001) from the Victorian Government, and the Australia Research Council (ARC, DP170100609); B.A.W. and the workshop were supported by ARC Future Fellowship (FT100100819), by the ARC Centre of Excellence for Environmental Decisions (CE110001014) and a Belmont Forum Network grant. R.B. was funded by a CSIR YREF grant. We thank Stuart Butchart, Michael Hoffmann, and two anonymous reviewers for their comments.</t>
  </si>
  <si>
    <t>ELSEVIER SCIENCE LONDON</t>
  </si>
  <si>
    <t>84 THEOBALDS RD, LONDON WC1X 8RR, ENGLAND</t>
  </si>
  <si>
    <t>0169-5347</t>
  </si>
  <si>
    <t>1872-8383</t>
  </si>
  <si>
    <t>TRENDS ECOL EVOL</t>
  </si>
  <si>
    <t>Trends Ecol. Evol.</t>
  </si>
  <si>
    <t>10.1016/j.tree.2018.10.006</t>
  </si>
  <si>
    <t>Ecology; Evolutionary Biology; Genetics &amp; Heredity</t>
  </si>
  <si>
    <t>Environmental Sciences &amp; Ecology; Evolutionary Biology; Genetics &amp; Heredity</t>
  </si>
  <si>
    <t>HG3JM</t>
  </si>
  <si>
    <t>WOS:000454871000005</t>
  </si>
  <si>
    <t>Sutherland, WJ; Broad, S; Butchart, SHM; Clarke, SJ; Collins, AM; Dicks, LV; Doran, H; Esmail, N; Fleishman, E; Frost, N; Gaston, KJ; Gibbons, DW; Hughes, AC; Jiang, Z; Kelman, R; LeAnstey, B; Le Roux, X; Lickorish, FA; Monk, KA; Mortimer, D; Pearce-Higgins, JW; Peck, LS; Pettorelli, N; Pretty, J; Seymour, CL; Spalding, MD; Wentworth, J; Ockendon, N</t>
  </si>
  <si>
    <t>Sutherland, William J.; Broad, Steven; Butchart, Stuart H. M.; Clarke, Stewart J.; Collins, Alexandra M.; Dicks, Lynn V.; Doran, Helen; Esmail, Nafeesa; Fleishman, Erica; Frost, Nicola; Gaston, Kevin J.; Gibbons, David W.; Hughes, Alice C.; Jiang, Zhigang; Kelman, Ruth; LeAnstey, Becky; Le Roux, Xavier; Lickorish, Fiona A.; Monk, Kathryn A.; Mortimer, Diana; Pearce-Higgins, James W.; Peck, Lloyd S.; Pettorelli, Nathalie; Pretty, Jules; Seymour, Colleen L.; Spalding, Mark D.; Wentworth, Jonathan; Ockendon, Nancy</t>
  </si>
  <si>
    <t>A Horizon Scan of Emerging Issues for Global Conservation in 2019</t>
  </si>
  <si>
    <t>MERCURY; PLANTS</t>
  </si>
  <si>
    <t>We present the results of our tenth annual horizon scan. We identified 15 emerging priority topics that may have major positive or negative effects on the future conservation of global biodiversity, but currently have low awareness within the conservation community. We hope to increase research and policy attention on these areas, improving the capacity of the community to mitigate impacts of potentially negative issues, and maximise the benefits of issues that provide opportunities. Topics include advances in crop breeding, which may affect insects and land use; manipulations of natural water flows and weather systems on the Tibetan Plateau; release of carbon and mercury from melting polar ice and thawing permafrost; new funding schemes and regulations; and land-use changes across Indo-Malaysia.</t>
  </si>
  <si>
    <t>[Sutherland, William J.; Butchart, Stuart H. M.; Pearce-Higgins, James W.; Ockendon, Nancy] Univ Cambridge, Dept Zool, Conservat Sci Grp, David Attenborough Bldg,Pembroke St, Cambridge CB2 3QZ, England; [Broad, Steven] TRAFFIC, David Attenborough Bldg,Pembroke St, Cambridge CB2 3QZ, England; [Butchart, Stuart H. M.] BirdLife Int, David Attenborough Bldg,Pembroke St, Cambridge CB2 3QZ, England; [Clarke, Stewart J.] Natl Trust, Heelis, Kemble Dr, Swindon SN2 2NA, Wilts, England; [Collins, Alexandra M.] Imperial Coll, Ctr Environm Policy, London, England; [Dicks, Lynn V.] Univ East Anglia, Sch Biol Sci, Norwich NR4 7TJ, Norfolk, England; [Doran, Helen] Eastbrook, Nat England, Shaftesbury Rd, Cambridge CB2 8DR, England; [Esmail, Nafeesa] Oxford Martin Programme Illegal Wildlife Trade, 34 Broad St, Oxford OX1 3BD, England; [Fleishman, Erica] Colorado State Univ, Dept Fish Wildlife &amp; Conservat Biol, Ft Collins, CO 80523 USA; [Frost, Nicola] Fauna &amp; Flora Int, David Attenborough Bldg,Pembroke St, Cambridge CB2 3QZ, England; [Gaston, Kevin J.] Univ Exeter, Environm &amp; Sustainabil Inst, Penryn Campus, Penryn TR10 9FE, Cornwall, England; [Gibbons, David W.] Royal Soc Protect Birds, RSPB Ctr Conservat Sci, Sandy SG19 2DL, Beds, England; [Gibbons, David W.] RSPB, David Attenborough Bldg,Pembroke St, Cambridge CB2 3QZ, England; [Hughes, Alice C.] Chinese Acad Sci, Xishuangbanna Trop Bot Garden, Ctr Integrat Conservat, Xishuangbanna 666303, Yunnan, Peoples R China; [Jiang, Zhigang] Chinese Acad Sci, Inst Zool, Beijing 100101, Peoples R China; [Jiang, Zhigang] Univ Chinese Acad Sci, Beijing 100049, Peoples R China; [Kelman, Ruth] NERC, Polaris House,North Star Ave, Swindon SN2 1EU, Wilts, England; [LeAnstey, Becky] Environm Agcy, Horizon House,Deanery Rd, Bristol BS1 5AH, Avon, England; [Le Roux, Xavier] Univ Lyon 1, CNRS, INRA, Microbial Ecol Ctr,UMR1418, F-69622 Villeurbanne, France; [Le Roux, Xavier] Fdn Rech Biodivers, 195 Rue St Jacques, F-75005 Paris, France; [Lickorish, Fiona A.] UK Res &amp; Consultancy Serv RCS Ltd, Hereford HR4 8BU, England; [Monk, Kathryn A.] Nat Resources Wales, Cambria House,29 Newport Rd, Cardiff CF24 0TP, S Glam, Wales; [Mortimer, Diana] Joint Nat Conservat Comm, Monkstone House,City Rd, Peterborough PE1 1UA, Cambs, England; [Pearce-Higgins, James W.] British Trust Ornithol, The Nunnery IP24 2PU, Thetford, England; [Peck, Lloyd S.] British Antarctic Survey, Nat Environm Res Council, Madingley Rd, Cambridge CB3 0ET, England; [Pettorelli, Nathalie] Zool Soc London, Inst Zool, Regents Pk, London NW1 4RY, England; [Pretty, Jules] Univ Essex, Sch Biol Sci, Colchester CO4 3SQ, Essex, England; [Seymour, Colleen L.] South African Natl Biodivers Inst, Private Bag X7, ZA-7735 Claremont, South Africa; [Spalding, Mark D.] Univ Siena, Dept Phys Earth &amp; Environm Sci, Nat Conservancy, Global Marine Team, I-53100 Siena, Italy; [Wentworth, Jonathan] Parliamentary Off Sci &amp; Technol, 14 Tothill St, London SW1H 9NB, England</t>
  </si>
  <si>
    <t>University of Cambridge; BirdLife International; Imperial College London; University of East Anglia; Colorado State University; University of Exeter; Royal Society for Protection of Birds; Royal Society for Protection of Birds; Chinese Academy of Sciences; Xishuangbanna Tropical Botanical Garden, CAS; Chinese Academy of Sciences; Institute of Zoology, CAS; Chinese Academy of Sciences; University of Chinese Academy of Sciences, CAS; UK Research &amp; Innovation (UKRI); Natural Environment Research Council (NERC); INRAE; Universite Claude Bernard Lyon 1; Centre National de la Recherche Scientifique (CNRS); British Trust for Ornithology; UK Research &amp; Innovation (UKRI); Natural Environment Research Council (NERC); NERC British Antarctic Survey; Zoological Society of London; University of Essex; South African National Biodiversity Institute; University of Siena</t>
  </si>
  <si>
    <t>Sutherland, WJ (corresponding author), Univ Cambridge, Dept Zool, Conservat Sci Grp, David Attenborough Bldg,Pembroke St, Cambridge CB2 3QZ, England.</t>
  </si>
  <si>
    <t>w.sutherland@zoo.cam.ac.uk</t>
  </si>
  <si>
    <t>Pettorelli, Nathalie/AAW-8438-2021; Sutherland, William/B-1291-2013; Dicks, Lynn V./AFH-5289-2022; Butchart, Stuart/AAJ-1852-2021; Monk, Kathryn/GRR-2773-2022; Hughes, Alice C./HCH-3838-2022; Jiang 蒋, Zhigang 志刚/E-4598-2014; Pretty, Jules/D-4071-2012; Spalding, Mark/GVU-0739-2022</t>
  </si>
  <si>
    <t>Dicks, Lynn V./0000-0002-8304-4468; Butchart, Stuart/0000-0002-1140-4049; Hughes, Alice C./0000-0002-4899-3158; Jiang 蒋, Zhigang 志刚/0000-0003-2154-8588; LE ROUX, Xavier/0000-0001-9695-0825; Seymour, Colleen/0000-0002-6729-2576; Ockendon, Nancy/0000-0001-5055-1079; Gaston, Kevin J./0000-0002-7235-7928; Lickorish, Fiona/0000-0002-0696-202X; Esmail, Nafeesa/0000-0001-6043-2014; Pettorelli, Nathalie/0000-0002-1594-6208; Spalding, Mark/0000-0001-9456-4533</t>
  </si>
  <si>
    <t>Natural Environment Research Council; Royal Society for the Protection of Birds; South African National Research Foundation; NERC [NE/N014472/1]; Basic Science Special Project of MOST [2013FY110300, CAS NOXDA19050204]; Arcadia; BiodivERsA; NERC [NE/N00549X/1, bas0100036, NE/N014472/1, NE/N014472/2] Funding Source: UKRI</t>
  </si>
  <si>
    <t>Natural Environment Research Council(UK Research &amp; Innovation (UKRI)Natural Environment Research Council (NERC)); Royal Society for the Protection of Birds; South African National Research Foundation(National Research Foundation - South Africa); NERC(UK Research &amp; Innovation (UKRI)Natural Environment Research Council (NERC)); Basic Science Special Project of MOST; Arcadia; BiodivERsA; NERC(UK Research &amp; Innovation (UKRI)Natural Environment Research Council (NERC))</t>
  </si>
  <si>
    <t>This exercise was coordinated by the Cambridge Conservation Initiative and funded by the Natural Environment Research Council and the Royal Society for the Protection of Birds. We are grateful to everyone who submitted ideas to the exercise. We thank Beatriz Morales Nin and Erlend Moksness (exploitation of the mesopelagic zone), Craig Macadam (effect on terrestrial food webs of transgenic oilseed crops that produce omega-3 fatty acids), Ros Aveling and Gabriella Church (ecological effects of options for reducing plastic pollution), and Hannah Becker (extensive release of mercury by thawing permafrost) for suggesting issues presented in this paper. Thanks to the editor and anonymous reviewer for efficient and useful comments on the manuscript. W.J.S. is funded by Arcadia. X.L.R. was funded by BiodivERsA, C.L.S. was part-funded by the South African National Research Foundation, L.V.D. by NERC (NE/N014472/1), and Z.J. by Basic Science Special Project of MOST (2013FY110300 &amp; CAS NOXDA19050204).</t>
  </si>
  <si>
    <t>10.1016/j.tree.2018.11.001</t>
  </si>
  <si>
    <t>Green Submitted, Green Accepted</t>
  </si>
  <si>
    <t>WOS:000454871000007</t>
  </si>
  <si>
    <t>Jonsen, ID; McMahon, CR; Patterson, TA; Auger-Méthé, M; Harcourt, R; Hindell, MA; Bestley, S</t>
  </si>
  <si>
    <t>Jonsen, I. D.; McMahon, C. R.; Patterson, T. A.; Auger-Methe, M.; Harcourt, R.; Hindell, M. A.; Bestley, S.</t>
  </si>
  <si>
    <t>Movement responses to environment: fast inference of variation among southern elephant seals with a mixed effects model</t>
  </si>
  <si>
    <t>ECOLOGY</t>
  </si>
  <si>
    <t>correlated random walk; habitat; latent variable; random effects; southern elephant seals; spatial ecology; telemetry; template model builder</t>
  </si>
  <si>
    <t>ANIMAL MOVEMENT; SELECTION</t>
  </si>
  <si>
    <t>Like many species, movement patterns of southern elephant seals (Mirounga leonina) are being influenced by long-term environmental change. These seals migrate up to 4,000 km from their breeding colonies, foraging for months in a variety of Southern Ocean habitats. Understanding how movement patterns vary with environmental features and how these relationships differ among individuals employing different foraging strategies can provide insight into foraging performance at a population level. We apply new fast-estimation tools to fit mixed effects within a random walk movement model, rapidly inferring among-individual variability in southern elephant seal environment-movement relationships. We found that seals making foraging trips to the sea ice on or near the Antarctic continental shelf consistently reduced speed and directionality (move persistence) with increasing sea-ice coverage but had variable responses to chlorophyll a concentration, whereas seals foraging in the open ocean reduced move persistence in regions where circumpolar deep water shoaled. Given future climate scenarios, open-ocean foragers may encounter more productive habitat but sea-ice foragers may see reduced habitat availability. Our approach is scalable to large telemetry data sets and allows flexible combinations of mixed effects to be evaluated via model selection, thereby illuminating the ecological context of animal movements that underlie habitat usage.</t>
  </si>
  <si>
    <t>[Jonsen, I. D.; Harcourt, R.] Macquarie Univ, Dept Biol Sci, N Ryde, NSW 2109, Australia; [McMahon, C. R.] Sydney Inst Marine Sci, Mosman, NSW 2088, Australia; [Patterson, T. A.] CSIRO Marine &amp; Atmospher Res, Hobart, Tas 7004, Australia; [Auger-Methe, M.] Univ British Columbia, Dept Stat, Vancouver, BC V1V 1V7, Canada; [Auger-Methe, M.] Univ British Columbia, Inst Oceans &amp; Fisheries, Vancouver, BC V1V 1V7, Canada; [Hindell, M. A.; Bestley, S.] Univ Tasmania, Inst Marine &amp; Antarctic Studies, Hobart, Tas 7004, Australia</t>
  </si>
  <si>
    <t>Macquarie University; Sydney Institute of Marine Science; Commonwealth Scientific &amp; Industrial Research Organisation (CSIRO); University of British Columbia; University of British Columbia; University of Tasmania</t>
  </si>
  <si>
    <t>Jonsen, ID (corresponding author), Macquarie Univ, Dept Biol Sci, N Ryde, NSW 2109, Australia.</t>
  </si>
  <si>
    <t>ian.jonsen@mq.edu.au</t>
  </si>
  <si>
    <t>Bestley, Sophie/AAN-2483-2021; Patterson, Toby A/B-3836-2011; Hindell, Mark A/K-1131-2013; McMahon, Clive R/D-5713-2013</t>
  </si>
  <si>
    <t>Bestley, Sophie/0000-0001-9342-669X; McMahon, Clive R/0000-0001-5241-8917; Harcourt, Robert/0000-0003-4666-2934; Jonsen, Ian/0000-0001-5423-6076; Patterson, Toby/0000-0002-7150-9205; Hindell, Mark/0000-0002-7823-7185</t>
  </si>
  <si>
    <t>Climate Impacts on Top Predators (CLIOTOP) Task Team; Centre for the Synthesis and Analysis of Biodiversity (CESAB); Macquarie University; Australian Research Council DECRA grant [DE180100828]; CSIRO Julius Career Award; Villum Foundation; Australian Government; Integrated Marine Observing System (IMOS); Australian Research Council [DE180100828] Funding Source: Australian Research Council</t>
  </si>
  <si>
    <t>Climate Impacts on Top Predators (CLIOTOP) Task Team; Centre for the Synthesis and Analysis of Biodiversity (CESAB); Macquarie University; Australian Research Council DECRA grant(Australian Research Council); CSIRO Julius Career Award; Villum Foundation(Villum Fonden); Australian Government(Australian Government); Integrated Marine Observing System (IMOS); Australian Research Council(Australian Research Council)</t>
  </si>
  <si>
    <t>T. Michelot, T. Photopoulou, U. Thygesen, and S. Wother-spoon provided valuable insights that improved the approach and, along with B. Kotler and four anonymous reviewers, enhanced the manuscript. This work was supported by the Climate Impacts on Top Predators (CLIOTOP) Task Team 2016-06 on Animal Movement and Prediction; the Centre for the Synthesis and Analysis of Biodiversity (CESAB); a Macquarie University Co-funded Fellowship to I. D. Jonsen; an Australian Research Council DECRA grant (DE180100828) to S. Bestley; and a CSIRO Julius Career Award and the Villum Foundation to T. A. Patterson. The Integrated Marine Observing System (IMOS) supported seal fieldwork. IMOS is a national collaborative research infrastructure, supported by the Australian Government and operated by a consortium of institutions as an unincorporated joint venture, with the University of Tasmania as Lead Agent. All tagging procedures approved and executed under University of Tasmania Animal Ethics Committee guidelines.</t>
  </si>
  <si>
    <t>0012-9658</t>
  </si>
  <si>
    <t>1939-9170</t>
  </si>
  <si>
    <t>e02566</t>
  </si>
  <si>
    <t>10.1002/ecy.2566</t>
  </si>
  <si>
    <t>HG1IL</t>
  </si>
  <si>
    <t>Green Published, Bronze, Green Accepted</t>
  </si>
  <si>
    <t>WOS:000454706400009</t>
  </si>
  <si>
    <t>Dayton, PK; Jarrell, SC; Kim, S; Parnell, PE; Thrush, SF; Hammerstrom, K; Leichter, JJ</t>
  </si>
  <si>
    <t>Dayton, Paul K.; Jarrell, Shannon C.; Kim, Stacy; Parnell, P. Ed; Thrush, Simon F.; Hammerstrom, Kamille; Leichter, James J.</t>
  </si>
  <si>
    <t>Benthic responses to an Antarctic regime shift: food particle size and recruitment biology</t>
  </si>
  <si>
    <t>ECOLOGICAL APPLICATIONS</t>
  </si>
  <si>
    <t>bivalves; bryozoans; climate; echinoderms; episodic events; filter feeders and plankton particulate size; ice; oceanography; regime shift; scaling space and time; sponges</t>
  </si>
  <si>
    <t>MCMURDO-SOUND; ROSS SEA; POPULATION-STRUCTURE; SOUTHERN-OCEAN; CLIMATE-CHANGE; WEST SIDE; ICE; ECOSYSTEM; COMMUNITIES; VARIABILITY</t>
  </si>
  <si>
    <t>Polar ecosystems are bellwether indicators of climate change and offer insights into ecological resilience. In this study, we describe contrasting responses to an apparent regime shift of two very different benthic communities in McMurdo Sound, Antarctica. We compared species-specific patterns of benthic invertebrate abundance and size between the west (low productivity) and east (higher productivity) sides of McMurdo Sound across multiple decades (1960s-2010) to depths of 60 m. We present possible factors associated with the observed changes. A massive and unprecedented shift in sponge recruitment and growth on artificial substrata observed between the 1980s and 2010 contrasts with lack of dramatic sponge settlement and growth on natural substrata, emphasizing poorly understood sponge recruitment biology. We present observations of changes in populations of sponges, bryozoans, bivalves, and deposit-feeding invertebrates in the natural communities on both sides of the sound. Scientific data for Antarctic benthic ecosystems are scant, but we gather multiple lines of evidence to examine possible processes in regional-scale oceanography during the eight years in which the sea ice did not clear out of the southern portion of McMurdo Sound. We suggest that large icebergs blocked currents and advected plankton, allowed thicker multi-year ice, and reduced light to the benthos. This, in addition to a possible increase in iron released from rapidly melting glaciers, fundamentally shifted the quantity and quality of primary production in McMurdo Sound. A hypothesized shift from large to small food particles is consistent with increased recruitment and growth of sponges on artificial substrata, filter-feeding polychaetes, and some bryozoans, as well as reduced populations of bivalves and crinoids that favor large particles, and echinoderms Sterechinus neumayeri and Odontaster validus that predominantly feed on benthic diatoms and large phytoplankton mats that drape the seafloor after spring blooms. This response of different guilds of filter feeders to a hypothesized shift from large to small phytoplankton points to the enormous need for and potential value of holistic monitoring programs, particularly in pristine ecosystems, that could yield both fundamental ecological insights and knowledge that can be applied to critical conservation concerns as climate change continues.</t>
  </si>
  <si>
    <t>[Dayton, Paul K.; Jarrell, Shannon C.; Parnell, P. Ed; Leichter, James J.] Scripps Inst Oceanog, La Jolla, CA 92093 USA; [Kim, Stacy; Hammerstrom, Kamille] Moss Landing Marine Labs, Pob 450, Moss Landing, CA 95039 USA; [Thrush, Simon F.] Univ Auckland, Inst Marine Sci, Auckland 1142, New Zealand</t>
  </si>
  <si>
    <t>University of California System; University of California San Diego; Scripps Institution of Oceanography; Moss Landing Marine Laboratories; University of Auckland</t>
  </si>
  <si>
    <t>Dayton, PK (corresponding author), Scripps Inst Oceanog, La Jolla, CA 92093 USA.</t>
  </si>
  <si>
    <t>pdayton@ucsd.edu</t>
  </si>
  <si>
    <t>Hammerstrom, Kamille/0000-0002-1177-5552; Thrush, Simon/0000-0002-4005-3882</t>
  </si>
  <si>
    <t>National Science Foundation; NSF [ANT-0852064, PLR-1355533]</t>
  </si>
  <si>
    <t>National Science Foundation(National Science Foundation (NSF)); NSF(National Science Foundation (NSF))</t>
  </si>
  <si>
    <t>This paper is dedicated to John Martin who first publicized the importance of iron limitation in Antarctic waters, and to George Llano, the original biological program director of the NSF Antarctic Research Program, who had the wisdom to support young scientists and to encourage their exploration of new directions in their field research. Gordon Robilliard, John Oliver, and Jim Barry each have spent many seasons at McMurdo Sound on this project and none of this project would have been done without their commitment. This paper rests on the data collected in 2010 and we acknowledge with thanks the hard work by the ROV crew: Julie Barber, David Burnett, Jennifer Fisher, Kevin O'Connor, D. J. Osborne, Tina Sanders, and Bob Zook. For taxonomic assistance with sponges over the years we thank Jerry Bakus, Dagmar Barthol, Pat Bergquist, Christian Goecke, Dorte Janussen, Vladimir Koltun, Henry Reiswig, Ole Tendel, and Rob van Soest. We thank Peter Brueggeman for his support and help over many years. We strongly recommend that future workers consult his Antarctic field guide that has become the authority on photo identification: http://www.peterbrueggeman.com/nsf/fguide/index.html. In addition, we recommend his history of Antarctic diving found at http://www.peterbrueggeman.com/uw/DivingUnderAntarcticIceHistory.pdf. This paper is based upon work supported by the National Science Foundation. We acknowledge the visionary leadership of G. A. Llano and J. Twiss in the 1960s and 1970s and R. L. Marinelli and S. Twombly for recognizing the value of long-term data sets and taking a chance on this project with NSF grant ANT-0852064. This paper would not have been written without an NSF EAGER grant PLR-1355533 greatly facilitated by C. D. Amsler. Any opinions, findings, and conclusions or recommendations expressed in this publication are those of the authors and do not necessarily reflect the views of the National Science Foundation. Manuscript reviews are an essential component of scientific publications; they take time and effort; and we are particularly grateful to Marc Slattery and an unidentified reviewer for very constructive reviews of this paper.</t>
  </si>
  <si>
    <t>1051-0761</t>
  </si>
  <si>
    <t>1939-5582</t>
  </si>
  <si>
    <t>ECOL APPL</t>
  </si>
  <si>
    <t>Ecol. Appl.</t>
  </si>
  <si>
    <t>e01823</t>
  </si>
  <si>
    <t>10.1002/eap.1823</t>
  </si>
  <si>
    <t>HG1BS</t>
  </si>
  <si>
    <t>WOS:000454685500014</t>
  </si>
  <si>
    <t>Granroth-Wilding, HMV; Phillips, RA</t>
  </si>
  <si>
    <t>Granroth-Wilding, Hanna M. V.; Phillips, Richard A.</t>
  </si>
  <si>
    <t>Segregation in space and time explains the coexistence of two sympatric sub-Antarctic petrels</t>
  </si>
  <si>
    <t>IBIS</t>
  </si>
  <si>
    <t>allochrony; interspecific competition; niche differentiation; Procellariiformes; resource partitioning; sexual segregation; speciation; tracking</t>
  </si>
  <si>
    <t>NORTHERN GIANT PETRELS; SEXUAL SEGREGATION; HABITAT USE; MACRONECTES-HALLI; FORAGING BEHAVIOR; SOUTH-GEORGIA; INDIAN-OCEAN; COMPETITION; ALBATROSSES; PLANT</t>
  </si>
  <si>
    <t>Biological communities are shaped by competition between and within species. Competition is often reduced by inter- and intraspecific specialization on resources, such as differencet foraging areas or time, allowing similar species to coexist and potentially contributing to reproductive isolation. Here, we examine the simultaneous role of temporal and spatial foraging segregation within and between two sympatric sister species of seabirds, Northern Macronectes halli and Southern Macronectes giganteus Giant Petrels. These species show marked sexual size dimorphism and allochrony (with earlier breeding by Northern Giant Petrels) but this is the first study to test for differences in foraging behaviours and areas across the entire breeding season both between the two species and between the sexes. We tracked males and females of both species in all breeding stages at Bird Island, South Georgia, to test how foraging distribution, behaviour and habitat use vary between and within species in biological time (incubation, brood-guard or post-brood stages) and in absolute time (calendar date). Within each breeding stage, both species took trips of comparable duration to similar areas, but due to breeding allochrony they segregated temporally. Northern Giant Petrels had a somewhat smaller foraging range than Southern Giant Petrels, reflecting their greater exploitation of local carrion and probably contributing to their recent higher population growth. Within species, segregation was spatial, with females generally taking longer, more pelagic trips than males, although both sexes of both species showed unexpectedly plastic foraging behaviour. There was little evidence of interspecific differences in habitat use. Thus, in giant petrels, temporal segregation reduces interspecific competition and sexual segregation reduces intraspecific competition. These results demonstrate how both specialization and dynamic changes in foraging strategies at different scales underpin resource division within a community.</t>
  </si>
  <si>
    <t>[Granroth-Wilding, Hanna M. V.] Univ Helsinki, Organismal &amp; Evolutionary Biol Res Programme, Dept Biosci, Viikinkaari 1, FIN-00014 Helsinki, Finland; [Phillips, Richard A.] British Antarctic Survey, Nat Environm Res Council, Madingley Rd, Cambridge CB3 0ET, England</t>
  </si>
  <si>
    <t>University of Helsinki; UK Research &amp; Innovation (UKRI); Natural Environment Research Council (NERC); NERC British Antarctic Survey</t>
  </si>
  <si>
    <t>Granroth-Wilding, HMV (corresponding author), Univ Helsinki, Organismal &amp; Evolutionary Biol Res Programme, Dept Biosci, Viikinkaari 1, FIN-00014 Helsinki, Finland.</t>
  </si>
  <si>
    <t>hanna@granroth-wilding.co.uk</t>
  </si>
  <si>
    <t>NERC; NERC [bas0100035] Funding Source: UKRI</t>
  </si>
  <si>
    <t>We are grateful to Helen Taylor for assistance with retrieval of devices on Bird Island, to Andy Wood for collation of the tracking data, to Tommy Clay for informative discussions on the analysis and to Sue Lewis for helpful comments on a draft manuscript. Constructive comments from two anonymous reviewers substantially improved the paper. This study represents a contribution to the Ecosystems component of the British Antarctic Survey Polar Science for Planet Earth Programme, funded by NERC.</t>
  </si>
  <si>
    <t>0019-1019</t>
  </si>
  <si>
    <t>1474-919X</t>
  </si>
  <si>
    <t>Ibis</t>
  </si>
  <si>
    <t>10.1111/ibi.12584</t>
  </si>
  <si>
    <t>Ornithology</t>
  </si>
  <si>
    <t>HG0AN</t>
  </si>
  <si>
    <t>WOS:000454604400009</t>
  </si>
  <si>
    <t>Laganà, P; Caruso, G; Corsi, I; Bergami, E; Venuti, V; Majolino, D; La Ferla, R; Azzaro, M; Cappello, S</t>
  </si>
  <si>
    <t>Lagana, Pasqualina; Caruso, Gabriella; Corsi, Ilaria; Bergami, Elisa; Venuti, Valentina; Majolino, Domenico; La Ferla, Rosabruna; Azzaro, Maurizio; Cappello, Simone</t>
  </si>
  <si>
    <t>Do plastics serve as a possible vector for the spread of antibiotic resistance? First insights from bacteria associated to a polystyrene piece from King George Island (Antarctica)</t>
  </si>
  <si>
    <t>INTERNATIONAL JOURNAL OF HYGIENE AND ENVIRONMENTAL HEALTH</t>
  </si>
  <si>
    <t>Plastic; Polystyrene; Plastisphere; Antibiotic resistance; Vector; Antarctica</t>
  </si>
  <si>
    <t>MARINE-ENVIRONMENT; ANTIMICROBIAL RESISTANCE; MICROBIAL COMMUNITIES; BIOFILM PRODUCTION; ROSS SEA; SP-NOV.; MICROPLASTICS; WATER; SEDIMENTS; STATION</t>
  </si>
  <si>
    <t>The retrieval of a polystyrene macro-plastic piece stranded on the shores in King George Island (South Shetlands, Antarctica) gave the opportunity to explore the associated bacterial flora. A total of 27 bacterial isolates were identified by molecular 16s rRNA gene sequencing and 7 strains were selected and screened for their ability to produce biofilm and antibiotic susceptibility profiles. All the bacterial isolates were able to produce biofilm. The Kirby-Bauer disk diffusion susceptibility test to 34 antibiotics showed multiple antibiotic resistances against the molecules cefuroxime and cefazolin (belonging to cephalosporins), cinoxacin (belonging to quinolones) and ampicillin, amoxicillin + clavulanic acid, carbenicillin and mezlocillin (belonging to beta-lactams). The obtained results suggest that plastics can serve as vectors for the spread of multiple resistances to antibiotics across Antarctic marine environments and underline the relevance of future studies on this topic.</t>
  </si>
  <si>
    <t>[Lagana, Pasqualina] Univ Messina, Dept Biochem &amp; Dent Sci &amp; Morphol &amp; Funct Images, Messina, Italy; [Caruso, Gabriella; La Ferla, Rosabruna; Azzaro, Maurizio; Cappello, Simone] Natl Res Council CNR, Inst Coastal Marine Environm IAMC, Messina, Italy; [Corsi, Ilaria; Bergami, Elisa] Univ Siena, Dept Phys Earth &amp; Environm Sci, Siena, Italy; [Venuti, Valentina; Majolino, Domenico] Univ Messina, Dept Math &amp; Comp Sci Phys Sci &amp; Earth Sci, Messina, Italy</t>
  </si>
  <si>
    <t>University of Messina; Consiglio Nazionale delle Ricerche (CNR); L'Istituto per l'Ambiente Marino Costiero (IAMC-CNR); University of Siena; University of Messina</t>
  </si>
  <si>
    <t>Caruso, G (corresponding author), Natl Res Council IAMC CNR, Inst Coastal Marine Environm, Spianata San Raineri 86, I-98122 Messina, Italy.</t>
  </si>
  <si>
    <t>plagana@unime.it; gabriella.caruso@iamc.cnr.it; ilaria.corsi@unisi.it; elisa.bergami@unisi.it; vvenuti@unime.it; dmajolino@unime.it; rosabruna.laferla@iamc.cnr.it; maurizio.azzaro@iamc.cnr.it; simone.cappello@iamc.cnr.it</t>
  </si>
  <si>
    <t>Bergami, Elisa/JFJ-1703-2023; Corsi, Ilaria/D-3795-2012; azzaro, Maurizio/AAE-6784-2019; Caruso, Gabriella/F-5450-2013</t>
  </si>
  <si>
    <t>Bergami, Elisa/0000-0001-8149-9584; Corsi, Ilaria/0000-0002-1811-3041; azzaro, Maurizio/0000-0001-7885-2340; Caruso, Gabriella/0000-0002-3819-5486; MAJOLINO, Domenico/0000-0002-2934-2587; la ferla, rosabruna/0000-0003-1029-7349</t>
  </si>
  <si>
    <t>Project of Italian National Antartic Program (PNRA) Plastic in Antartic Environment (PLANET) [PNRA 1400090]; PNRA Project Microbial colonization of benthic ANTarctic environments: response of microbial abundances, diversity, activities and larval settlement to natural or anthropogenic disturbances and search for secondary metabolites (ANT-BIOFILM) [PNRA 16_00105]; PNRA project Polymeric NANOparticles in tje marine environment and in Antarctic organisms (nanoPANTA) [PNRA 1600075]</t>
  </si>
  <si>
    <t>Project of Italian National Antartic Program (PNRA) Plastic in Antartic Environment (PLANET); PNRA Project Microbial colonization of benthic ANTarctic environments: response of microbial abundances, diversity, activities and larval settlement to natural or anthropogenic disturbances and search for secondary metabolites (ANT-BIOFILM); PNRA project Polymeric NANOparticles in tje marine environment and in Antarctic organisms (nanoPANTA)</t>
  </si>
  <si>
    <t>This work was founded for 80% by the Project of Italian National Antartic Program (PNRA) Plastic in Antartic Environment (PLANET; PNRA 1400090) and for 10% by the PNRA Project Microbial colonization of benthic ANTarctic environments: response of microbial abundances, diversity, activities and larval settlement to natural or anthropogenic disturbances and search for secondary metabolites (ANT-BIOFILM, PNRA 16_00105) and for 10% by the PNRA project Polymeric NANOparticles in tje marine environment and in Antarctic organisms (nanoPANTA, PNRA 1600075). The present study was performed in the framework of the PhD project entitled: Polystyrene nanoparticles and their impact on marine ecosystems: accumulation, disposal and toxicity in marine species from Antarctic and Mediterranean Seas (dr. Elisa Bergami, PhD student, PhD School in Geological, Environmental and Polar sciences and technologies, Department of Physical, Earth and Environmental Sciences, University of Siena, Italy).</t>
  </si>
  <si>
    <t>1438-4639</t>
  </si>
  <si>
    <t>1618-131X</t>
  </si>
  <si>
    <t>INT J HYG ENVIR HEAL</t>
  </si>
  <si>
    <t>Int. J. Hyg. Environ. Health.</t>
  </si>
  <si>
    <t>10.1016/j.ijheh.2018.08.009</t>
  </si>
  <si>
    <t>Public, Environmental &amp; Occupational Health; Infectious Diseases</t>
  </si>
  <si>
    <t>HG0XD</t>
  </si>
  <si>
    <t>WOS:000454671700010</t>
  </si>
  <si>
    <t>Cavan, EL; Boyd, PW</t>
  </si>
  <si>
    <t>Cavan, E. L.; Boyd, P. W.</t>
  </si>
  <si>
    <t>Effect of anthropogenic warming on microbial respiration and particulate organic carbon export rates in the sub-Antarctic Southern Ocean</t>
  </si>
  <si>
    <t>Particulate organic carbon; Export; Microbes; Respiration; Metabolic theory of ecology</t>
  </si>
  <si>
    <t>POLAR FRONTAL ZONES; TEMPERATURE-DEPENDENCE; METABOLIC THEORY; SINKING VELOCITY; MARINE SNOW; ENVIRONMENTAL DRIVERS; BACTERIAL PRODUCTION; INVERSE RELATIONSHIP; SEASONAL EVOLUTION; GROWTH EFFICIENCY</t>
  </si>
  <si>
    <t>Microbial respiration of particulate organic carbon (POC) is one of the key processes controlling the magnitude of POC export from the surface ocean and its storage on long timescales in the deep. Metabolic processes are a function of temperature, such that warming sea temperatures should increase microbial respiration, potentially reducing POC export. To investigate this in the Southern Ocean, we measured microbial oxygen consumption of large particles over a 10 degrees C temperature range (summer maximum +8 degrees C) to then estimate the decrease in export by 2100. Our results showed that POC-normalised respiration increased with warming. We estimate that POC export (scaled to primary production) could decrease by 17 +/- 7 % (SE) by 2100, using projected regional warming (+1.9 degrees C) from the IPCC RCP 8.5 ('business-as-usual' scenario) for our subAntarctic site. Increased microbial respiration is one of many processes that will be altered by future climate change, which could all modify carbon storage in the future. Our estimate of the potential decline in carbon sequestration is within previous estimates from lab and field experiments, but higher than simple mechanistic models. To explore our results further, we used the metabolic theory of ecology (MTE) to determine the activation energy of microbial respiration, which was 0.9 eV. This is higher than classical MTE (0.6-0.7 eV), suggesting that sub-Antarctic microbes are particularly sensitive to temperature change. Such regional characteristics in the response of organisms to increased temperatures should be accounted for in large-scale or global model analyses to ensure that the results do not underestimate microbial responses to warming.</t>
  </si>
  <si>
    <t>[Cavan, E. L.; Boyd, P. W.] Univ Tasmania, Inst Marine &amp; Antarctic Studies, 20 Castray Esplanade, Battery Point, Tas 7004, Australia; [Boyd, P. W.] Univ Tasmania, Antarctic Climate &amp; Ecosyst CRC, 20 Castray Esplanade, Battery Point, Tas 7004, Australia</t>
  </si>
  <si>
    <t>University of Tasmania; University of Tasmania</t>
  </si>
  <si>
    <t>Cavan, EL (corresponding author), Univ Tasmania, Inst Marine &amp; Antarctic Studies, 20 Castray Esplanade, Battery Point, Tas 7004, Australia.</t>
  </si>
  <si>
    <t>emma.cavan@utas.edu.au</t>
  </si>
  <si>
    <t>Cavan, Emma/AFY-2671-2022; Boyd, Philip/J-7624-2014</t>
  </si>
  <si>
    <t>Boyd, Philip/0000-0001-7850-1911</t>
  </si>
  <si>
    <t>Australian Research Council by a Laureate</t>
  </si>
  <si>
    <t>Australian Research Council by a Laureate(Australian Research Council)</t>
  </si>
  <si>
    <t>This work was funded by the Australian Research Council by a Laureate awarded to P.W.B. We thank the crew and officers of the RV 'Investigator' and Matthieu Bressac and Emmanuel Laurenceau-Cornec for assistance in deploying the ISPs and plankton net; Thomas Rodemann for running the POC samples at the Central Science Laboratory at the University of Tasmania; Scott Nodder (NIWA, New Zealand) for the provision of unpublished data; and finally, 3 anonymous reviewers and the editor whose comments and insights greatly improved this manuscript. All data and R code used to produce the key figures and analysis can be found at https://github.com/e-cavan/Southern_ Ocean_Microbial_Respiration.</t>
  </si>
  <si>
    <t>10.3354/ame01889</t>
  </si>
  <si>
    <t>HF6CI</t>
  </si>
  <si>
    <t>Green Accepted, Bronze, Green Submitted</t>
  </si>
  <si>
    <t>WOS:000454321300001</t>
  </si>
  <si>
    <t>Spackeen, JL; Sipler, RE; Bertrand, EM; Xu, K; McQuaid, JB; Walworth, NG; Hutchins, DA; Allen, AE; Bronk, DA</t>
  </si>
  <si>
    <t>Spackeen, Jenna L.; Sipler, Rachel E.; Bertrand, Erin M.; Xu, Kai; McQuaid, Jeffrey B.; Walworth, Nathan G.; Hutchins, David A.; Allen, Andrew E.; Bronk, Deborah A.</t>
  </si>
  <si>
    <t>Impact of temperature, CO2, and iron on nutrient uptake by a late-season microbial community from the Ross Sea, Antarctica</t>
  </si>
  <si>
    <t>Ross Sea; Temperature; CO2; Iron; Uptake; Nitrate; DIC</t>
  </si>
  <si>
    <t>INORGANIC CARBON UPTAKE; CONTINUOUS-CULTURE SYSTEM; PHYTOPLANKTON COMMUNITY; CONCENTRATING MECHANISMS; MARINE-PHYTOPLANKTON; OCEAN ACIDIFICATION; CLIMATE-CHANGE; NITROGEN UPTAKE; GROWTH; NITRATE</t>
  </si>
  <si>
    <t>The Southern Ocean is rapidly changing as a result of rising sea surface temperatures, elevated CO2 concentrations, and modifications to iron sources and sinks. The Southern Ocean has seasonally high rates of primary production, making it critical to determine how changes will impact biogeochemical rate processes in this important sink for CO2. During the austral summer, we measured nitrogen and carbon uptake rates by a late-season Ross Sea microbial community under different potential climate change conditions. A natural microbial assemblage was collected from the ice edge, and grown using a semi-continuous culturing followed by a continuous culturing 'ecostat' approach. The individual and combined impacts of temperature elevation and iron addition were tested during both approaches, and CO2 level was also manipulated during the continuous experiment. Nutrient concentrations and biomass parameters were measured throughout both experiments. During the continuous experiment we also measured uptake rates of nitrate (NO3-) and dissolved inorganic carbon (DIC) by 2 size classes (0.7-5.0 and &gt;5.0 mu m) of microorganisms. Of the parameters tested, temperature elevation had the largest impact, significantly increasing NO3- and DIC uptake rates by larger microorganisms. Iron addition was also important; however, the magnitude of its impact was greater when temperature was also changed. These results indicate that NO3- and DIC uptake rates may increase as sea surface warming occurs in the Southern Ocean, and thus have important implications for estimating new production and potential carbon uptake and eventual export to the deep sea.</t>
  </si>
  <si>
    <t>[Spackeen, Jenna L.; Sipler, Rachel E.; Bronk, Deborah A.] Coll William &amp; Mary, Virginia Inst Marine Sci, POB 1346, Gloucester Point, VA 23062 USA; [Sipler, Rachel E.] Mem Univ Newfoundland, Dept Ocean Sci, St John, NF A1C 5S7, Canada; [Bertrand, Erin M.] Dalhousie Univ, Dept Biol, Halifax, NS B3H 4R2, Canada; [Bertrand, Erin M.; McQuaid, Jeffrey B.; Allen, Andrew E.] J Craig Venter Inst, Microbial &amp; Environm Genom, La Jolla, CA 92037 USA; [Bertrand, Erin M.; McQuaid, Jeffrey B.; Allen, Andrew E.] Univ Calif San Diego, Integrat Oceanog Div, Scripps Inst Oceanog, La Jolla, CA 92037 USA; [Xu, Kai; Walworth, Nathan G.; Hutchins, David A.] Univ Southern Calif, Dept Biol Sci, 3616 Trousdale Pkwy, Los Angeles, CA 90089 USA; [Xu, Kai] Xiamen Univ, State Key Lab Marine Environm Sci, Xiamen 361102, Fujian, Peoples R China; [Bronk, Deborah A.] Bigelow Lab Ocean Sci, East Boothbay, ME 04544 USA</t>
  </si>
  <si>
    <t>William &amp; Mary; Virginia Institute of Marine Science; Memorial University Newfoundland; Dalhousie University; J. Craig Venter Institute; University of California System; University of California San Diego; Scripps Institution of Oceanography; University of Southern California; Xiamen University; Bigelow Laboratory for Ocean Sciences</t>
  </si>
  <si>
    <t>Spackeen, JL (corresponding author), Coll William &amp; Mary, Virginia Inst Marine Sci, POB 1346, Gloucester Point, VA 23062 USA.</t>
  </si>
  <si>
    <t>j.spackeen@gmail.com</t>
  </si>
  <si>
    <t>Hutchins, David A/D-3301-2013; Allen, Andrew E/C-4896-2012</t>
  </si>
  <si>
    <t>Hutchins, David A/0000-0002-6637-756X; Allen, Andrew E/0000-0001-5911-6081</t>
  </si>
  <si>
    <t>National Science Foundation [1043635, 1043671, 1043748]; NSF GK-12 [DGE-0840804]</t>
  </si>
  <si>
    <t>National Science Foundation(National Science Foundation (NSF)); NSF GK-12(National Science Foundation (NSF))</t>
  </si>
  <si>
    <t>Thanks to Q. N. Roberts and M. P. Sanderson for help with laboratory analyses. We are grateful to Jen Erxleben and countless other Antarctic Support Contractors who made this research possible. Comments from 2 anonymous reviewers and Elizabeth Canuel, Michael Lomas, Deborah Steinberg, and Peter Van Veld helped improve this manuscript. This work was supported by grant numbers 1043635, 1043671, and 1043748, awarded to D.A.B., A.E.A., and D.A.H., respectively, from the National Science Foundation; J.L.S. also received support from NSF GK-12 (DGE-0840804). This paper is Contribution No. 3785 of the Virginia Institute of Marine Science.</t>
  </si>
  <si>
    <t>10.3354/ame01886</t>
  </si>
  <si>
    <t>WOS:000454321300003</t>
  </si>
  <si>
    <t>Bacior, M; Haranczyk, H; Nowak, P; Kijak, P; Marzec, M; Fitas, J; Olech, MA</t>
  </si>
  <si>
    <t>Bacior, M.; Haranczyk, H.; Nowak, P.; Kijak, P.; Marzec, M.; Fitas, J.; Olech, M. A.</t>
  </si>
  <si>
    <t>Low-temperature immobilization of water in Antarctic Turgidosculum complicatulum and in Prasiola crispa. Part I. Turgidosculum complicatulum</t>
  </si>
  <si>
    <t>COLLOIDS AND SURFACES B-BIOINTERFACES</t>
  </si>
  <si>
    <t>Freezing resistance; Phase growth; Lichens; NMR; DSC</t>
  </si>
  <si>
    <t>ICE NUCLEATION ACTIVITY; BOUND WATER; PHOTOSYNTHETIC MEMBRANES; UMBILICARIA-APRINA; LICHEN MYCOBIONTS; CLADONIA-MITIS; DEHYDRATION; ANTIFREEZE; SURVIVAL; THALLUS</t>
  </si>
  <si>
    <t>The studies of low-temperature immobilization of bound water in Antarctic lichenized fungus Turgidosculum complicatulum were performed using H-1 NMR and DSC over a wide range of thallus hydration. H-1 NMR free induction decays were decomposed into a solid component well described by the Gaussian function and two exponentially decaying components coming from a tightly bound water and from a loosely bound water fraction. H-1 NMR spectra revealed one averaged mobile proton signal component. H-1 NMR measurements recorded in time and in frequency domain suggest the non-cooperative bound water immobilization in T. complicatulum thallus. The threshold of the hydration level estimated by H-1 NMR analysis at which the cooperative bound water freezing was detected was Delta m/m(0) approximate to 0.39, whereas for DSC analysis was equal to Delta m/m(0) = 0.375. Main ice melting estimated from DSC measurements for zero hydration level of the sample starts at t(m) = -(19.29 +/- 1.19) degrees C. However, DSC melting peak shows a composed form being a superposition of the main narrow peak (presumably melting of mycobiont areas) and a broad low-temperature shoulder (presumably melting of isolated photobiont cells). DSC traces recorded after two-hour incubation of T. complicatulum thallus at -20 degrees C suggest much lower threshold level of hydration at which the ice formation occurs (Delta m/m(0) = 0.0842). Presumably it is a result of diffusion induced migration of separated water molecules to ice microcrystallites already present in thallus, but still beyond the calorimeter resolution.</t>
  </si>
  <si>
    <t>[Bacior, M.] Agr Univ Krakow, Dept Phys, Al Mickiewicza 21, PL-31120 Krakow, Poland; [Haranczyk, H.; Kijak, P.; Marzec, M.] Jagiellonian Univ, Inst Phys, Ul Prof Stanislawa Lojasiewicza 11, PL-30348 Krakow, Poland; [Nowak, P.] AGH Univ Sci &amp; Technol, Fac Comp Sci Elect &amp; Telecommun, Al Mickiewicza 30, PL-30059 Krakow, Poland; [Fitas, J.] Agr Univ Krakow, Dept Mech Engn &amp; Agrophys, Al Mickiewicza 21, PL-31120 Krakow, Poland; [Olech, M. A.] Jagiellonian Univ, Inst Bot, Ul Kopernika 27, PL-31501 Krakow, Poland; [Olech, M. A.] Polish Acad Sci, Inst Biochem &amp; Biophys, Ul Pawinskiego 5a, PL-02106 Warsaw, Poland</t>
  </si>
  <si>
    <t>Agricultural University Krakow; Jagiellonian University; AGH University of Krakow; Agricultural University Krakow; Jagiellonian University; Polish Academy of Sciences; Institute of Biochemistry &amp; Biophysics - Polish Academy of Sciences</t>
  </si>
  <si>
    <t>Bacior, M (corresponding author), Agr Univ Krakow, Dept Phys, Al Mickiewicza 21, PL-31120 Krakow, Poland.</t>
  </si>
  <si>
    <t>m.bacior@ur.krakow.pl</t>
  </si>
  <si>
    <t>Bacior, Magdalena/JNR-7147-2023; Nowak, Piotr/AAU-2296-2020</t>
  </si>
  <si>
    <t>Bacior, Magdalena/0000-0003-4615-9458; Kijak, Paulina/0000-0001-7332-977X; Fitas, Jakub/0000-0002-4681-4945; Marzec, Monika/0000-0002-4854-9567</t>
  </si>
  <si>
    <t>European Regional Development Fund [POIG.02.01.00-12-023/08]; Polish Ministry of Science and Higher Education (MNiSW) [7150/E-338/M/2015, 7150/E-338/M/2016]</t>
  </si>
  <si>
    <t>European Regional Development Fund(European Union (EU)); Polish Ministry of Science and Higher Education (MNiSW)(Ministry of Science and Higher Education, Poland)</t>
  </si>
  <si>
    <t>The research was carried out with the equipment purchased thanks to the financial support of the European Regional Development Fund in the framework of the Polish Innovation Economy Operational Program (contract no. POIG.02.01.00-12-023/08) and also financed by the Polish Ministry of Science and Higher Education (MNiSW, contract no. 7150/E-338/M/2015 and 7150/E-338/M/2016).</t>
  </si>
  <si>
    <t>0927-7765</t>
  </si>
  <si>
    <t>1873-4367</t>
  </si>
  <si>
    <t>COLLOID SURFACE B</t>
  </si>
  <si>
    <t>Colloid Surf. B-Biointerfaces</t>
  </si>
  <si>
    <t>10.1016/j.colsurfb.2018.10.059</t>
  </si>
  <si>
    <t>Biophysics; Chemistry, Physical; Materials Science, Biomaterials</t>
  </si>
  <si>
    <t>Biophysics; Chemistry; Materials Science</t>
  </si>
  <si>
    <t>HF6VV</t>
  </si>
  <si>
    <t>WOS:000454377300102</t>
  </si>
  <si>
    <t>Mori, M; Corney, SP; Melbourne-Thomas, J; Klocker, A; Kawaguchi, S; Constable, A; Sumner, M</t>
  </si>
  <si>
    <t>Mori, Mao; Corney, Stuart P.; Melbourne-Thomas, Jessica; Klocker, Andreas; Kawaguchi, So; Constable, Andrew; Sumner, Michel</t>
  </si>
  <si>
    <t>Modelling dispersal of juvenile krill released from the Antarctic ice edge: Ecosystem implications of ocean movement</t>
  </si>
  <si>
    <t>JOURNAL OF MARINE SYSTEMS</t>
  </si>
  <si>
    <t>Lagrangian particle tracking; Sea ice edge retreat; Antarctic krill; Surface krill patches; Satellite derived velocity</t>
  </si>
  <si>
    <t>EUPHAUSIA-SUPERBA; SEA-ICE; SOUTHERN-OCEAN; SEASONAL DISTRIBUTION; AUSTRAL SUMMER; PATTERNS; EXTENT; CONNECTIONS; DEMOGRAPHY; ABUNDANCE</t>
  </si>
  <si>
    <t>Sea ice retreat is a key event affecting Southern Ocean ecosystems during spring and summer. The impacts of this change can be seen in these ecosystems from primary producers to top predators, through biological, chemical and physical systems. We apply a Lagrangian particle tracking method to investigate transport processes from the retreating sea ice edge in the Southern Ocean during spring and summer. The resulting distribution of surface krill patches is used as a case study for our modelling approach. Antarctic krill (Euphausia superba), a secondary producer, plays a key role in the Southern Ocean ecosystems. Antarctic krill are highly abundant in the Southern Ocean with a complex distribution pattern both in the horizontal and vertical dimensions. Observations dating back to the 1930s show that juvenile krill often form surface patches - high density clusters of krill at the ocean surface - throughout the Southern Ocean during the spring and summer seasons. We develop a hypothesis, based on historical observations, that surface krill patches composed of juvenile krill move passively with ocean currents after their release from the sea ice edge zone in spring. Applying this hypothesis and method to the Southern Hemisphere spring/summer, leads to results that indicate that the observed changes in distribution of krill patches from historical to contemporary records could be related to the southward shift of the sea ice edge over the last century.</t>
  </si>
  <si>
    <t>[Mori, Mao; Corney, Stuart P.; Klocker, Andreas] Univ Tasmania, Inst Marine &amp; Antarctic Studies, Private Bag 129, Hobart, Tas 7001, Australia; [Mori, Mao; Melbourne-Thomas, Jessica; Klocker, Andreas; Kawaguchi, So; Constable, Andrew] Antarctic Climate &amp; Ecosyst Cooperat Res Ctr, Private Bag 80, Hobart, Tas 7001, Australia; [Melbourne-Thomas, Jessica; Kawaguchi, So; Constable, Andrew; Sumner, Michel] Australian Antarctic Div, 203 Channel Highway, Kingston, Tas 7050, Australia; [Klocker, Andreas] Univ Tasmania, Ctr Excellence Climate Syst Sci, Australian Res Council, Hobart, Tas 7004, Australia</t>
  </si>
  <si>
    <t>University of Tasmania; Antarctic Climate &amp; Ecosystems Cooperative Research Centre (ACE CRC); Australian Antarctic Division; University of Tasmania</t>
  </si>
  <si>
    <t>Mori, M (corresponding author), Antarctic Climate &amp; Ecosyst Cooperat Res Ctr, Private Bag 80, Hobart, Tas 7001, Australia.</t>
  </si>
  <si>
    <t>Mao.Mori@utas.edu.au</t>
  </si>
  <si>
    <t>Melbourne-Thomas, Jess/N-2437-2019; Kawaguchi, So/N-1795-2017; Sumner, Michael D/J-3478-2013; Klocker, Andreas/E-4632-2011</t>
  </si>
  <si>
    <t>Melbourne-Thomas, Jess/0000-0001-6585-876X; Kawaguchi, So/0000-0002-2042-5095; Klocker, Andreas/0000-0002-2038-7922; Mori, Mao/0000-0001-6501-9261; Sumner, Michael/0000-0002-2471-7511</t>
  </si>
  <si>
    <t>Australian Government's Cooperative Research Centres Programme through the Antarctic Climate &amp; Ecosystems Cooperative Research Centre (ACE CRC); Australian Government's Cooperative Research Centres Programme through Australian Antarctic Science Program [4343, 4347]; Australian Research Council [DE140100076]; Australian Research Council [DE140100076] Funding Source: Australian Research Council</t>
  </si>
  <si>
    <t>Australian Government's Cooperative Research Centres Programme through the Antarctic Climate &amp; Ecosystems Cooperative Research Centre (ACE CRC)(Australian GovernmentDepartment of Industry, Innovation and ScienceCooperative Research Centres (CRC) Programme); Australian Government's Cooperative Research Centres Programme through Australian Antarctic Science Program; Australian Research Council(Australian Research Council); Australian Research Council(Australian Research Council)</t>
  </si>
  <si>
    <t>This work was supported by the Australian Government's Cooperative Research Centres Programme through the Antarctic Climate &amp; Ecosystems Cooperative Research Centre (ACE CRC) and through the Australian Antarctic Science Program (Projects 4343 and 4347). We thank Dr. Masato Moteki for providing surface krill patch data collected by UMITAKA MARU. We also strongly appreciate significant contributions from two reviewers and Professor Hofmann to improve our manuscript. AK was supported by an Australian Research Council Discovery Early Career Researcher Award (DE140100076).</t>
  </si>
  <si>
    <t>0924-7963</t>
  </si>
  <si>
    <t>1879-1573</t>
  </si>
  <si>
    <t>J MARINE SYST</t>
  </si>
  <si>
    <t>J. Mar. Syst.</t>
  </si>
  <si>
    <t>10.1016/j.jmarsys.2018.09.005</t>
  </si>
  <si>
    <t>Geosciences, Multidisciplinary; Marine &amp; Freshwater Biology; Oceanography</t>
  </si>
  <si>
    <t>Geology; Marine &amp; Freshwater Biology; Oceanography</t>
  </si>
  <si>
    <t>HF8AU</t>
  </si>
  <si>
    <t>WOS:000454464100005</t>
  </si>
  <si>
    <t>Li, M; Neumayer, KH; Flechtner, F; Lu, B; Förste, C; He, KF; Xu, TH</t>
  </si>
  <si>
    <t>Li, Min; Neumayer, Karl-Hans; Flechtner, Frank; Lu, Biao; Foerste, Christoph; He, Kaifei; Xu, Tianhe</t>
  </si>
  <si>
    <t>Performance Assessment of Multi-GNSS Precise Velocity and Acceleration Determination over Antarctica</t>
  </si>
  <si>
    <t>JOURNAL OF NAVIGATION</t>
  </si>
  <si>
    <t>Network solution; Standalone receiver; DGPS; Antarctica; GPS; GLONASS; Galileo; BeiDou</t>
  </si>
  <si>
    <t>GPS; RESOLUTION; BEIDOU</t>
  </si>
  <si>
    <t>A conventional Differential GPS (DGPS) techniques-based velocity and acceleration method (named here as 'DVA') may be difficult to implement in the Antarctic as there is a sparse distribution of reference stations over Antarctica. Thus, in order to overcome the baseline limitations and to obtain highly accurate and reliable velocity and acceleration estimates for airborne gravimetry, a network-based velocity and acceleration determination approach (named here as 'NVA'), which introduces a wide network of stations and is independent of precise clock information, is applied. Here its performance for velocity and acceleration determination is fully exploited by using Global Positioning System (GPS), GLONASS, Galileo and BeiDou observations. Additionally, a standalone receiver-based method named 'SVA', which requires precise clock information, is also implemented for comparison. During static tests and a flight experiment over Antarctica, it was found that the NVA method yields more robust results than the SVA and DVA methods when applied to a wide area network. Moreover, the addition of GLONASS. Galileo and BeiDou systems can increase the accuracy of velocity and acceleration estimates by 39% and 43% with NVA compared to a GPS-only solution.</t>
  </si>
  <si>
    <t>[Li, Min; Neumayer, Karl-Hans; Flechtner, Frank; Lu, Biao; Foerste, Christoph] GFZ German Res Ctr Geosci, D-14473 Potsdam, Germany; [Li, Min; Flechtner, Frank; Lu, Biao] Tech Univ Berlin, Dept Geodesy &amp; Geoinformat Sci, D-10623 Berlin, Germany; [Lu, Biao] Wuhan Univ, Sch Geodesy &amp; Geomat, Wuhan 430072, Hubei, Peoples R China; [He, Kaifei] China Univ Petr East China, Sch Geosci, Qingdao 266580, Peoples R China; [Xu, Tianhe] Shandong Univ, Inst Space Sci, Weihai 264209, Peoples R China</t>
  </si>
  <si>
    <t>Helmholtz Association; Helmholtz-Center Potsdam GFZ German Research Center for Geosciences; Technical University of Berlin; Wuhan University; China University of Petroleum; Shandong University</t>
  </si>
  <si>
    <t>Li, M (corresponding author), GFZ German Res Ctr Geosci, D-14473 Potsdam, Germany.;Li, M (corresponding author), Tech Univ Berlin, Dept Geodesy &amp; Geoinformat Sci, D-10623 Berlin, Germany.</t>
  </si>
  <si>
    <t>minli@gfz-potsdam.de</t>
  </si>
  <si>
    <t>He, Kaifei/L-2699-2016; Lu, Biao/AAG-2569-2020</t>
  </si>
  <si>
    <t>He, Kaifei/0000-0001-6763-9149; Lu, Biao/0000-0003-0859-650X; Flechtner, Frank/0000-0002-3093-5558</t>
  </si>
  <si>
    <t>Chinese Scholarship Council [201506560002]; National Natural Science Foundation of China [41604027, 41574013, 41731069]; Qingdao National Laboratory for Marine Science and Technology [QNLM2016ORP0401]; State Key Laboratory of Geo-information Engineering [SKLGIE2017-Z-1-2]</t>
  </si>
  <si>
    <t>Chinese Scholarship Council(China Scholarship Council); National Natural Science Foundation of China(National Natural Science Foundation of China (NSFC)); Qingdao National Laboratory for Marine Science and Technology; State Key Laboratory of Geo-information Engineering</t>
  </si>
  <si>
    <t>This study is supported by the Chinese Scholarship Council (No. 201506560002). We are grateful to our colleagues in GFZ for their kind help, cooperation, and discussion. We are also very thankful to Fausto Ferraccilio from British Antarctic Survey and Rene Forsberg from Danish Technical University/National Space Institute for provision of the GNSS data from ESA's PolarGap campaign. This work is partly funded and supported by National Natural Science Foundation of China (No. 41604027, 41574013 and 41731069), Qingdao National Laboratory for Marine Science and Technology (No. QNLM2016ORP0401) and State Key Laboratory of Geo-information Engineering (No. SKLGIE2017-Z-1-2).</t>
  </si>
  <si>
    <t>0373-4633</t>
  </si>
  <si>
    <t>1469-7785</t>
  </si>
  <si>
    <t>J NAVIGATION</t>
  </si>
  <si>
    <t>J. Navig.</t>
  </si>
  <si>
    <t>10.1017/S0373463318000656</t>
  </si>
  <si>
    <t>Engineering, Marine; Oceanography</t>
  </si>
  <si>
    <t>Engineering; Oceanography</t>
  </si>
  <si>
    <t>HF5UI</t>
  </si>
  <si>
    <t>WOS:000454299200001</t>
  </si>
  <si>
    <t>Polyakov, IV; Padman, L; Lenn, YD; Pnyushkov, A; Rember, R; Ivanov, VV</t>
  </si>
  <si>
    <t>Polyakov, Igor V.; Padman, Laurie; Lenn, Y. -D.; Pnyushkov, Andrey; Rember, Robert; Ivanov, Vladimir V.</t>
  </si>
  <si>
    <t>Eastern Arctic Ocean Diapycnal Heat Fluxes through Large Double-Diffusive Steps</t>
  </si>
  <si>
    <t>JOURNAL OF PHYSICAL OCEANOGRAPHY</t>
  </si>
  <si>
    <t>Diapycnal mixing; Mixing</t>
  </si>
  <si>
    <t>SEA-ICE LOSS; EURASIAN BASIN; NANSEN BASIN; MICROSTRUCTURE; DISSIPATION; VARIABILITY; STAIRCASES; INTERFACE; TRANSPORT; IMPACT</t>
  </si>
  <si>
    <t>The diffusive layering (DL) form of double-diffusive convection cools the Atlantic Water (AW) as it circulates around the Arctic Ocean. Large DL steps, with heights of homogeneous layers often greater than 10 m, have been found above the AW core in the Eurasian Basin (EB) of the eastern Arctic. Within these DL staircases, heat and salt fluxes are determined by the mechanisms for vertical transport through the high-gradient regions (HGRs) between the homogeneous layers. These HGRs can be thick (up to 5 m and more) and are frequently complex, being composed of multiple small steps or continuous stratification. Microstructure data collected in the EB in 2007 and 2008 are used to estimate heat fluxes through large steps in three ways: using the measured dissipation rate in the large homogeneous layers; utilizing empirical flux laws based on the density ratio and temperature step across HGRs after scaling to account for the presence of multiple small DL interfaces within each HGR; and averaging estimates of heat fluxes computed separately for individual small interfaces (as laminar conductive fluxes), small convective layers (via dissipation rates within small DL layers), and turbulent patches (using dissipation rate and buoyancy) within each HGR. Diapycnal heat fluxes through HGRs evaluated by each method agree with each other and range from 2 to 8 W m(-2), with an average flux of 3-4 W m(-2). These large fluxes confirm a critical role for the DL instability in cooling and thickening the AW layer as it circulates around the eastern Arctic Ocean.</t>
  </si>
  <si>
    <t>[Polyakov, Igor V.; Pnyushkov, Andrey; Rember, Robert] Univ Alaska Fairbanks, Int Arctic Res Ctr, Fairbanks, AK 99775 USA; [Polyakov, Igor V.] Univ Alaska Fairbanks, Coll Nat Sci &amp; Math, Fairbanks, AK 99775 USA; [Padman, Laurie] Earth &amp; Space Res, Corvallis, OR USA; [Lenn, Y. -D.] Bangor Univ, Sch Ocean Sci, Menai Bridge, Gwynedd, Wales; [Ivanov, Vladimir V.] Arctic &amp; Antarctic Res Inst, St Petersburg, Russia; [Ivanov, Vladimir V.] Lomonosov Moscow State Univ, Moscow, Russia</t>
  </si>
  <si>
    <t>University of Alaska System; University of Alaska Fairbanks; University of Alaska System; University of Alaska Fairbanks; Bangor University; Arctic &amp; Antarctic Research Institute; Lomonosov Moscow State University</t>
  </si>
  <si>
    <t>Polyakov, IV (corresponding author), Univ Alaska Fairbanks, Int Arctic Res Ctr, Fairbanks, AK 99775 USA.;Polyakov, IV (corresponding author), Univ Alaska Fairbanks, Coll Nat Sci &amp; Math, Fairbanks, AK 99775 USA.</t>
  </si>
  <si>
    <t>ivpolyakov@alaska.edu</t>
  </si>
  <si>
    <t>Ivanov, Vladimir/J-5979-2014; Padman, Laurence/AAH-3808-2021; Pnyushkov, Andrey/M-3156-2019</t>
  </si>
  <si>
    <t>Ivanov, Vladimir/0000-0003-2569-6027; Pnyushkov, Andrey/0000-0001-9112-6458; Padman, Laurence/0000-0003-2010-642X</t>
  </si>
  <si>
    <t>NSF [AON-1203473, AON-1338948, 1249133, 1249182]; NERC [NE/D005752/1, NE/H016007/1]; Ministry of Science and Higher Education of the Russian Federation [RFMEFI61617X0076]; Directorate For Geosciences; Office of Polar Programs (OPP) [1249182] Funding Source: National Science Foundation; NERC [NE/R01275X/1, NE/H016007/1] Funding Source: UKRI</t>
  </si>
  <si>
    <t>NSF(National Science Foundation (NSF)); NERC(UK Research &amp; Innovation (UKRI)Natural Environment Research Council (NERC)); Ministry of Science and Higher Education of the Russian Federation; Directorate For Geosciences; Office of Polar Programs (OPP)(National Science Foundation (NSF)NSF - Directorate for Geosciences (GEO)); NERC(UK Research &amp; Innovation (UKRI)Natural Environment Research Council (NERC))</t>
  </si>
  <si>
    <t>The ship-based oceanographic observations in the eastern EB and Laptev Sea were conducted under the working frame of the NABOS project with support from NSF (Grants AON-1203473 and AON-1338948) and NERC (NE/D005752/1). Analyses presented in this paper are supported by NSF Grants 1249133 and 1249182 and NERC Grant NE/H016007/1. The Ice-Tethered Profiler data were collected and made available by the Ice-Tethered Profiler Program (Toole et al. 2011; Krishfield et al. 2008) based at the Woods Hole Oceanographic Institution (http://www.whoi.edu/itp).VI acknowledges funding from the Ministry of Science and Higher Education of the Russian Federation (Project RFMEFI61617X0076). We thank Jeff Carpenter and two anonymous reviewers for their valuable comments on previous versions of this manuscript.</t>
  </si>
  <si>
    <t>0022-3670</t>
  </si>
  <si>
    <t>1520-0485</t>
  </si>
  <si>
    <t>J PHYS OCEANOGR</t>
  </si>
  <si>
    <t>J. Phys. Oceanogr.</t>
  </si>
  <si>
    <t>10.1175/JPO-D-18-0080.1</t>
  </si>
  <si>
    <t>HG3HH</t>
  </si>
  <si>
    <t>WOS:000454864400001</t>
  </si>
  <si>
    <t>Cremen, MCM; Leliaert, F; West, J; Lam, DW; Shimada, S; Lopez-Bautista, JM; Verbruggen, H</t>
  </si>
  <si>
    <t>Cremen, Ma. Chiela M.; Leliaert, Frederik; West, John; Lam, Daryl W.; Shimada, Satoshi; Lopez-Bautista, Juan M.; Verbruggen, Heroen</t>
  </si>
  <si>
    <t>Reassessment of the classification of Bryopsidales (Chlorophyta) based on chloroplast phylogenomic analyses</t>
  </si>
  <si>
    <t>MOLECULAR PHYLOGENETICS AND EVOLUTION</t>
  </si>
  <si>
    <t>Siphonous green algae; Seaweeds; Chloroplast genome; Phylogeny; Ulvophyceae</t>
  </si>
  <si>
    <t>UDOTEACEAE BRYOPSIDALES; GENUS; SELECTION; HALIMEDA; GENOME; AVRAINVILLEA; ULVOPHYCEAE; DIVERSITY; ALGORITHM; ALIGNMENT</t>
  </si>
  <si>
    <t>The Bryopsidales is a morphologically diverse group of mainly marine green macroalgae characterized by a siphonous structure. The order is composed of three suborders - Ostreobineae, Bryopsidineae, and Halimedineae. While previous studies improved the higher-level classification of the order, the taxonomic placement of some genera in Bryopsidineae (Pseudobryopsis and Lambia) as well as the relationships between the families of Halimedineae remains uncertain. In this study, we re-assess the phylogeny of the order with datasets derived from chloroplast genomes, drastically increasing the taxon sampling by sequencing 32 new chloroplast genomes. The phylogenies presented here provided good support for the major lineages (suborders and most families) in Bryopsidales. In Bryopsidineae, Pseudobryopsis hainanensis was inferred as a distinct lineage from the three established families allowing us to establish the family Pseudobryopsidaceae. The Antarctic species Lambia antarctica was shown to be an early-branching lineage in the family Bryopsidaceae. In Halimedineae, we revealed several inconsistent phylogenetic positions of macroscopic taxa, and several entirely new lineages of microscopic species. A new classification scheme is proposed, which includes the merger of the families Pseudocodiaceae, Rhipiliaceae and Udoteaceae into a more broadly circumscribed Halimedaceae, and the establishment of tribes for the different lineages found therein. In addition, the deep-water genus Johnson-sea-linkia, currently placed in Rhipiliopsis, was reinstated based on our phylogeny.</t>
  </si>
  <si>
    <t>[Cremen, Ma. Chiela M.; West, John; Verbruggen, Heroen] Univ Melbourne, Sch BioSci, Parkville, Vic 3010, Australia; [Leliaert, Frederik] Bot Garden Meise, B-1860 Meise, Belgium; [Leliaert, Frederik] Univ Ghent, Dept Biol, Phycol Res Grp, B-9000 Ghent, Belgium; [Lam, Daryl W.; Lopez-Bautista, Juan M.] Univ Alabama, Dept Biol Sci, Tuscaloosa, AL 35487 USA; [Lam, Daryl W.; Shimada, Satoshi; Lopez-Bautista, Juan M.] Ochanomizu Univ, Nat Sci Div, Fac Core Res, Bunkyo Ku, 2-1-1 Otsuka, Tokyo 1128610, Japan</t>
  </si>
  <si>
    <t>University of Melbourne; Ghent University; University of Alabama System; University of Alabama Tuscaloosa; Ochanomizu University</t>
  </si>
  <si>
    <t>Cremen, MCM (corresponding author), Univ Melbourne, Sch BioSci, Parkville, Vic 3010, Australia.</t>
  </si>
  <si>
    <t>chiecremen@gmail.com</t>
  </si>
  <si>
    <t>Leliaert, Frederik/A-9162-2009; Verbruggen, Heroen/C-6951-2009; Cremen, Ma. Chiela/B-4139-2019</t>
  </si>
  <si>
    <t>Leliaert, Frederik/0000-0002-4627-7318; Verbruggen, Heroen/0000-0002-6305-4749; Shimada, Satoshi/0000-0003-4810-4303; Cremen, Ma. Chiela/0000-0003-0226-5881</t>
  </si>
  <si>
    <t>Australian Biological Resources Study [RFL213-08]; Australian Research Council [DP150100705]; University of Melbourne (MIRS/MIFRS); Holsworth Wildlife Research Endowment; National Science Foundation [GRAToL 10136495]; Melbourne Bioinformatics [UOM0007]; National Collaborative Research Infrastructure Strategy (NCRIS); Alabama Supercomputer Authority</t>
  </si>
  <si>
    <t>Australian Biological Resources Study; Australian Research Council(Australian Research Council); University of Melbourne (MIRS/MIFRS); Holsworth Wildlife Research Endowment; National Science Foundation(National Science Foundation (NSF)); Melbourne Bioinformatics(University of Melbourne); National Collaborative Research Infrastructure Strategy (NCRIS)(Australian GovernmentDepartment of Industry, Innovation and Science); Alabama Supercomputer Authority</t>
  </si>
  <si>
    <t>This work was supported by the Australian Biological Resources Study (RFL213-08), the Australian Research Council (DP150100705), the University of Melbourne (MIRS/MIFRS to MCMC), the Holsworth Wildlife Research Endowment, and the National Science Foundation (GRAToL 10136495) to JLB. We used computational resources from Melbourne Bioinformatics (project UOM0007) and the Nectar Research Cloud, a collaborative Australian research platform supported by the National Collaborative Research Infrastructure Strategy (NCRIS) and the Alabama Supercomputer Authority. We thank Claude Payri for facilitating the fieldwork in PNG; Stephanie Muller (CSHL), Roger Nielsen (GGF), and Ting-ting Wang (Novogene) for the assistance they provided during the sequencing of the samples; Tim Entwisle and Andrew Drinnan for helpful discussions on classification schemes; Mike Guiry for the nomenclatural advice; the people from Verbruggen lab especially Margaret Brookes, Joana Costa, Pilar Diaz, Chirs Jackson, and Vanessa Marcelino, for the fruitful discussions. The authors declare no conflict of interest.</t>
  </si>
  <si>
    <t>ACADEMIC PRESS INC ELSEVIER SCIENCE</t>
  </si>
  <si>
    <t>SAN DIEGO</t>
  </si>
  <si>
    <t>525 B ST, STE 1900, SAN DIEGO, CA 92101-4495 USA</t>
  </si>
  <si>
    <t>1055-7903</t>
  </si>
  <si>
    <t>1095-9513</t>
  </si>
  <si>
    <t>MOL PHYLOGENET EVOL</t>
  </si>
  <si>
    <t>Mol. Phylogenet. Evol.</t>
  </si>
  <si>
    <t>10.1016/j.ympev.2018.09.009</t>
  </si>
  <si>
    <t>HE0NH</t>
  </si>
  <si>
    <t>Green Submitted, Green Published</t>
  </si>
  <si>
    <t>WOS:000452963200035</t>
  </si>
  <si>
    <t>Walker, LVF</t>
  </si>
  <si>
    <t>Ferrada Walker, Luis Valentin</t>
  </si>
  <si>
    <t>CHALLENGES AND ACHIEVEMENTS OF THE ANTARCTIC ENVIRONMENT PROTOCOL AFTER 20 YEARS IN FORCE</t>
  </si>
  <si>
    <t>REVISTA ESTUDIOS HEMISFERICOS Y POLARES</t>
  </si>
  <si>
    <t>Environmental Protocol; Antarctic Treaty System's Evolution; Challenges and Achievements of the Protocol</t>
  </si>
  <si>
    <t>The Environmental Protocol to the Antarctic Treaty's historical-legal meaning and contribution to the development of the Antarctic activities' regulations is analyzed. Its main challenges and the areas that need deeper normative development are determined. The importance of the environment's recognition as an object to be protected by the Antarctic Treaty System is highlighted, but it is also emphasized the need to solve some existing problems. The Protocol has been indubitably a milestone in the relation of the human being with Antarctica, but it must continue it progressive development to front new challenges of today and tomorrow.</t>
  </si>
  <si>
    <t>[Ferrada Walker, Luis Valentin] Univ Chile, Santiago, Chile</t>
  </si>
  <si>
    <t>Universidad de Chile</t>
  </si>
  <si>
    <t>Walker, LVF (corresponding author), Univ Chile, Fac Derecho, Dept Derecho Int, Av Santa Maria 076,Piso 4, Santiago, Chile.</t>
  </si>
  <si>
    <t>lvferrada@derecho.uchile.cl</t>
  </si>
  <si>
    <t>Ferrada, Luis Valentín/J-9334-2016</t>
  </si>
  <si>
    <t>CENTRO ESTUDIOS HEMISFERICOS &amp; POLARES</t>
  </si>
  <si>
    <t>VINA DEL MAR</t>
  </si>
  <si>
    <t>CALLE ROMA, 116, CALETA ABARCA, VINA DEL MAR, 2580060, CHILE</t>
  </si>
  <si>
    <t>0718-9230</t>
  </si>
  <si>
    <t>REV ESTUD HEMISFERIC</t>
  </si>
  <si>
    <t>Rev. Estud. Hemisfericos Polares</t>
  </si>
  <si>
    <t>Area Studies</t>
  </si>
  <si>
    <t>HF9GU</t>
  </si>
  <si>
    <t>WOS:000454551300001</t>
  </si>
  <si>
    <t>Orihuela, CE</t>
  </si>
  <si>
    <t>Espinoza Orihuela, Cesar</t>
  </si>
  <si>
    <t>A CHILEAN AMBASSADOR IN LONDON: JUAN MANUEL ARTURO BIANCHI GUNDIAN, 1947-1952</t>
  </si>
  <si>
    <t>Chilean Antarctic; Manuel Bianchi; Antarctic Policy</t>
  </si>
  <si>
    <t>The following article follows the line of anonymous heroes. Those who despite spending much of their lives serving the country go unnoticed by history in a kind of invisibility. Although at the time when they had to act, their political and diplomatic actions were far from being what we know today. This is the reason why this article focuses on the figure of the Chilean ambassador Juan Manuel Arturo Bianchi Gundian and his contribution to the Chilean antarctic policy, as well as his life and work, which has much to say, especially in the context in which he had to develop his political and diplomatic life.</t>
  </si>
  <si>
    <t>[Espinoza Orihuela, Cesar] Univ San Sebastian, Lientur 1457, Concepcion, Chile</t>
  </si>
  <si>
    <t>Universidad San Sebastian</t>
  </si>
  <si>
    <t>Orihuela, CE (corresponding author), Univ San Sebastian, Lientur 1457, Concepcion, Chile.</t>
  </si>
  <si>
    <t>espinoza.orihuela.cesar@gmail.com</t>
  </si>
  <si>
    <t>WOS:000454551300003</t>
  </si>
  <si>
    <t>Blackadder-Weinstein, J; Leon, GR; Norris, RC; Venables, NC; Smith, M</t>
  </si>
  <si>
    <t>Blackadder-Weinstein, Jodie; Leon, Gloria R.; Norris, Rachel C.; Venables, Noah C.; Smith, Michael</t>
  </si>
  <si>
    <t>Individual Attributes, Values, and Goals of an All-Military Women Antarctic Expedition</t>
  </si>
  <si>
    <t>AEROSPACE MEDICINE AND HUMAN PERFORMANCE</t>
  </si>
  <si>
    <t>women teams; isolated; confined; and extreme environments; personality; personal values</t>
  </si>
  <si>
    <t>PERSONAL VALUES; ARMED-FORCES; POLAR; PERFORMANCE; VALIDATION; TEAMS; MODEL</t>
  </si>
  <si>
    <t>BACKGROUND: While participation of women in the military has increased, research on performance of female teams engaged in arduous physical activity in isolated, confined, and extreme (ICE) environments remains sparse. METHODS: A team of six British military women completed the Multidimensional Personality Questionnaire-Brief Form, Triarchic Psychopathy Measure, and Personal Values Questionnaire (PVQ) prior to embarking on an expedition that traversed the Antarctic continent. Questionnaires were completed weekly on the ice; repeat of the PVQ and individual semistructured debriefing interviews were carried out within 9 d post-expedition. RESULTS: Personality findings indicated a generally well-adjusted group with notable individual differences in personality and personal values. Positive affect and camaraderie among teammates was evident throughout, although pace vs. distance in the strategy of the daily trek was a continuing point of tension. Honesty in communication was viewed as key to team effectiveness. A significant post-expedition decline in the tradition value (Pre M = 0.55, SD = 0.99; Post M = 0.82, SD = 1.12) and an increase in the conformity value (Pre M = 0.26, SD = 0.46; Post M = 0.18, SD = 0.27) was found. DISCUSSION: Congruence in personal and team goals among group members engaged in highly challenging activities is crucial for optimal team performance. Presence of two highly dominant individuals has a negative effect on team dynamics. Application of study findings to space exploration is considered.</t>
  </si>
  <si>
    <t>ICT Ctr, Acad Dept Mil Gen Practice, Edgbaston, W Midlands, England; [Leon, Gloria R.] Univ Minnesota, Dept Psychol, Elliott Hall,75 E River Rd, Minneapolis, MN 55455 USA; [Venables, Noah C.] Univ Minnesota, Dept Psychiat, Minneapolis, MN 55455 USA; [Norris, Rachel C.] Hd Def Clin Psychol Serv, Lichfield, Staffs, England; DCA Clin Psychol, Lichfield, Staffs, England; [Blackadder-Weinstein, Jodie; Smith, Michael] RCDM, Acad Dept Mil Gen Practice &amp; Primary Care Res &amp; C, Edgbaston, W Midlands, England; [Norris, Rachel C.] HQ Def Primary Healthcare, Clin Psychol, Lichfield, Staffs, England</t>
  </si>
  <si>
    <t>University of Minnesota System; University of Minnesota Twin Cities; University of Minnesota System; University of Minnesota Twin Cities</t>
  </si>
  <si>
    <t>Leon, GR (corresponding author), Univ Minnesota, Dept Psychol, Elliott Hall,75 E River Rd, Minneapolis, MN 55455 USA.</t>
  </si>
  <si>
    <t>leonx003@umn.edu</t>
  </si>
  <si>
    <t>Venables, Noah/0000-0003-4916-2724</t>
  </si>
  <si>
    <t>AEROSPACE MEDICAL ASSOC</t>
  </si>
  <si>
    <t>ALEXANDRIA</t>
  </si>
  <si>
    <t>320 S HENRY ST, ALEXANDRIA, VA 22314-3579 USA</t>
  </si>
  <si>
    <t>2375-6314</t>
  </si>
  <si>
    <t>2375-6322</t>
  </si>
  <si>
    <t>AEROSP MED HUM PERF</t>
  </si>
  <si>
    <t>Aerosp. Med.Hum. Perform.</t>
  </si>
  <si>
    <t>10.3357/AMHP.5248.2019</t>
  </si>
  <si>
    <t>Biophysics; Public, Environmental &amp; Occupational Health; Medicine, Research &amp; Experimental</t>
  </si>
  <si>
    <t>Biophysics; Public, Environmental &amp; Occupational Health; Research &amp; Experimental Medicine</t>
  </si>
  <si>
    <t>HF4AN</t>
  </si>
  <si>
    <t>WOS:000454175700004</t>
  </si>
  <si>
    <t>Daae, K; Fer, I; Darelius, E</t>
  </si>
  <si>
    <t>Daae, K.; Fer, I.; Darelius, E.</t>
  </si>
  <si>
    <t>Variability and Mixing of the Filchner Overflow Plume on the Continental Slope, Weddell Sea</t>
  </si>
  <si>
    <t>Potential vorticity; Transport; Bottom currents; bottom water; Density currents; Fronts; Mixing</t>
  </si>
  <si>
    <t>BOTTOM WATER PRODUCTION; COASTAL-TRAPPED WAVES; DENMARK STRAIT; BAROCLINIC INSTABILITY; ICE; SHELF; OCEAN; CIRCULATION; TRANSPORT; HYDROGRAPHY</t>
  </si>
  <si>
    <t>A large fraction of Antarctic Bottom Water is produced in the Weddell Sea, through mixing between the cold and dense shelf water masses and the warm and saline off-shelf water. We present observations of the dense Filchner overflow plume from one mooring at the Filchner sill and two moorings located downstream, on the continental slope. The plume variability over the continental slope at a monthly time scale is related to upstream conditions at the Filchner sill, with a high correlation in density. Revised column-integrated volume transport calculations across the Filchner sill indicate 50% higher values in 2010 compared with the earlier estimates available from 1985. Over the continental slope, the plume thickness fluctuates strongly between less than 25 m and more than 250 m. Observations of elevated temperature variance and high Froude numbers at the plume interface imply high mixing rates and entrainment of ambient water masses. The mixing events typically coincide with shear spikes across the plume. The shear spikes appear quasi-periodically, when counterrotating oscillations with periods of 24 and 72 h align. The clockwise 24-h oscillation is related to diurnal, barotropic tidal currents and topographic vorticity waves, whereas the counterclockwise 72-h oscillation is related to vortex stretching or topographic vorticity waves.</t>
  </si>
  <si>
    <t>[Daae, K.; Fer, I.; Darelius, E.] Univ Bergen, Inst Geophys, Bergen, Norway; [Daae, K.; Fer, I.; Darelius, E.] Bjerknes Ctr Climate Res, Bergen, Norway</t>
  </si>
  <si>
    <t>University of Bergen; Bjerknes Centre for Climate Research</t>
  </si>
  <si>
    <t>Daae, K (corresponding author), Univ Bergen, Inst Geophys, Bergen, Norway.</t>
  </si>
  <si>
    <t>kjersti.daae@uib.no</t>
  </si>
  <si>
    <t>Darelius, Elin/O-4096-2015; Fer, Ilker/C-7820-2012</t>
  </si>
  <si>
    <t>Fer, Ilker/0000-0002-2427-2532</t>
  </si>
  <si>
    <t>Centre for Climate Dynamics at the Bjerknes Centre; Norwegian Research council [231549, 211415]</t>
  </si>
  <si>
    <t>Centre for Climate Dynamics at the Bjerknes Centre; Norwegian Research council(Research Council of Norway)</t>
  </si>
  <si>
    <t>This work is supported by the Centre for Climate Dynamics at the Bjerknes Centre and by the Norwegian Research council's FRINATEK program through the project WARM (231549) and through the NARE program under the project WEDDELL (211415). For deployment and recovery of moorings, we thank Svein Osterhus and the crew and scientists on RRS Ernest Shackleton (cruise ES052) and RRS James Clark Ross (cruise JR244). Mooring data from W2 and W3 are available at https://doi.org/10.1594/PANGAEA.871146. Mooring data from S2 were provided by Svein Osterhus (Uni Research Climate, and the Bjerknes Centre for Climate Research, Bergen, Norway) and are submitted to the Norwegian Marine Data Centre (NMDC), http://www.nmdc.no. Filtering software was provided by J. M. Lilly and is available at http://www.jmlilly.net/jmlsoft.html. Comments from two reviewers helped clarify and improve the manuscript.</t>
  </si>
  <si>
    <t>10.1175/JPO-D-18-0093.1</t>
  </si>
  <si>
    <t>HE6QN</t>
  </si>
  <si>
    <t>WOS:000453535300001</t>
  </si>
  <si>
    <t>Clay, TA; Oppel, S; Lavers, JL; Phillips, RA; Brooke, MD</t>
  </si>
  <si>
    <t>Clay, Thomas A.; Oppel, Steffen; Lavers, Jennifer L.; Phillips, Richard A.; Brooke, M. de L.</t>
  </si>
  <si>
    <t>Divergent foraging strategies during incubation of an unusually wide-ranging seabird, the Murphy's petrel</t>
  </si>
  <si>
    <t>MARINE BIOLOGY</t>
  </si>
  <si>
    <t>AREA-RESTRICTED SEARCH; MARINE PREDATOR; MIGRATION STRATEGIES; HABITAT PREFERENCES; SEXUAL SEGREGATION; GADFLY PETRELS; SOUTHERN-OCEAN; ALBATROSSES; BEHAVIOR; SPECIALIZATION</t>
  </si>
  <si>
    <t>Divergent foraging strategies may emerge within a population due to a combination of physiological and environmental factors; yet to persist, neither strategy should offer a consistent selective advantage over the alternative in the long term. Murphy's petrels Pterodroma ultima from Henderson Island (24 degrees 20S, 128 degrees 20W) in the South Pacific Ocean are highly vagile, and exhibit two distinct foraging trip types during incubation; similar proportions of birds undertake either looping trips around the South Pacific Gyre to waters off Peru (hereafter East) or trips south-west of the colony towards the Subtropical Front (South) (meanmaximum ranges of c. 3800 or 2000km from the colony, respectively). However, the relative benefits of the distinct trip types remain unclear. Through tracking birds with GPS and salt-water immersion loggers in 2015, the fine-scale foraging behaviour was examined for East (trip durations: 14.1-19.8 days, maximum ranges 2387-4823km) and South trips (12.9-25.8 days, 1565-1991km). Data on behaviour classified from GPS tracks, the number of wet bouts per hour (a proxy for landing rates) and wind speeds, were used to distinguish two distinct foraging modes: birds on East trips spent more time in directed movement, whereas those on South trips spent a greater proportion of time in area-restricted search (ARS) behaviour. East trips were associated with higher overall mass gain, and wet bouts occurred in equal proportions during directed movement and ARS behaviour. This suggests that in unproductive marine environments, it may be more profitable to maximise area covered to increase the chances of encountering prey. Analysis of lower-resolution geolocator data (collected from 2011 to 2014) indicated that individuals were largely consistent in trip type between years. Since birds that conducted East trips were 19% lighter on departure from the colony and experienced more frequent tailwinds on foraging trips, we speculate that these birds may benefit from reduced movement costs, whilst also experiencing reduced competition for foraging opportunities.</t>
  </si>
  <si>
    <t>[Clay, Thomas A.; Phillips, Richard A.] British Antarctic Survey, Nat Environm Res Council, Madingley Rd, Cambridge CB3 0ET, England; [Clay, Thomas A.; Brooke, M. de L.] Univ Cambridge, Dept Zool, Downing St, Cambridge CB2 3EJ, England; [Clay, Thomas A.] Univ Liverpool, Sch Environm Sci, Liverpool L69 3GP, Merseyside, England; [Oppel, Steffen; Lavers, Jennifer L.] Royal Soc Protect Birds, RSPB Ctr Conservat Sci, David Attenborough Bldg,Pembroke St, Cambridge CB2 3EZ, England; [Lavers, Jennifer L.] Univ Tasmania, Inst Marine &amp; Antarctic Studies, 20 Castray Esplanade, Hobart, Tas 7004, Australia</t>
  </si>
  <si>
    <t>UK Research &amp; Innovation (UKRI); Natural Environment Research Council (NERC); NERC British Antarctic Survey; University of Cambridge; University of Liverpool; Royal Society for Protection of Birds; University of Tasmania</t>
  </si>
  <si>
    <t>Clay, TA (corresponding author), British Antarctic Survey, Nat Environm Res Council, Madingley Rd, Cambridge CB3 0ET, England.;Clay, TA (corresponding author), Univ Cambridge, Dept Zool, Downing St, Cambridge CB2 3EJ, England.;Clay, TA (corresponding author), Univ Liverpool, Sch Environm Sci, Liverpool L69 3GP, Merseyside, England.</t>
  </si>
  <si>
    <t>tommy.clay@outlook.com</t>
  </si>
  <si>
    <t>Oppel, Steffen/H-2771-2019; Lavers, Jennifer/O-4831-2017; Lavers, Jennifer/IWM-5417-2023; Clay, Tommy/W-4867-2019</t>
  </si>
  <si>
    <t>Oppel, Steffen/0000-0002-8220-3789; Lavers, Jennifer/0000-0001-7596-6588; Clay, Tommy/0000-0002-0644-6105</t>
  </si>
  <si>
    <t>David and Lucile Packard Foundation; Darwin Plus: Overseas Territories Environment and Climate Fund; Sir Peter Scott Commemorative Expedition to the Pitcairn Islands; RSPB, the UK partner in Birdlife International; NERC [NE/J021083/1]; NERC [NE/J021083/1, bas0100035] Funding Source: UKRI</t>
  </si>
  <si>
    <t>David and Lucile Packard Foundation(The David &amp; Lucile Packard Foundation); Darwin Plus: Overseas Territories Environment and Climate Fund; Sir Peter Scott Commemorative Expedition to the Pitcairn Islands; RSPB, the UK partner in Birdlife International; NERC(UK Research &amp; Innovation (UKRI)Natural Environment Research Council (NERC)); NERC(UK Research &amp; Innovation (UKRI)Natural Environment Research Council (NERC))</t>
  </si>
  <si>
    <t>We thank the Government of the Pitcairn Islands for permission to work on Henderson Island, L. MacKinnon, A. Forrest, and A. Donaldson for assistance in the field, and J. Kelly, A. Bond, J. Vickery, J. Hall, A. Schofield, and C. Stringer for general support. The crew of the Claymore II provided transportation to and from Henderson Island and G. Brodin provided useful support on operation of the GPS devices and data downloading. We also thank Sam Patrick for useful discussions, and Vitor Paiva, Sophie de Grissac and two anonymous reviewers, for helpful comments on earlier versions of this manuscript. The David and Lucile Packard Foundation, Darwin Plus: Overseas Territories Environment and Climate Fund, the Sir Peter Scott Commemorative Expedition to the Pitcairn Islands, generous donors, and the RSPB, the UK partner in Birdlife International, helped to fund our research. Part of the analysis was supported by a studentship to TAC funded as part of NERC Standard Grant NE/J021083/1.</t>
  </si>
  <si>
    <t>SPRINGER HEIDELBERG</t>
  </si>
  <si>
    <t>HEIDELBERG</t>
  </si>
  <si>
    <t>TIERGARTENSTRASSE 17, D-69121 HEIDELBERG, GERMANY</t>
  </si>
  <si>
    <t>0025-3162</t>
  </si>
  <si>
    <t>1432-1793</t>
  </si>
  <si>
    <t>MAR BIOL</t>
  </si>
  <si>
    <t>Mar. Biol.</t>
  </si>
  <si>
    <t>10.1007/s00227-018-3451-7</t>
  </si>
  <si>
    <t>HE5AS</t>
  </si>
  <si>
    <t>WOS:000453383000001</t>
  </si>
  <si>
    <t>Kujala, P; Goerlandt, F; Way, B; Smith, D; Yang, M; Khan, F; Veitch, B</t>
  </si>
  <si>
    <t>Kujala, P.; Goerlandt, F.; Way, B.; Smith, D.; Yang, M.; Khan, F.; Veitch, B.</t>
  </si>
  <si>
    <t>Review of risk-based design for ice-class ships</t>
  </si>
  <si>
    <t>MARINE STRUCTURES</t>
  </si>
  <si>
    <t>Risk-based ship design; Uncertainty; Strength of evidence; Maritime safety; Ice environment; Ice load; Structural limit states</t>
  </si>
  <si>
    <t>INDUCED LOAD; OIL-SPILLS; MODEL; UNCERTAINTIES; PERFORMANCE; STATISTICS; CHALLENGES; OPERATIONS; THICKNESS; TRANSPORT</t>
  </si>
  <si>
    <t>The growing interest for Arctic and Antarctic shipping activities due to the decreasing ice cover will also increase the risks of accidents on these waters. The design of ships for ice has traditionally been based on the practical experience without a clear link to the physics of the ship-ice interaction. The rules are, however, getting more towards the goal based approach, which require good knowledge of all the various element important for design. Risk based ship design (RBSD) is also widely applied e.g. for the passengers ships. Therefore, the scope of this paper is the review of the knowledge necessary for RBSD for Arctic conditions. The main focus is on ice loads and ship structures. Accident prevention and environmental consequences of oil spills are also discussed, but more briefly. In risk analysis, there is a recent focus on the treatment of uncertainty, or conversely, the strength of knowledge underlying the risk quantification. In light of this, the review is performed with specific focus on the strength of evidence of the different fields of knowledge needed to perform RBSD in ice conditions. The results indicate that the risk based design for Arctic operations is challenging as the ice environment, together with all the possible ship-ice contact scenarios, are complicated to define properly, especially on proper probabilistic terms, The main challenges are still related how to describe the ship-ice interaction parameters such as ship-ice contact characteristics, pressure distributions, and load levels in all the various ice conditions. In addition, the possible environmental consequences of the accidents need further research. Finally, human factors need to be incorporated in risk analysis techniques.</t>
  </si>
  <si>
    <t>[Kujala, P.; Goerlandt, F.] Aalto Univ, Sch Engn, Marine Technol, POB 15300, Aalto 00076, Finland; [Way, B.; Smith, D.; Yang, M.; Khan, F.; Veitch, B.] Mem Univ Newfoundland, St John, NF, Canada</t>
  </si>
  <si>
    <t>Aalto University; Memorial University Newfoundland</t>
  </si>
  <si>
    <t>Kujala, P (corresponding author), Aalto Univ, Sch Engn, Marine Technol, POB 15300, Aalto 00076, Finland.</t>
  </si>
  <si>
    <t>penttLicujala@aalto.fi</t>
  </si>
  <si>
    <t>Yang, Ming/JCE-4730-2023; Khan, Faisal I/AAO-6293-2020; Kujala, Pentti JS/B-3780-2011; Veitch, Brian/AAU-8907-2020; Yang, Ming/AAL-6277-2021</t>
  </si>
  <si>
    <t>Khan, Faisal I/0000-0002-5638-4299; Veitch, Brian/0000-0001-5450-4587; Goerlandt, Floris/0000-0002-9772-419X; Yang, Ming/0000-0002-6544-9226; Smith, Doug/0000-0002-0697-6405</t>
  </si>
  <si>
    <t>Lloyd's Register Foundation</t>
  </si>
  <si>
    <t>The authors would like to thank the Lloyd's Register Foundation for funding the Joint Center of Excellence for Arctic Shipping and Operations, which enabled this paper. The Lloyd's Register Foundation supports the advancement of engineering-related education, and funds research and development that enhances the safety of life at sea, on land, and in the air.</t>
  </si>
  <si>
    <t>ELSEVIER SCI LTD</t>
  </si>
  <si>
    <t>THE BOULEVARD, LANGFORD LANE, KIDLINGTON, OXFORD OX5 1GB, OXON, ENGLAND</t>
  </si>
  <si>
    <t>0951-8339</t>
  </si>
  <si>
    <t>1873-4170</t>
  </si>
  <si>
    <t>MAR STRUCT</t>
  </si>
  <si>
    <t>Mar. Struct.</t>
  </si>
  <si>
    <t>10.1016/j.marstruc.2018.09.008</t>
  </si>
  <si>
    <t>Engineering, Marine; Engineering, Civil</t>
  </si>
  <si>
    <t>HE7OE</t>
  </si>
  <si>
    <t>WOS:000453626400010</t>
  </si>
  <si>
    <t>Medley, B; Thomas, ER</t>
  </si>
  <si>
    <t>Medley, B.; Thomas, E. R.</t>
  </si>
  <si>
    <t>Increased snowfall over the Antarctic Ice Sheet mitigated twentieth-century sea-level rise</t>
  </si>
  <si>
    <t>NATURE CLIMATE CHANGE</t>
  </si>
  <si>
    <t>SOUTHERN ANNULAR MODE; SURFACE MASS-BALANCE; WEST ANTARCTICA; CLIMATE; PRECIPITATION; ACCUMULATION; TEMPERATURE; VARIABILITY; GREENLAND; TRENDS</t>
  </si>
  <si>
    <t>Changes in accumulated snowfall over the Antarctic Ice Sheet have an immediate and time-delayed impact on global mean sea level. The immediate impact is due to the instantaneous change in freshwater storage over the ice sheet, whereas the time-delayed impact acts in opposition through enhanced ice-dynamic flux into the ocean(1). Here, we reconstruct 200 years of Antarctic-wide snow accumulation by synthesizing a newly compiled database of ice core records(2) using reanalysisderived spatial coherence patterns. The results reveal that increased snow accumulation mitigated twentieth-century sea-level rise by similar to 10 mm since 1901, with rates increasing from 1.1 mm decade(-1) between 1901 and 2000 to 2.5 mm decade(-1) after 1979. Reconstructed accumulation trends are highly variable in both sign and magnitude at the regional scale, and linked to the trend towards a positive Southern Annular Mode since 1957(3). Because the observed Southern Annular Mode trend is accompanied by a decrease in Antarctic Ice Sheet accumulation, changes in the strength and location of the circumpolar westerlies cannot explain the reconstructed increase, which may instead be related to stratospheric ozone depletion(4). However, our results indicate that a warming atmosphere cannot be excluded as a dominant force in the underlying increase.</t>
  </si>
  <si>
    <t>[Medley, B.] NASA, Goddard Space Flight Ctr, Cryospher Sci Lab, Greenbelt, MD 20771 USA; [Thomas, E. R.] British Antarctic Survey, Cambridge, England</t>
  </si>
  <si>
    <t>National Aeronautics &amp; Space Administration (NASA); NASA Goddard Space Flight Center; UK Research &amp; Innovation (UKRI); Natural Environment Research Council (NERC); NERC British Antarctic Survey</t>
  </si>
  <si>
    <t>Medley, B (corresponding author), NASA, Goddard Space Flight Ctr, Cryospher Sci Lab, Greenbelt, MD 20771 USA.</t>
  </si>
  <si>
    <t>brooke.c.medley@nasa.gov</t>
  </si>
  <si>
    <t>Thomas, Elizabeth Ruth/ADF-3660-2022</t>
  </si>
  <si>
    <t>Thomas, Elizabeth Ruth/0000-0002-3010-6493</t>
  </si>
  <si>
    <t>NASA's ICESat-2 Project Science Office; British Antarctic Survey (Natural Environment Research Council); NERC [NE/R016038/1, bas0100034] Funding Source: UKRI</t>
  </si>
  <si>
    <t>NASA's ICESat-2 Project Science Office; British Antarctic Survey (Natural Environment Research Council); NERC(UK Research &amp; Innovation (UKRI)Natural Environment Research Council (NERC))</t>
  </si>
  <si>
    <t>We acknowledge everyone involved in the collection and analysis of the ice core records used in our reconstruction, as well as A. Barker and J. Lenaerts for manuscript comments. B.M. and E.R.T. were supported by NASA's ICESat-2 Project Science Office and the British Antarctic Survey (Natural Environment Research Council), respectively.</t>
  </si>
  <si>
    <t>NATURE PUBLISHING GROUP</t>
  </si>
  <si>
    <t>MACMILLAN BUILDING, 4 CRINAN ST, LONDON N1 9XW, ENGLAND</t>
  </si>
  <si>
    <t>1758-678X</t>
  </si>
  <si>
    <t>1758-6798</t>
  </si>
  <si>
    <t>NAT CLIM CHANGE</t>
  </si>
  <si>
    <t>Nat. Clim. Chang.</t>
  </si>
  <si>
    <t>10.1038/s41558-018-0356-x</t>
  </si>
  <si>
    <t>Environmental Sciences; Environmental Studies; Meteorology &amp; Atmospheric Sciences</t>
  </si>
  <si>
    <t>HE7GX</t>
  </si>
  <si>
    <t>WOS:000453600200014</t>
  </si>
  <si>
    <t>Zhang, LP; Delworth, TL; Cooke, W; Yang, XS</t>
  </si>
  <si>
    <t>Zhang, Liping; Delworth, Thomas L.; Cooke, William; Yang, Xiaosong</t>
  </si>
  <si>
    <t>Natural variability of Southern Ocean convection as a driver of observed climate trends</t>
  </si>
  <si>
    <t>ANTARCTIC SEA-ICE; SURFACE-TEMPERATURE; DEEP-CONVECTION; CMIP5 MODELS; FRESH-WATER; ATLANTIC; IMPACT; PENINSULA; POLYNYA</t>
  </si>
  <si>
    <t>Observed Southern Ocean surface cooling and sea-ice expansion over the past several decades are inconsistent with many historical simulations from climate models. Here we show that natural multidecadal variability involving Southern Ocean convection may have contributed strongly to the observed temperature and sea-ice trends. These observed trends are consistent with a particular phase of natural variability of the Southern Ocean as derived from climate model simulations. Ensembles of simulations are conducted starting from differing phases of this variability. The observed spatial pattern of trends is reproduced in simulations that start from an active phase of Southern Ocean convection. Simulations starting from a neutral phase do not reproduce the observed changes, similarly to the multimodel mean results of CMIP5 models. The long timescales associated with this natural variability show potential for skilful decadal prediction.</t>
  </si>
  <si>
    <t>[Zhang, Liping; Delworth, Thomas L.] Princeton Univ, Atmospher &amp; Ocean Sci, Princeton, NJ 08544 USA; [Zhang, Liping; Delworth, Thomas L.; Cooke, William; Yang, Xiaosong] NOAA, Geophys Fluid Dynam Lab, Princeton, NJ 08540 USA; [Cooke, William; Yang, Xiaosong] Univ Corp Atmospher Res, Boulder, CO USA</t>
  </si>
  <si>
    <t>Princeton University; National Oceanic Atmospheric Admin (NOAA) - USA; National Center Atmospheric Research (NCAR) - USA</t>
  </si>
  <si>
    <t>Zhang, LP (corresponding author), Princeton Univ, Atmospher &amp; Ocean Sci, Princeton, NJ 08544 USA.;Zhang, LP (corresponding author), NOAA, Geophys Fluid Dynam Lab, Princeton, NJ 08540 USA.</t>
  </si>
  <si>
    <t>Liping.Zhang@noaa.gov</t>
  </si>
  <si>
    <t>Cooke, William/O-1610-2019; Yang, Xiaosong/C-7260-2009; Delworth, Thomas L/C-5191-2014; Zhang, Liping/L-6480-2015</t>
  </si>
  <si>
    <t>Cooke, William/0000-0003-4550-3210; Zhang, Liping/0000-0003-1122-8927</t>
  </si>
  <si>
    <t>NATURE RESEARCH</t>
  </si>
  <si>
    <t>BERLIN</t>
  </si>
  <si>
    <t>HEIDELBERGER PLATZ 3, BERLIN, 14197, GERMANY</t>
  </si>
  <si>
    <t>10.1038/s41558-018-0350-3</t>
  </si>
  <si>
    <t>WOS:000453600200019</t>
  </si>
  <si>
    <t>Rapacciuolo, G; Graham, CH; Marin, J; Behm, JE; Costa, GC; Hedges, SB; Helmus, MR; Radeloff, VC; Young, BE; Brooks, TM</t>
  </si>
  <si>
    <t>Rapacciuolo, Giovanni; Graham, Catherine H.; Marin, Julie; Behm, Jocelyn E.; Costa, Gabriel C.; Hedges, S. Blair; Helmus, Matthew R.; Radeloff, Volker C.; Young, Bruce E.; Brooks, Thomas M.</t>
  </si>
  <si>
    <t>Species diversity as a surrogate for conservation of phylogenetic and functional diversity in terrestrial vertebrates across the Americas</t>
  </si>
  <si>
    <t>NATURE ECOLOGY &amp; EVOLUTION</t>
  </si>
  <si>
    <t>EXTINCTION RISK; EVOLUTIONARY HISTORY; SPATIAL MISMATCH; GLOBAL HOTSPOTS; PROTECTED AREAS; BODY-SIZE; BIODIVERSITY; PRIORITIES; BIOGEOGRAPHY; CONGRUENCE</t>
  </si>
  <si>
    <t>Preserving the evolutionary history and ecological functions that different species embody, in addition to species themselves, is a growing concern for conservation. Recent studies warn that conservation priority regions identified using species diversity differ from those based on phylogenetic or functional diversity. However, spatial mismatches in conservation priority regions need not indicate low surrogacy among these dimensions in conservation planning. Here, we use data for 10,213 terrestrial vertebrate species across the Americas to evaluate surrogacy; that is, the proportion of phylogenetic or functional diversity represented in conservation plans targeting species. We find that most conservation plans targeting species diversity also represent phylogenetic and functional diversity well, despite spatial mismatches in the priority regions identified by each plan. However, not all phylogenetic and functional diversity is represented within species-based plans, with the highest-surrogacy conservation strategy depending on the proportion of land area included in plans. Our results indicate that targeting species diversity could be sufficient to preserve much of the phylogenetic and functional dimensions of biodiversity in terrestrial vertebrates of the Americas. Incorporating phylogenetic and functional data in broad-scale conservation planning may not always be necessary, especially when the cost of doing so is high.</t>
  </si>
  <si>
    <t>[Rapacciuolo, Giovanni] Univ Calif Merced, Life &amp; Environm Sci, Merced, CA 95343 USA; [Rapacciuolo, Giovanni; Young, Bruce E.] NatureServe, Arlington, VA 22203 USA; [Rapacciuolo, Giovanni; Graham, Catherine H.] SUNY Stony Brook, Dept Ecol &amp; Evolut, Stony Brook, NY 11794 USA; [Graham, Catherine H.] Swiss Fed Inst Forest Snow &amp; Landscape, Birmensdorf, Switzerland; [Marin, Julie; Behm, Jocelyn E.; Hedges, S. Blair; Helmus, Matthew R.] Temple Univ, Ctr Biodivers, Dept Biol, Philadelphia, PA USA; [Marin, Julie] Sorbonne Univ, Inst Systemat Evolut Biodiversite, Dept Systemat Evolut, Museum Natl Hist Nat,UMR 7205, Paris, France; [Costa, Gabriel C.] Auburn Univ, Dept Biol, Montgomery, AL USA; [Radeloff, Volker C.] Univ Wisconsin, Dept Forestry &amp; Wildlife Ecol, SILVIS Lab, Madison, WI USA; [Brooks, Thomas M.] Int Union Conservat Nat, Gland, Switzerland; [Brooks, Thomas M.] Univ Philippines Los Banos, World Agroforestry Ctr, Los Banos, Philippines; [Brooks, Thomas M.] Univ Tasmania, Inst Marine &amp; Antarctic Studies, Hobart, Tas, Australia</t>
  </si>
  <si>
    <t>University of California System; University of California Merced; Nature Conservancy; State University of New York (SUNY) System; State University of New York (SUNY) Stony Brook; Swiss Federal Institutes of Technology Domain; Swiss Federal Institute for Forest, Snow &amp; Landscape Research; Pennsylvania Commonwealth System of Higher Education (PCSHE); Temple University; Museum National d'Histoire Naturelle (MNHN); Sorbonne Universite; Centre National de la Recherche Scientifique (CNRS); CNRS - Institute of Ecology &amp; Environment (INEE); Auburn University System; Auburn University Montgomery; Auburn University; University of Wisconsin System; University of Wisconsin Madison; University of the Philippines System; University of the Philippines Los Banos; CGIAR; World Agroforestry (ICRAF); University of Tasmania</t>
  </si>
  <si>
    <t>Rapacciuolo, G (corresponding author), Univ Calif Merced, Life &amp; Environm Sci, Merced, CA 95343 USA.;Rapacciuolo, G (corresponding author), NatureServe, Arlington, VA 22203 USA.;Rapacciuolo, G (corresponding author), SUNY Stony Brook, Dept Ecol &amp; Evolut, Stony Brook, NY 11794 USA.</t>
  </si>
  <si>
    <t>giorapac@gmail.com</t>
  </si>
  <si>
    <t>Graham, Catherine H/A-9560-2011; Radeloff, Volker C/B-6124-2016; Marin, Julie/HDN-8733-2022</t>
  </si>
  <si>
    <t>Rapacciuolo, Giovanni/0000-0003-1494-9017; Marin, Julie/0000-0002-7160-9302</t>
  </si>
  <si>
    <t>US National Science Foundation [1136586]</t>
  </si>
  <si>
    <t>This work was supported by the US National Science Foundation (grant 1136586). We thank the IUCN and the many herpetologists who participated in the Red List assessments of Central and South America reptiles.</t>
  </si>
  <si>
    <t>2397-334X</t>
  </si>
  <si>
    <t>NAT ECOL EVOL</t>
  </si>
  <si>
    <t>Nat. Ecol. Evol.</t>
  </si>
  <si>
    <t>10.1038/s41559-018-0744-7</t>
  </si>
  <si>
    <t>HE9JU</t>
  </si>
  <si>
    <t>WOS:000453767000014</t>
  </si>
  <si>
    <t>Gonzalez, L; Montanares, M; Herman, K; Saez, P; Rubio, E; Fernandez, W; Bravo, L; Sanhueza, C; Palma, A; Guajardo, S; Reyes, A; Saez, A</t>
  </si>
  <si>
    <t>Gonzalez, Loreto; Montanares, Mauricio; Herman, Krzysztof; Saez, Patricia; Rubio, Ernesto; Fernandez, Washington; Bravo, Leon; Sanhueza, Carolina; Palma, Alvaro; Guajardo, Sebastian; Reyes, Agustin; Saez, Alonso</t>
  </si>
  <si>
    <t>Heating up Antarctic Plants - Preliminary Results of a Thermal Actuator for Antarctic Bioindicators in a Context of the Climate Change</t>
  </si>
  <si>
    <t>2019 IEEE CHILEAN CONFERENCE ON ELECTRICAL, ELECTRONICS ENGINEERING, INFORMATION AND COMMUNICATION TECHNOLOGIES (CHILECON)</t>
  </si>
  <si>
    <t>IEEE CHILEAN Conference on Electrical, Electronics Engineering, Information and Communication Technologies (CHILECON)</t>
  </si>
  <si>
    <t>OCT 29-31, 2019</t>
  </si>
  <si>
    <t>Valparaiso, CHILE</t>
  </si>
  <si>
    <t>ARM node; Night Warming; Temperature Control; Digital Control; Duty Cycle; OTC; Antarctic Plants; PWM; Relay; Thermic System; Triac; Temperature Sensor</t>
  </si>
  <si>
    <t>VASCULAR PLANTS; COLOBANTHUS-QUITENSIS; POPULATION; PENINSULA; INCREASES</t>
  </si>
  <si>
    <t>Colobanthus Quitensis and Deschampsia Antartica are the only native vascular species of plants in the Antarctic region and are a source of interest in the climate change studies. These plants have been studied for decades and recognized as bioindicators of the climate change. The article presents preliminary studies and results of a thermal actuator, which is going to be applied in a climate change studies. The elaborated, far infrared actuator together with a control system maintains the temperature of the Antarctic plant certain delta above the ambient temperature. Since the heat transfer is based on infrared radiation a thermal model is introduced, where the parameters of the model are determined empirically approximating it using a 1-st order dynamical system. Once determined, the sytem model paremeters help to design the control strategies: Control On-Off (1) and Control PID (proportional integral derivative) (2). As a result we obtain that the control PID maintains the objects temperature with major stability than On-Off, what makes it preferable in the final application. The future works involve modeling ambiental perturbation, which affects the system and determination thermal parameters of the Antarctic plants.</t>
  </si>
  <si>
    <t>[Gonzalez, Loreto; Montanares, Mauricio; Herman, Krzysztof; Rubio, Ernesto; Fernandez, Washington; Bravo, Leon; Sanhueza, Carolina; Guajardo, Sebastian; Reyes, Agustin; Saez, Alonso] Univ Bio Bio, Concepcion, Chile; [Gonzalez, Loreto; Montanares, Mauricio] Univ Concepcion, Concepcion, Chile; [Bravo, Leon] Univ Frontier, Temuco, Chile</t>
  </si>
  <si>
    <t>Universidad del Bio-Bio; Universidad de Concepcion</t>
  </si>
  <si>
    <t>Gonzalez, L (corresponding author), Univ Bio Bio, Concepcion, Chile.</t>
  </si>
  <si>
    <t>Guajardo, Sebastian/KHE-1549-2024; Sanhueza, Carolina/JQW-9959-2023; Sanhueza, Carolina/AAG-7456-2019; Bravo, León/AAO-8437-2020</t>
  </si>
  <si>
    <t>Sanhueza, Carolina/0000-0002-1564-2490; Bravo, León/0000-0003-4705-4842; Palma Mora, Alvaro Vicente/0009-0005-4943-607X</t>
  </si>
  <si>
    <t>Chilean Antarctic Institute INACH regular grant [RT 18 18]; University of the Bio Bio innovation grant [INN I+D 19-04]</t>
  </si>
  <si>
    <t>Chilean Antarctic Institute INACH regular grant; University of the Bio Bio innovation grant</t>
  </si>
  <si>
    <t>The proyect was supported by the Chilean Antarctic Institute INACH regular grant No. RT 18 18 and University of the Bio Bio innovation grant No. INN I+D 19-04.</t>
  </si>
  <si>
    <t>978-1-7281-3185-6</t>
  </si>
  <si>
    <t>10.1109/chilecon47746.2019.8988037</t>
  </si>
  <si>
    <t>BP2JG</t>
  </si>
  <si>
    <t>WOS:000542919100140</t>
  </si>
  <si>
    <t>Olmi, R; Priori, S; Toccafondi, A; Puggelli, F</t>
  </si>
  <si>
    <t>Olmi, Roberto; Priori, Saverio; Toccafondi, Alberto; Puggelli, Federico</t>
  </si>
  <si>
    <t>Permittivity depth profile measurements of the Antarctic firn layer in the 0.4-2 GHz band</t>
  </si>
  <si>
    <t>2019 IEEE INTERNATIONAL SYMPOSIUM ON ANTENNAS AND PROPAGATION AND USNC-URSI RADIO SCIENCE MEETING</t>
  </si>
  <si>
    <t>IEEE Antennas and Propagation Society International Symposium</t>
  </si>
  <si>
    <t>USNC-URSI Radio Science Meeting / IEEE International Symposium on Antennas and Propagation (AP-S)</t>
  </si>
  <si>
    <t>JUL 07-12, 2019</t>
  </si>
  <si>
    <t>Atlanta, GA</t>
  </si>
  <si>
    <t>A microwave sensor aimed to characterize the complex permittivity depth profile of the Antarctic firn layer is presented. It is based on the open-coaxial re-entrant cavity method. Preliminary results of the measured permittivity depth profile on the Antarctic firn is also presented showing a very good agreement to expected values.</t>
  </si>
  <si>
    <t>[Olmi, Roberto; Priori, Saverio] IFAC CNR, Via Madonna del Piano 10, I-501019 Sesto Fiorentino, Italy; [Toccafondi, Alberto; Puggelli, Federico] Univ Siena, Dept Informat Engn &amp; Math, Via Roma 56, I-53100 Siena, Italy</t>
  </si>
  <si>
    <t>Consiglio Nazionale delle Ricerche (CNR); Istituto di Fisica Applicata Nello Carrara (IFAC-CNR); University of Siena</t>
  </si>
  <si>
    <t>Olmi, R (corresponding author), IFAC CNR, Via Madonna del Piano 10, I-501019 Sesto Fiorentino, Italy.</t>
  </si>
  <si>
    <t>r.olmi@ifac.cnr.it; albertot@dii.unisi.it</t>
  </si>
  <si>
    <t>TOCCAFONDI, Alberto/0000-0001-7492-9902</t>
  </si>
  <si>
    <t>2016 Italian National Antarctic Program [PNRA16_0212]</t>
  </si>
  <si>
    <t>2016 Italian National Antarctic Program</t>
  </si>
  <si>
    <t>This work is supported by of the 2016 Italian National Antarctic Program under the project PNRA16_0212.</t>
  </si>
  <si>
    <t>1522-3965</t>
  </si>
  <si>
    <t>978-1-7281-0692-2</t>
  </si>
  <si>
    <t>IEEE ANTENNAS PROP</t>
  </si>
  <si>
    <t>10.1109/apusncursinrsm.2019.8888447</t>
  </si>
  <si>
    <t>BR5TF</t>
  </si>
  <si>
    <t>WOS:000657207100053</t>
  </si>
  <si>
    <t>Singh, AK; Das, RM; Saini, S</t>
  </si>
  <si>
    <t>Singh, Arun Kumar; Das, Rupesh M.; Saini, Shailendra</t>
  </si>
  <si>
    <t>Long term ionospheric TEC variation over high latitude region during 24th solar cycle</t>
  </si>
  <si>
    <t>High latitude ionosphere; Ionospherictotal electron content; Sunspot number; linear regression; Quadratic regression</t>
  </si>
  <si>
    <t>The long term variation of Ionospheric Total electron content (ITEC) has been examined over high latitude region during inclination phase of 24th solar cycle and it has been observed that solar cycle, seasonal and geomagnetic activity has a prominent effect on ITEC. The ITEC data has been acquired with the help of Novatel make Global Ionospheric Scintillation and TEC monitoring (GISTM) system installed at Indian permanent scientific base Maitri [70 degrees 46'00 '' S 11'43'56 '' E], Antarctica. To investigate the vulnerability of Vertical Total Electron Content (VTEC) upon the sunspot numbers (SSN), linear and quadratic regression method has been used and it has been found that quadratic relation grant better correlation between VTEC and SSN. Further, during the investigation of ITEC seasonal variation, it is watched that VTEC and SSN follows better agreement during summer seasons as compared to winter and equinox seasons. However,an extraordniray agrrement has been noticed during the solar minimum phase (2010). Meanwhile, during the study of quiet days throughout the considered time frame i.e. 2010 to 2014, an improved correlation has been found between VTEC and SSN. During the long term study of ITEC, a saturation effect has been also observed during maximum phase (2014) of the 24th solar cycle.</t>
  </si>
  <si>
    <t>[Singh, Arun Kumar; Das, Rupesh M.] CSIR, Natl Phys Lab, Dr KS Krishnan Marg, New Delhi 110012, India; [Saini, Shailendra] Natl Ctr Antarctic &amp; Ocean Res, Vasco Da Gama 403804, Goa, India</t>
  </si>
  <si>
    <t>Council of Scientific &amp; Industrial Research (CSIR) - India; CSIR - National Physical Laboratory (NPL); Ministry of Earth Sciences (MoES) - India; National Centre for Polar and Ocean Research (NCPOR)</t>
  </si>
  <si>
    <t>Singh, AK (corresponding author), CSIR, Natl Phys Lab, Dr KS Krishnan Marg, New Delhi 110012, India.</t>
  </si>
  <si>
    <t>10.23919/ursiap-rasc.2019.8738177</t>
  </si>
  <si>
    <t>WOS:000491262700031</t>
  </si>
  <si>
    <t>Bruinsma, WP; Perim, E; Tebbutt, W; Hosking, JS; Solin, A; Turner, RE</t>
  </si>
  <si>
    <t>Assoc Informat Syst</t>
  </si>
  <si>
    <t>Bruinsma, Wessel P.; Perim, Eric; Tebbutt, Will; Hosking, J. Scott; Solin, Arno; Turner, Richard E.</t>
  </si>
  <si>
    <t>Scalable Exact Inference in Multi-Output Gaussian Processes</t>
  </si>
  <si>
    <t>25TH AMERICAS CONFERENCE ON INFORMATION SYSTEMS (AMCIS 2019)</t>
  </si>
  <si>
    <t>25th Americas Conference on Information Systems of the Association-for-Information-Systems( AMCIS)</t>
  </si>
  <si>
    <t>AUG 15-17, 2019</t>
  </si>
  <si>
    <t>Cancun, MEXICO</t>
  </si>
  <si>
    <t>CLIMATE</t>
  </si>
  <si>
    <t>Multi-output Gaussian processes (MOGPs) leverage the flexibility and interpretability of GPs while capturing structure across outputs, which is desirable, for example, in spatio-temporal modelling. The key problem with MOGPs is their computational scaling O(n(3)p(3)), which is cubic in the number of both inputs n (e.g., time points or locations) and outputs p. For this reason, a popular class of MOGPs assumes that the data live around a low-dimensional linear subspace, reducing the complexity to O (n(3)m(3)). However, this cost is still cubic in the dimensionality of the subspace m, which is still prohibitively expensive for many applications. We propose the use of a sufficient statistic of the data to accelerate inference and learning in MOGPs with orthogonal bases. The method achieves linear scaling in m in practice, allowing these models to scale to large m without sacrificing significant expressivity or requiring approximation. This advance opens up a wide range of real-world tasks and can be combined with existing GP approximations in a plug-and-play way. We demonstrate the efficacy of the method on various synthetic and real-world data sets.</t>
  </si>
  <si>
    <t>[Bruinsma, Wessel P.; Tebbutt, Will; Turner, Richard E.] Univ Cambridge, Cambridge, England; [Bruinsma, Wessel P.; Perim, Eric] Invenia Labs, Cambridge, England; [Hosking, J. Scott] British Antarctic Survey, Cambridge, England; [Hosking, J. Scott] Alan Turing Inst, London, England; [Solin, Arno] Aalto Univ, Espoo, Finland; [Turner, Richard E.] Microsoft Res, Redmond, WA USA</t>
  </si>
  <si>
    <t>University of Cambridge; UK Research &amp; Innovation (UKRI); Natural Environment Research Council (NERC); NERC British Antarctic Survey; Aalto University; Microsoft</t>
  </si>
  <si>
    <t>Bruinsma, WP (corresponding author), Univ Cambridge, Cambridge, England.;Bruinsma, WP (corresponding author), Invenia Labs, Cambridge, England.</t>
  </si>
  <si>
    <t>wpb23@cam.ac.uk</t>
  </si>
  <si>
    <t>Solin, Arno/G-6859-2012</t>
  </si>
  <si>
    <t>DeepMind; EPSRC [EP/T001569/1, EP/M0269571, EP/L000776/1]; NERC [NE/N018028/1]; Academy of Finland [308640, 324345]; Google; Amazon; ARM; Improbable</t>
  </si>
  <si>
    <t>DeepMind; EPSRC(UK Research &amp; Innovation (UKRI)Engineering &amp; Physical Sciences Research Council (EPSRC)); NERC(UK Research &amp; Innovation (UKRI)Natural Environment Research Council (NERC)); Academy of Finland(Research Council of Finland); Google(Google Incorporated); Amazon; ARM; Improbable</t>
  </si>
  <si>
    <t>WT acknowledges funding from DeepMind. JSH is supported by EPSRC grant EP/T001569/1, and NERC grant NE/N018028/1. AS acknowledges funding from the Academy of Finland (grant numbers 308640 and 324345). RET is supported by Google, Amazon, ARM, Improbable and EPSRC grants EP/M0269571 and EP/L000776/1.</t>
  </si>
  <si>
    <t>ASSOC INFORMATION SYSTEMS</t>
  </si>
  <si>
    <t>ATLANTA</t>
  </si>
  <si>
    <t>P.O. BOX 2712, ATLANTA, GA 30301-2712 USA</t>
  </si>
  <si>
    <t>978-0-9966831-8-0</t>
  </si>
  <si>
    <t>Computer Science, Information Systems; Computer Science, Theory &amp; Methods</t>
  </si>
  <si>
    <t>Computer Science</t>
  </si>
  <si>
    <t>BS3LL</t>
  </si>
  <si>
    <t>WOS:000712432701027</t>
  </si>
  <si>
    <t>Bekker, A; van Zijl, CM</t>
  </si>
  <si>
    <t>Amador, SDR; Brincker, R; Katsanos, EI; Aenlle, ML; Fernandez, P</t>
  </si>
  <si>
    <t>Bekker, Anriette; van Zijl, Christof M.</t>
  </si>
  <si>
    <t>THE USE OF LINE DETECTION TO IDENTIFY RANDOM IMPULSES IN LONG TIME HISTORIES</t>
  </si>
  <si>
    <t>8TH IOMAC INTERNATIONAL OPERATIONAL MODAL ANALYSIS CONFERENCE</t>
  </si>
  <si>
    <t>8th International Operational Modal Analysis Conference (IOMAC)</t>
  </si>
  <si>
    <t>MAY 13-15, 2019</t>
  </si>
  <si>
    <t>Copenhagen, DENMARK</t>
  </si>
  <si>
    <t>Impulse detection; Wavelet transform; Wave slamming; Morlet</t>
  </si>
  <si>
    <t>Impulsive transients occur in the occupational vibration of heavy mobile equipment operators, wave slamming on ship hulls and ice impacts on ship propellers. The investigation of such extreme load cases requires the automatic detection of random amplitude, non-periodic impulsive transients in acceleration measurements. It is well-known that impulsive events cause broad-band excitation of mechanical structures, which appear as line features in time-frequency representations, such as spectrograms and scalograms. It is proposed to use image processing and line-detection algorithms in compliment to existing signal processing techniques to increase the robust identification of impulsive transients in operational environments. A case study is presented whereby impulsive wave slamming on a vessel is determined through line detection on wavelet scalograms. In the present application of wave slamming the algorithm offers the benefit that the impulsive impact event can be distinguished from the high-amplitude oscillations (whipping) post the wave impact impact.</t>
  </si>
  <si>
    <t>[Bekker, Anriette; van Zijl, Christof M.] Stellenbosch Univ, Dept Mech &amp; Mechatron Engn, Sound &amp; Vibrat Res Grp, Stellenbosch, South Africa</t>
  </si>
  <si>
    <t>Stellenbosch University</t>
  </si>
  <si>
    <t>Bekker, A (corresponding author), Stellenbosch Univ, Dept Mech &amp; Mechatron Engn, Sound &amp; Vibrat Res Grp, Stellenbosch, South Africa.</t>
  </si>
  <si>
    <t>annieb@sun.ac.za</t>
  </si>
  <si>
    <t>National Research Foundation (NRF) through the South African National Antarctic Programme (SANAP) [110737]; Department of Environmental Affairs</t>
  </si>
  <si>
    <t>National Research Foundation (NRF) through the South African National Antarctic Programme (SANAP); Department of Environmental Affairs</t>
  </si>
  <si>
    <t>Funding from the National Research Foundation (NRF) through the South African National Antarctic Programme (SANAP Grant No.110737) is thankfully recognized. The authors further express thanks to the Department of Environmental Affairs and the Captain and Crew of the S.A. Agulhas II for their support and assistance during the Winter Cruise 2017.</t>
  </si>
  <si>
    <t>INT GROUP OPERATIONAL MODAL ANALYSIS</t>
  </si>
  <si>
    <t>GIJON</t>
  </si>
  <si>
    <t>CAMPUS DE GIJON, C/PEDRO PUIG ADAM S-N EDIFICIO 7, GIJON, SPAIN</t>
  </si>
  <si>
    <t>978-84-09-04900-4</t>
  </si>
  <si>
    <t>Construction &amp; Building Technology; Engineering, Multidisciplinary; Engineering, Civil; Engineering, Mechanical</t>
  </si>
  <si>
    <t>Construction &amp; Building Technology; Engineering</t>
  </si>
  <si>
    <t>BQ5AX</t>
  </si>
  <si>
    <t>WOS:000598243800052</t>
  </si>
  <si>
    <t>van Zijl, CM; Bekker, A</t>
  </si>
  <si>
    <t>van Zijl, C. M.; Bekker, A.</t>
  </si>
  <si>
    <t>A PARAMETRIC INVESTIGATION FOR OMA ON OPERATIONAL SHIP DATA</t>
  </si>
  <si>
    <t>Operational modal analysis; Stochastic subspace identification; model order; block length; duration</t>
  </si>
  <si>
    <t>A parametric investigation was conducted to obtain accurate SSI estimates of the modal parameters of a ship in its operational environment. The identified parameters will contribute towards a modal model which must predict full scale responses to environmental loading. The model may be used for autonomous modal tracking towards predictions of full-scale responses based on environmental parameters and inverse force estimation. The SSI-data algorithm relies on the specification of certain parameters namely the block length (number of samples in the data matrix), the block size and model order. The results of a modal identification are dependent on these parameters and it is therefore important to understand how these parameters affect the final solution. To this end, a parametric investigation was performed to recommend a suitable selection of these user parameters for the robust analysis of operational ship data.</t>
  </si>
  <si>
    <t>[van Zijl, C. M.; Bekker, A.] Stellenbosch Univ, Dept Mech &amp; Mechatron Engn, Sound &amp; Vibrat Res Grp, Stellenbosch, South Africa</t>
  </si>
  <si>
    <t>van Zijl, CM (corresponding author), Stellenbosch Univ, Dept Mech &amp; Mechatron Engn, Sound &amp; Vibrat Res Grp, Stellenbosch, South Africa.</t>
  </si>
  <si>
    <t>17534380@sun.ac.za; annieb@sun.ac.za</t>
  </si>
  <si>
    <t>The Flotilla Foundation; Department of Environmental Affairs; National Research Foundation (NRF) through the South African National Antarctic Programme (SANAP) [110737]</t>
  </si>
  <si>
    <t>The Flotilla Foundation; Department of Environmental Affairs; National Research Foundation (NRF) through the South African National Antarctic Programme (SANAP)</t>
  </si>
  <si>
    <t>The Flotilla Foundation is acknowledged for funding the charter of the SA Agulhas II for the Weddell Sea Expedition, 2019. The authors express thanks to the Department of Environmental Affairs and Captain Knowledge Bengu and Crew of the S.A. Agulhas II for their support and assistance during the Weddell Sea Expedition 2019. Funding from the National Research Foundation (NRF) through the South African National Antarctic Programme (SANAP Grant No.110737) is thankfully recognized.</t>
  </si>
  <si>
    <t>WOS:000598243800059</t>
  </si>
  <si>
    <t>Havermans, C; Auel, H; Hagen, W; Held, C; Ensor, NS; Tarling, GA</t>
  </si>
  <si>
    <t>Sheppard, C</t>
  </si>
  <si>
    <t>Havermans, Charlotte; Auel, Holger; Hagen, Wilhelm; Held, Christoph; Ensor, Natalie S.; Tarling, Geraint A.</t>
  </si>
  <si>
    <t>Predatory zooplankton on the move: Themisto amphipods in high-latitude marine pelagic food webs</t>
  </si>
  <si>
    <t>ADVANCES IN MARINE BIOLOGY, VOL 82</t>
  </si>
  <si>
    <t>Advances in Marine Biology</t>
  </si>
  <si>
    <t>SOUTH GEORGIA REGION; MARGINAL ICE-ZONE; HYPERIID AMPHIPODS; SEA-ICE; GELATINOUS-ZOOPLANKTON; POPULATION-DYNAMICS; SCOTIA SEA; ANTARCTIC PENINSULA; VERTICAL MIGRATION; LIFE-HISTORY</t>
  </si>
  <si>
    <t>Hyperiid amphipods are predatory pelagic crustaceans that are particularly prevalent in high-latitude oceans. Many species are likely to have co-evolved with soft-bodied zooplankton groups such as salps and medusae, using them as substrate, for food, shelter or reproduction. Compared to other pelagic groups, such as fish, euphausiids and soft-bodied zooplankton, hyperiid amphipods are poorly studied especially in terms of their distribution and ecology. Hyperiids of the genus Themisto, comprising seven distinct species, are key players in temperate and cold-water pelagic ecosystems where they reach enormous levels of biomass. In these areas, they are important components of marine food webs, and they are major prey for many commercially important fish and squid stocks. In northern parts of the Southern Ocean, Themisto are so prevalent that they are considered to take on the role that Antarctic krill play further south. Nevertheless, although they are around the same size as krill, and may also occur in swarms, their feeding behaviour and mode of reproduction are completely different, hence their respective impacts on ecosystem structure differ. Themisto are major predators of meso- and macrozooplankton in several major oceanic regions covering shelves to open ocean from the polar regions to the subtropics. Based on a combination of published and unpublished occurrence data, we plot out the distributions of the seven species of Themisto. Further, we consider the different predators that rely on Themisto for a large fraction of their diet, demonstrating their major importance for higher trophic levels such as fish, seabirds and mammals. For instance, T. gaudichaudii in the Southern Ocean comprises a major part of the diets of around 80 different species of squid, fish, seabirds and marine mammals, while T. libellula in the Bering Sea and Greenland waters is a main prey item for commercially exploited fish species. We also consider the ongoing and predicted range expansions of Themisto species in light of environmental changes. In northern high latitudes, sub-Arctic Themisto species are replacing truly Arctic, icebound, species. In the Southern Ocean, a range expansion of T. gaudichaudii is expected as water masses warm, impacting higher trophic levels and biogeochemical cycles. We identify the many knowlegde gaps that must be filled in order to evaluate, monitor and predict the ecological shifts that will result from the changing patterns of distribution and abundance of this important pelagic group.</t>
  </si>
  <si>
    <t>[Havermans, Charlotte; Auel, Holger; Hagen, Wilhelm] Univ Bremen, BreMarE Bremen Marine Ecol, Marine Zool, Bremen, Germany; [Havermans, Charlotte; Held, Christoph] Helmholtz Zentrum Polar &amp; Meeresforsch, Alfred Wegener Inst, Bremerhaven, Germany; [Ensor, Natalie S.; Tarling, Geraint A.] British Antarctic Survey, Nat Environm Res Council, Cambridge, England</t>
  </si>
  <si>
    <t>University of Bremen; Helmholtz Association; Alfred Wegener Institute, Helmholtz Centre for Polar &amp; Marine Research; UK Research &amp; Innovation (UKRI); Natural Environment Research Council (NERC); NERC British Antarctic Survey</t>
  </si>
  <si>
    <t>Havermans, C (corresponding author), Univ Bremen, BreMarE Bremen Marine Ecol, Marine Zool, Bremen, Germany.;Havermans, C (corresponding author), Helmholtz Zentrum Polar &amp; Meeresforsch, Alfred Wegener Inst, Bremerhaven, Germany.</t>
  </si>
  <si>
    <t>charlotte.havermans@awi.de</t>
  </si>
  <si>
    <t>Hagen, Wilhelm/0000-0002-7462-9931</t>
  </si>
  <si>
    <t>NERC [bas0100035] Funding Source: UKRI</t>
  </si>
  <si>
    <t>0065-2881</t>
  </si>
  <si>
    <t>2162-5875</t>
  </si>
  <si>
    <t>978-0-08-102914-5</t>
  </si>
  <si>
    <t>ADV MAR BIOL</t>
  </si>
  <si>
    <t>Adv. Mar. Biol.</t>
  </si>
  <si>
    <t>10.1016/bs.amb.2019.02.002</t>
  </si>
  <si>
    <t>Book Citation Index – Science (BKCI-S); Science Citation Index Expanded (SCI-EXPANDED)</t>
  </si>
  <si>
    <t>BO1HY</t>
  </si>
  <si>
    <t>WOS:000500010600002</t>
  </si>
  <si>
    <t>Echaurren, A; Gianni, GM; Paz, LF; Navarrete, C; Oliveros, V; Encinas, A; Giménez, M; Lince-Klinger, F; Folguera, A</t>
  </si>
  <si>
    <t>Horton, BK; Folguera, A</t>
  </si>
  <si>
    <t>Echaurren, A.; Gianni, Guido M.; Fernandez Paz, Lucia; Navarrete, C.; Oliveros, Veronica; Encinas, A.; Gimenez, Mario; Lince-Klinger, F.; Folguera, Andres</t>
  </si>
  <si>
    <t>Tectonic controls on the building of the North Patagonian fold-thrust belt (∼43°S)</t>
  </si>
  <si>
    <t>ANDEAN TECTONICS</t>
  </si>
  <si>
    <t>SAN-JORGE-BASIN; OFQUI FAULT ZONE; SOUTHERN CENTRAL ANDES; NEW-AGE CONSTRAINTS; U-PB; ANTARCTIC PENINSULA; ARGENTINA IMPLICATIONS; VOLCANIC-ROCKS; CENTRAL CHILE; CHUBUT GROUP</t>
  </si>
  <si>
    <t>[Echaurren, A.] Univ Buenos Aires, IDEAN Inst Andean Studies Don Pablo Groeber, UBA CONICET, Dept Geol Sci,FCEN, Buenos Aires, DF, Argentina; [Gianni, Guido M.; Gimenez, Mario; Lince-Klinger, F.] Natl Univ San Juan, Seismol Geophys Inst Ing Volponi IGSV, FCEFyN, San Juan, Argentina; [Navarrete, C.] Patagonia Natl Univ San Juan Bosco, Fac Nat Sci, Dept Geol, Comodoro Rivadavia, Argentina; [Oliveros, Veronica; Encinas, A.] Univ Concepcion, Dept Earth Sci, Concepcion, Chile; [Fernandez Paz, Lucia] Univ Buenos Aires, IDEAN Inst Andean Studies Don Pablo Groeber, Natl Sci &amp; Tech Res Council CONICET, Fac Exact &amp; Nat Sci, Buenos Aires, DF, Argentina; [Folguera, Andres] Univ Buenos Aires, IDEAN Inst Andean Studies Don Pablo Groeber, Natl Sci &amp; Tech Res Council CONICET, Dept Geol Sci,FCEN, Buenos Aires, DF, Argentina</t>
  </si>
  <si>
    <t>Consejo Nacional de Investigaciones Cientificas y Tecnicas (CONICET); University of Buenos Aires; Universidad Nacional de San Juan; Universidad de Concepcion; Consejo Nacional de Investigaciones Cientificas y Tecnicas (CONICET); Centro Nacional Patagonico (CENPAT); University of Buenos Aires; Consejo Nacional de Investigaciones Cientificas y Tecnicas (CONICET); Centro Nacional Patagonico (CENPAT); University of Buenos Aires</t>
  </si>
  <si>
    <t>Echaurren, A (corresponding author), Univ Buenos Aires, IDEAN Inst Andean Studies Don Pablo Groeber, UBA CONICET, Dept Geol Sci,FCEN, Buenos Aires, DF, Argentina.</t>
  </si>
  <si>
    <t>Fernández Paz, Lucía/ISB-2258-2023</t>
  </si>
  <si>
    <t>Fernández Paz, Lucía/0000-0001-5202-6809</t>
  </si>
  <si>
    <t>Proyecto Fondecyt [1151146]; [PIP 11220150100426]; [UBACYT 20020150100166BA]; [PICT-2016-2252]</t>
  </si>
  <si>
    <t>Proyecto Fondecyt(Comision Nacional de Investigacion Cientifica y Tecnologica (CONICYT)CONICYT FONDECYT); ; ;</t>
  </si>
  <si>
    <t>The authors declare no conflict of interest in the development of this investigation, supported by projects PIP 11220150100426, UBACYT 20020150100166BA, PICT-2016-2252 and Proyecto Fondecyt 1151146. We are truly grateful to R.J. Pankhurst and an anonymous reviewer for detailed corrections that greatly improved the quality of the present manuscript. We thank our partners at the Instituto de Estudios Andinos for fruitful discussions on the tectonics of Patagonia.</t>
  </si>
  <si>
    <t>Radarweg 29, PO Box 211, AMSTERDAM, NETHERLANDS</t>
  </si>
  <si>
    <t>978-0-12-816010-7; 978-0-12-816009-1</t>
  </si>
  <si>
    <t>10.1016/B978-0-12-816009-1.00022-8</t>
  </si>
  <si>
    <t>10.1016/C2017-0-04053-3</t>
  </si>
  <si>
    <t>BR7JU</t>
  </si>
  <si>
    <t>WOS:000668139400023</t>
  </si>
  <si>
    <t>Ghiglione, MC; Ronda, G; Suárez, RJ; Aramendía, I; Barberón, V; Ramos, ME; Tobal, J; Morabito, EG; Martinod, J; Sue, C</t>
  </si>
  <si>
    <t>Ghiglione, Matias C.; Ronda, Gonzalo; Suarez, Rodrigo J.; Aramendia, Ines; Barberon, Vanesa; Ramos, Miguel E.; Tobal, Jonathan; Morabito, Ezequiel Garcia; Martinod, Joseph; Sue, Christian</t>
  </si>
  <si>
    <t>Structure and tectonic evolution of the South Patagonian fold and thrust belt: Coupling between subduction dynamics, climate and tectonic deformation</t>
  </si>
  <si>
    <t>CERRO-TORO FORMATION; LATE PALEOZOIC METASEDIMENTS; CHONOS METAMORPHIC COMPLEX; AUSTRAL-MAGALLANES BASIN; FORELAND BASIN; U-PB; ANTARCTIC PENINSULA; KACHAIKE FORMATION; ALMAGRO ISLAND; BREAK-UP</t>
  </si>
  <si>
    <t>[Ghiglione, Matias C.; Ronda, Gonzalo; Suarez, Rodrigo J.; Aramendia, Ines; Barberon, Vanesa; Ramos, Miguel E.; Tobal, Jonathan] Buenos Aires Univ, CONICET, IDEAN, Buenos Aires, DF, Argentina; [Morabito, Ezequiel Garcia] Rio Negro Univ, CONICET, IIDyPCa, San Carlos De Bariloche, Rio Negro, Argentina; [Martinod, Joseph] Savoie Mont Blanc Univ, Grenoble Alpes Univ, CNRS, IRD,IFSTTAR,ISTerre, F-73000 Chambery, France; [Sue, Christian] Franche Comte Univ, CNRS UMR 6249, Chronoenvironm, Besancon, France</t>
  </si>
  <si>
    <t>University of Buenos Aires; Consejo Nacional de Investigaciones Cientificas y Tecnicas (CONICET); Consejo Nacional de Investigaciones Cientificas y Tecnicas (CONICET); Communaute Universite Grenoble Alpes; Universite Grenoble Alpes (UGA); Centre National de la Recherche Scientifique (CNRS); Institut de Recherche pour le Developpement (IRD); Universite Gustave-Eiffel; Universite Savoie Mont Blanc; Universite de Franche-Comte; Centre National de la Recherche Scientifique (CNRS); CNRS - Institute of Ecology &amp; Environment (INEE)</t>
  </si>
  <si>
    <t>Ghiglione, MC (corresponding author), Buenos Aires Univ, CONICET, IDEAN, Buenos Aires, DF, Argentina.</t>
  </si>
  <si>
    <t>martinod, joseph/N-4238-2016</t>
  </si>
  <si>
    <t>martinod, joseph/0000-0003-0891-5232; Garcia Morabito, Ezequiel/0000-0003-0086-8224</t>
  </si>
  <si>
    <t>project Agencia [PICT-2013-1291]; project CONICET PIP 2014-2016 GI; Argentinian-French ECOS-SUD project [A15U02]</t>
  </si>
  <si>
    <t>project Agencia; project CONICET PIP 2014-2016 GI; Argentinian-French ECOS-SUD project</t>
  </si>
  <si>
    <t>This work has been carried out by the financial support of grants projects Agencia PICT-2013-1291 and CONICET PIP 2014-2016 GI (MG and EGM) Argentinian-French ECOS-SUD project A15U02 (MG and CS). The authors are grateful to Parques Nacionales de Argentina for granting access to protected zones. We want to acknowledge constructive reviews by F. Davila, J. Fosdick, P. Kress, &amp; M. Malkowski.</t>
  </si>
  <si>
    <t>10.1016/B978-0-12-816009-1.00024-1</t>
  </si>
  <si>
    <t>WOS:000668139400025</t>
  </si>
  <si>
    <t>Maksym, T</t>
  </si>
  <si>
    <t>Carlson, CA; Giovannoni, SJ</t>
  </si>
  <si>
    <t>Maksym, Ted</t>
  </si>
  <si>
    <t>Arctic and Antarctic Sea Ice Change: Contrasts, Commonalities, and Causes</t>
  </si>
  <si>
    <t>ANNUAL REVIEW OF MARINE SCIENCE, VOL 11</t>
  </si>
  <si>
    <t>Annual Review of Marine Science</t>
  </si>
  <si>
    <t>sea ice; Arctic; Antarctic; climate; satellite</t>
  </si>
  <si>
    <t>SOUTHERN-OCEAN; ATMOSPHERIC CIRCULATION; INTERNAL VARIABILITY; CLIMATE VARIABILITY; SEASONAL CYCLE; DECADAL TRENDS; EXTENT; SUMMER; IMPACTS; SURFACE</t>
  </si>
  <si>
    <t>Arctic sea ice has declined precipitously in both extent and thickness over the past four decades; by contrast, Antarctic sea ice has shown little overall change, but this masks large regional variability. Climate models have not captured these changes. But these differences do not represent a paradox. The processes governing, and impacts of, natural variability and human-induced changes differ markedly at the poles largely because of the ways in which differences in geography control the properties of and interactions among the atmosphere, ice, and ocean. The impact of natural variability on the ice cover is large at both poles, so modeled ice trends are not entirely inconsistent with contributions from both natural variability and anthropogenic forcing. Despite this concurrence, the coupling of natural climate variability, climate feedbacks, and sea ice is not well understood, and significant biases remain in model representations of the ice cover and the processes that drive it.</t>
  </si>
  <si>
    <t>[Maksym, Ted] Woods Hole Oceanog Inst, Dept Appl Ocean Phys &amp; Engn, Woods Hole, MA 02543 USA</t>
  </si>
  <si>
    <t>Woods Hole Oceanographic Institution</t>
  </si>
  <si>
    <t>Maksym, T (corresponding author), Woods Hole Oceanog Inst, Dept Appl Ocean Phys &amp; Engn, Woods Hole, MA 02543 USA.</t>
  </si>
  <si>
    <t>tmaksym@whoi.edu</t>
  </si>
  <si>
    <t>1941-1405</t>
  </si>
  <si>
    <t>ANNU REV MAR SCI</t>
  </si>
  <si>
    <t>Annu. Rev. Mar. Sci.</t>
  </si>
  <si>
    <t>10.1146/annurev-marine-010816-060610</t>
  </si>
  <si>
    <t>Geochemistry &amp; Geophysics; Marine &amp; Freshwater Biology; Oceanography</t>
  </si>
  <si>
    <t>BL8IC</t>
  </si>
  <si>
    <t>WOS:000456386600009</t>
  </si>
  <si>
    <t>Cessi, P</t>
  </si>
  <si>
    <t>Cessi, Paola</t>
  </si>
  <si>
    <t>The Global Overturning Circulation</t>
  </si>
  <si>
    <t>meridional overturning circulation; ocean dynamics</t>
  </si>
  <si>
    <t>OCEAN CIRCULATION; ATLANTIC; WATER; PACIFIC; MODEL; TRANSPORT; STRATIFICATION; EXCHANGE; CLOSURE; IMPACT</t>
  </si>
  <si>
    <t>In this article, I use the Estimating the Circulation and Climate of the Ocean version 4 (ECCO4) reanalysis to estimate the residual meridional overturning circulation, zonally averaged, over the separate Atlantic and Indo-Pacific sectors. The abyssal component of this estimate differs quantitatively from previously published estimates that use comparable observations, indicating that this component is still undersampled. I also review recent conceptual models of the oceanic meridional overturning circulation and of the mid-depth and abyssal stratification. These theories show that dynamics in the Antarctic circumpolar region are essential in determining the deep and abyssal stratification. In addition, they show that a mid-depth cell consistent with observational estimates is powered by the wind stress in the Antarctic circumpolar region, while the abyssal cell relies on interior diapycnal mixing, which is bottom intensified.</t>
  </si>
  <si>
    <t>[Cessi, Paola] Univ Calif San Diego, Scripps Inst Oceanog, La Jolla, CA 92093 USA</t>
  </si>
  <si>
    <t>University of California System; University of California San Diego; Scripps Institution of Oceanography</t>
  </si>
  <si>
    <t>Cessi, P (corresponding author), Univ Calif San Diego, Scripps Inst Oceanog, La Jolla, CA 92093 USA.</t>
  </si>
  <si>
    <t>pcessi@ucsd.edu</t>
  </si>
  <si>
    <t>10.1146/annurev-marine-010318-095241</t>
  </si>
  <si>
    <t>WOS:000456386600012</t>
  </si>
  <si>
    <t>Cameletti, M; Biondi, F</t>
  </si>
  <si>
    <t>Cameletti, Michela; Biondi, Franco</t>
  </si>
  <si>
    <t>Hierarchical modeling of space-time dendroclimatic fields: Comparing a frequentist and a Bayesian approach</t>
  </si>
  <si>
    <t>Tree rings; STEM; BARCAST; climate reconstruction; autocorrelation</t>
  </si>
  <si>
    <t>RECONSTRUCTING CLIMATE ANOMALIES; MAXIMUM-LIKELIHOOD; REGRESSION-MODELS; STANDARDIZATION; UNCERTAINTY; ALGORITHM</t>
  </si>
  <si>
    <t>Environmental processes, including climatic impacts in cold regions, are typically acting at multiple spatial and temporal scales. Hierarchical models are a flexible statistical tool that allows for decomposing spatiotemporal processes in simpler components connected by conditional probabilistic relationships. This article reviews two hierarchical models that have been applied to treering proxy records of climate to model their space-time structure: STEM (Spatio-Temporal Expectation Maximization) and BARCAST (Bayesian Algorithm for Reconstructing Climate Anomalies in Space and Time). Both models account for spatial and temporal autocorrelation by including latent spatiotemporal processes, and they both take into consideration measurement and model errors, while they differ in their inferential approach. STEM adopts the frequentist perspective, and its parameters are estimated through the expectation-maximization (EM) algorithm, with uncertainty assessed through bootstrap resampling. BARCAST is developed in the Bayesian framework, and relies on Markov chain Monte Carlo (MCMC) algorithms for sampling values from posterior probability distributions of interest. STEM also explicitly includes covariates in the process model definition. As hierarchical modeling keeps contributing to the analysis of complex ecological and environmental processes, proxy reconstructions are likely to improve, thereby providing better constraints on future climate change scenarios and their impacts over cold regions.</t>
  </si>
  <si>
    <t>[Cameletti, Michela] Univ Bergamo, Dept Management Econ &amp; Quantitat Methods, Bergamo, Italy; [Biondi, Franco] Univ Nevada, Dept Nat Resources &amp; Environm Sci, DendroLab, Reno, NV 89557 USA</t>
  </si>
  <si>
    <t>University of Bergamo; Nevada System of Higher Education (NSHE); University of Nevada Reno</t>
  </si>
  <si>
    <t>Biondi, F (corresponding author), Univ Nevada, Dept Nat Resources &amp; Environm Sci, DendroLab, Reno, NV 89557 USA.</t>
  </si>
  <si>
    <t>franco.biondi@gmail.com</t>
  </si>
  <si>
    <t>Biondi, Franco/G-2536-2010</t>
  </si>
  <si>
    <t>Biondi, Franco/0000-0003-0651-104X; Cameletti, Michela/0000-0002-6502-7779</t>
  </si>
  <si>
    <t>PRIN EphaStat Project - Italian Ministry for Education, University and Research [20154X8K23]; U.S. National Science Foundation [AGS-P2C2-1401381, AGS-P2C2-1502379]</t>
  </si>
  <si>
    <t>PRIN EphaStat Project - Italian Ministry for Education, University and Research(Ministry of Education, Universities and Research (MIUR)); U.S. National Science Foundation(National Science Foundation (NSF))</t>
  </si>
  <si>
    <t>M. C. was supported by the PRIN EphaStat Project (project 20154X8K23, https://sites.google.com/site/ephastat) provided by the Italian Ministry for Education, University and Research. F.B. was supported, in part, by the U.S. National Science Foundation under grants AGS-P2C2-1401381 and AGS-P2C2-1502379. The views and conclusions contained in this document are those of the authors and should not be interpreted as representing the opinions or policies of the funding agencies.</t>
  </si>
  <si>
    <t>10.1080/15230430.2019.1585175</t>
  </si>
  <si>
    <t>WOS:000486105800009</t>
  </si>
  <si>
    <t>Tamo, C; Gajewski, K</t>
  </si>
  <si>
    <t>Tamo, Camille; Gajewski, K.</t>
  </si>
  <si>
    <t>Environmental changes of the last 1000 years on Prince of Wales Island, Nunavut, Canada</t>
  </si>
  <si>
    <t>Quantitative paleoclimate reconstruction; pollen; Medieval Climate Anomaly; Little Ice Age; Common Era; Arctic</t>
  </si>
  <si>
    <t>NORTH-ATLANTIC OSCILLATION; ARCTIC SUMMER TEMPERATURES; HOLOCENE CLIMATE-CHANGE; LAKE-SEDIMENTS; BAFFIN-ISLAND; ELLESMERE-ISLAND; MULTI-PROXY; FRESH-WATER; TREE-RINGS; ICE CAP</t>
  </si>
  <si>
    <t>A pollen record from a lake sediment core from southeastern Prince of Wales Island, Nunavut, Canada (SW08; 72.3177, -97.2678, 104 m a.s.l) provides the first high-resolution July temperature reconstruction for the last 1,000 years for the central Canadian Arctic Archipelago. The vegetation underwent marked transitions during the Little Ice Age (LIA; 1500-1800 CE) and Medieval Climate Anomaly (MCA; 1090-1250 CE), which was primarily observed in the proportion of Cyperaceae, Poaceae, and Salix pollen. Cyperaceae pollen was highest in the samples corresponding to the MCA, whereas Poaceae increased during the LIA. In the last 30 years, Salix and Betula pollen increased. The mean July temperature reconstruction showed a long-term cooling from 1080-1915 CE with a sustained cold period from 1800-1915 CE prior to twentieth-century warming. A synthesis of paleoclimate records from across the Arctic demonstrates that pollen-based reconstructions record both high and low frequency climate variability, when sampling resolution is sufficient, and can improve regional climate reconstructions.</t>
  </si>
  <si>
    <t>[Tamo, Camille; Gajewski, K.] Univ Ottawa, Lab Paleoclimatol &amp; Climatol, Dept Geog Environm &amp; Geomat, Ottawa, ON, Canada</t>
  </si>
  <si>
    <t>Tamo, C (corresponding author), Univ Ottawa, Lab Paleoclimatol &amp; Climatol, Dept Geog Environm &amp; Geomat, Ottawa, ON, Canada.</t>
  </si>
  <si>
    <t>ctamo034@uottawa.ca</t>
  </si>
  <si>
    <t>Tamo, Camille/0000-0002-8497-3090</t>
  </si>
  <si>
    <t>Natural Sciences and Engineering Research Council of Canada (NSERC)</t>
  </si>
  <si>
    <t>Natural Sciences and Engineering Research Council of Canada (NSERC)(Natural Sciences and Engineering Research Council of Canada (NSERC))</t>
  </si>
  <si>
    <t>This study was funded by a Discovery Grant from the Natural Sciences and Engineering Research Council of Canada (NSERC) and logistic support from the Polar Continental Shelf Project (PCSP) and the Northern Scientific Training Program (NSTP).</t>
  </si>
  <si>
    <t>10.1080/15230430.2019.1640527</t>
  </si>
  <si>
    <t>WOS:000486105800025</t>
  </si>
  <si>
    <t>Gillespie, TW; Madson, A; Cusack, CF; Xue, YK</t>
  </si>
  <si>
    <t>Gillespie, Thomas W.; Madson, Austin; Cusack, Conor F.; Xue, Yongkang</t>
  </si>
  <si>
    <t>Changes in NDVI and human population in protected areas on the Tibetan Plateau</t>
  </si>
  <si>
    <t>AVHRR; ecoregions; GIMMS(3g); LandScan; protected areas; Tibetan Plateau</t>
  </si>
  <si>
    <t>ECOSYSTEM SERVICES; CHINA; DENSITY; CONSERVATION; BIODIVERSITY; LANDSCAN</t>
  </si>
  <si>
    <t>Understanding the Tibetan Plateau's role in environmental change has gained increasing scientific attention in light of warming and changes in land management. We examine changes in greenness over the Tibetan Plateau using the Normalized Difference Vegetation Index (NDVI) from the Global Inventory Monitoring and Modeling Study (GIMMS(3)g) to identify significant changes over the entire plateau, six ecoregions, and protected areas based on a multiyear time series of July imagery from 1982 to 2015. We also test whether there have been changes in human populations in protected areas. There has been relatively little change in mean NDVI over the Tibetan Plateau or ecoregions, however, there were significant changes at the pixel level. There are sixty-nine protected areas on the Tibetan Plateau; sixty-two protected areas had no significant change in mean NDVI and seven protected areas experienced a significant increase in NDVI. There has been an increase in population within protected areas from 2000 to 2015; however, mean populations significantly increased in two protected areas and significantly decreased in four protected areas. Results suggest a slow greening of the Tibetan Plateau, ecoregions, and protected areas, with a more rapid greening in northern Tibet at the pixel level. Most protected areas are experiencing minor changes in NDVI independent of human population.</t>
  </si>
  <si>
    <t>[Gillespie, Thomas W.; Madson, Austin; Cusack, Conor F.; Xue, Yongkang] Univ Calif Los Angeles, Dept Geog, 1181 Bunche Hall,Box 951524, Los Angeles, CA 90095 USA</t>
  </si>
  <si>
    <t>University of California System; University of California Los Angeles</t>
  </si>
  <si>
    <t>Gillespie, TW (corresponding author), Univ Calif Los Angeles, Dept Geog, 1181 Bunche Hall,Box 951524, Los Angeles, CA 90095 USA.</t>
  </si>
  <si>
    <t>tg@geog.ucla.edu</t>
  </si>
  <si>
    <t>; xue, yongkang/M-6756-2018</t>
  </si>
  <si>
    <t>Madson, Austin/0000-0001-8039-4908; xue, yongkang/0000-0002-6169-9631</t>
  </si>
  <si>
    <t>U.S. National Science Foundation [AGS-1419526]</t>
  </si>
  <si>
    <t>U.S. National Science Foundation(National Science Foundation (NSF))</t>
  </si>
  <si>
    <t>This work was supported by the U.S. National Science Foundation (AGS-1419526).</t>
  </si>
  <si>
    <t>10.1080/15230430.2019.1650541</t>
  </si>
  <si>
    <t>WOS:000508175700001</t>
  </si>
  <si>
    <t>Zhang, J; Tang, QJ; Wang, J; Chen, JT; Zhang, YH; Wang, ZY; Chen, YQ; Zhang, Q; Jia, MH; Zhang, GY; Chen, J; Jiang, FX; Zhang, HF; Zhu, QF; Jiang, P; Ji, T; Zhang, SH</t>
  </si>
  <si>
    <t>Hull, TB; Kim, DW; Hallibert, P</t>
  </si>
  <si>
    <t>Zhang, Jun; Tang, Qi-jie; Wang, Jian; Chen, Jin-ting; Zhang, Yi-hao; Wang, Zhi-yue; Chen, Ya-qi; Zhang, Qian; Jia, Ming-hao; Zhang, Guang-yu; Chen, Jie; Jiang, Feng-xin; Zhang, Hong-fei; Zhu, Qing-feng; Jiang, Peng; Ji, Tuo; Zhang, Shao-hua</t>
  </si>
  <si>
    <t>Design of Near Infrared Sky Brightness Monitor for measurements in Antarctica</t>
  </si>
  <si>
    <t>ASTRONOMICAL OPTICS: DESIGN, MANUFACTURE, AND TEST OF SPACE AND GROUND SYSTEMS II</t>
  </si>
  <si>
    <t>Proceedings of SPIE</t>
  </si>
  <si>
    <t>Symposium on Astronomical Optics - Design, Manufacture, and Test of Space and Ground Systems II held at SPIE Optical Engineering + Applications Conference</t>
  </si>
  <si>
    <t>AUG 12-15, 2019</t>
  </si>
  <si>
    <t>San Diego, CA</t>
  </si>
  <si>
    <t>NIR sky brightness; J,H,Ks band; weak signal detection; low temperature; remote control</t>
  </si>
  <si>
    <t>The Antarctica Plateau with high altitude, low water vapor and low thermal emission from the atmosphere is known as one of the best sites on the earth for conducting astronomical observations from the near infrared to the sub-millimeter. Many optical astronomical telescopes are proposed by Chinese astronomical society at present, such as Kunlun Dark Universe Survey Telescope (KDUST), 6.5-meter optical telescopes and 12-meter optical and infrared telescopes. Accurate estimation of the sky background brightness of proposed sites provides the scientific basis for instruments design and observatory site selection. Based on this requirement, a near-infrared sky brightness monitor (NISBM) based on InGaAs photoelectric diode is designed by using the method of chopper modulation and digital lock-in amplifier in the near infrared band of J, H, Ks. The adaptability of the monitor under extremely low temperature conditions in Antarctica is promoted by taking advantage of PID heating and fault detection system. Considering the weak signal of Ks band in Antarctica, a surface blackbody is equipped for real-time calibration. For the adverse circumstances to human, an EPICS and Web based Remote Control Software is implemented for unattended operation. The NISBM has been successfully installed in Dome A, Antarctica on January 2019.</t>
  </si>
  <si>
    <t>[Zhang, Jun; Tang, Qi-jie; Wang, Jian; Chen, Jin-ting; Zhang, Yi-hao; Wang, Zhi-yue; Chen, Ya-qi; Zhang, Qian; Jia, Ming-hao; Zhang, Guang-yu; Chen, Jie; Jiang, Feng-xin; Zhang, Hong-fei] Univ Sci &amp; Technol China, Dept Modern Phys, State Key Lab Particle Detect &amp; Elect, Hefei 230026, Peoples R China; [Zhu, Qing-feng] Univ Sci &amp; Technol China, Chinese Acad Sci, Dept Astron, Hefei 230026, Peoples R China; [Jiang, Peng; Ji, Tuo; Zhang, Shao-hua] Polar Res Inst China, Shanghai 200136, Peoples R China</t>
  </si>
  <si>
    <t>Chinese Academy of Sciences; University of Science &amp; Technology of China, CAS; Chinese Academy of Sciences; University of Science &amp; Technology of China, CAS; Polar Research Institute of China</t>
  </si>
  <si>
    <t>Wang, J (corresponding author), Univ Sci &amp; Technol China, Dept Modern Phys, State Key Lab Particle Detect &amp; Elect, Hefei 230026, Peoples R China.</t>
  </si>
  <si>
    <t>wangjian@ustc.edu.cn</t>
  </si>
  <si>
    <t>Zhang, Shaohua/HTQ-5246-2023; Zhang, Jun/JAN-9995-2023; Ji, Tuo/O-2611-2017</t>
  </si>
  <si>
    <t>Zhang, Jun/0000-0001-7068-5277;</t>
  </si>
  <si>
    <t>National Natural Science Funds of China [11603023, 11773026]; Fundamental Research Funds for the Central Universities [WK2360000003, WK2030040064]; Natural Science Funds of Anhui Province [1508085MA07]; SOC program [CHINARE2017-02-04]; Research Funds of the State Key Laboratory of Particle Detection and Electronics; CAS Center for Excellence in Particle Physics</t>
  </si>
  <si>
    <t>National Natural Science Funds of China(National Natural Science Foundation of China (NSFC)); Fundamental Research Funds for the Central Universities(Fundamental Research Funds for the Central Universities); Natural Science Funds of Anhui Province; SOC program; Research Funds of the State Key Laboratory of Particle Detection and Electronics; CAS Center for Excellence in Particle Physics</t>
  </si>
  <si>
    <t>The authors greatly thank for discussion on optical system with Zheng-yang Li, Hai-ping Lu at National Astronomical Observatories/Nanjing Institute of Astronomical Optics and Technology, Chinese Academy of Sciences and Liang Chang at Yunnan Astronomical Observatories. The authors greatly thank for the team of China's Antarctic expedition installation NISBM at Dome A. The authors greatly thank for contributions with PLATO and the assistance from Michael Ashley at School of Physics, University of New South Wales, Sydney, Australia. This work was supported by the National Natural Science Funds of China under Grant No: 11603023, 11773026, the Fundamental Research Funds for the Central Universities (WK2360000003, WK2030040064), the Natural Science Funds of Anhui Province under Grant No: 1508085MA07, the SOC program (CHINARE2017-02-04), the Research Funds of the State Key Laboratory of Particle Detection and Electronics, the CAS Center for Excellence in Particle Physics.</t>
  </si>
  <si>
    <t>SPIE-INT SOC OPTICAL ENGINEERING</t>
  </si>
  <si>
    <t>BELLINGHAM</t>
  </si>
  <si>
    <t>1000 20TH ST, PO BOX 10, BELLINGHAM, WA 98227-0010 USA</t>
  </si>
  <si>
    <t>0277-786X</t>
  </si>
  <si>
    <t>1996-756X</t>
  </si>
  <si>
    <t>978-1-5106-2925-7; 978-1-5106-2926-4</t>
  </si>
  <si>
    <t>PROC SPIE</t>
  </si>
  <si>
    <t>111160G</t>
  </si>
  <si>
    <t>10.1117/12.2528974</t>
  </si>
  <si>
    <t>Engineering, Aerospace; Optics</t>
  </si>
  <si>
    <t>Engineering; Optics</t>
  </si>
  <si>
    <t>BP0LD</t>
  </si>
  <si>
    <t>WOS:000535238500012</t>
  </si>
  <si>
    <t>Mahajan, AS; Tinel, L; Hulswar, S; Cuevas, CA; Wang, SS; Ghude, S; Naik, RK; Mishra, RK; Sabu, P; Sarkar, A; Anilkumar, N; Lopez, AS</t>
  </si>
  <si>
    <t>Mahajan, Anoop S.; Tinel, Liselotte; Hulswar, Shrivardhan; Cuevas, Carlos A.; Wang, Shanshan; Ghude, Sachin; Naik, Ravidas K.; Mishra, Rajani K.; Sabu, P.; Sarkar, Amit; Anilkumar, N.; Lopez, Alfonso Saiz</t>
  </si>
  <si>
    <t>Observations of iodine oxide in the Indian Ocean marine boundary layer: A transect from the tropics to the high latitudes</t>
  </si>
  <si>
    <t>ATMOSPHERIC ENVIRONMENT-X</t>
  </si>
  <si>
    <t>Halogens; Indian ocean; Ozone; Marine boundary layer; Iodine</t>
  </si>
  <si>
    <t>ABSORPTION CROSS-SECTIONS; INSTRUMENT CHARACTERIZATION; EASTERN PACIFIC; CHEMISTRY; MONOXIDE; EMISSIONS; OZONE; BRO; HALOGENS; ATLANTIC</t>
  </si>
  <si>
    <t>Observations of iodine oxide (IO) were made in the Indian Ocean and the Southern Ocean marine boundary layer (MBL) during the 8th Indian Southern Ocean Expedition. IO was observed almost ubiquitously in the open ocean with larger mixing ratios south of the Polar Front (PF). Contrary to previous reports, IO was not positively correlated to sea surface temperature (SST)/salinity, or negatively to chlorophyll a. Over the whole expedition, SST showed a weak negative correlation with respect to IO while chl a was positively correlated. North of the PF, chl a showed a strong positive correlation with IO. The computed HOI and I-2 fluxes do not show any significant correlation with atmospheric IO. Simulations with the global CAM-Chem model show a reasonably good agreement with observations north of the PF but the model fails to reproduce the elevated IO south of the PF indicating that the current emission parametrizations are not sufficient to explain iodine chemistry in the Southern Indian Ocean.</t>
  </si>
  <si>
    <t>[Mahajan, Anoop S.; Ghude, Sachin] Indian Inst Trop Meteorol, Ctr Climate Change Res, Pune, Maharashtra, India; [Tinel, Liselotte] Univ York, Dept Chem, Wolfson Atmospher Chem Labs, York YO10 5DD, N Yorkshire, England; [Hulswar, Shrivardhan] Goa Univ, Dept Marine Sci, Taleigao Plateau, Goa, India; [Cuevas, Carlos A.; Wang, Shanshan; Lopez, Alfonso Saiz] CSIC, Dept Atmospher Chem &amp; Climate, Inst Phys Chem Rocasolano, Madrid, Spain; [Naik, Ravidas K.; Mishra, Rajani K.; Sabu, P.; Sarkar, Amit; Anilkumar, N.] Natl Ctr Antarctic &amp; Ocean Res, Vasco Da Gama, Goa, India</t>
  </si>
  <si>
    <t>Ministry of Earth Sciences (MoES) - India; Indian Institute of Tropical Meteorology (IITM); Centre for Climate Change Research - India; University of York - UK; Goa University; Consejo Superior de Investigaciones Cientificas (CSIC); CSIC - Instituto de Quimica Fisica Rocasolano (IQFR); Ministry of Earth Sciences (MoES) - India; National Centre for Polar and Ocean Research (NCPOR)</t>
  </si>
  <si>
    <t>Mahajan, AS (corresponding author), Indian Inst Trop Meteorol, Ctr Climate Change Res, Pune, Maharashtra, India.</t>
  </si>
  <si>
    <t>anoop@tropmet.res.in</t>
  </si>
  <si>
    <t>Tinel, Liselotte/ABE-1893-2021; Hulswar, Shrivardhan/GMW-4749-2022; Tinel, Liselotte/I-8755-2018; Mahajan, Anoop/D-2714-2012</t>
  </si>
  <si>
    <t>Hulswar, Shrivardhan/0000-0002-1346-9823; Wang, Shanshan/0000-0003-2590-9563; Tinel, Liselotte/0000-0003-1742-2755; Mahajan, Anoop/0000-0002-2909-5432; Cuevas Rodriguez, Carlos Alberto/0000-0002-9251-5460</t>
  </si>
  <si>
    <t>Ministry of Earth Sciences, Government of India; NERC [NE/N009983/1] Funding Source: UKRI</t>
  </si>
  <si>
    <t>Ministry of Earth Sciences, Government of India(Ministry of Earth Science (MoES), Government of India); NERC(UK Research &amp; Innovation (UKRI)Natural Environment Research Council (NERC))</t>
  </si>
  <si>
    <t>IITM is funded by the Ministry of Earth Sciences, Government of India. Data are available on the IITM and NCAOR database, details of which are available upon request (anoop@tropmet.res.in).</t>
  </si>
  <si>
    <t>2590-1621</t>
  </si>
  <si>
    <t>ATMOS ENVIRON-X</t>
  </si>
  <si>
    <t>Atmos. Environ-X</t>
  </si>
  <si>
    <t>10.1016/j.aeaoa.2019.100016</t>
  </si>
  <si>
    <t>LK1TK</t>
  </si>
  <si>
    <t>gold, Green Published, Green Accepted</t>
  </si>
  <si>
    <t>WOS:000530641200010</t>
  </si>
  <si>
    <t>Turner, F; Wilkinson, R; Buck, C; Jones, J; Sime, L</t>
  </si>
  <si>
    <t>Argiento, R; Durante, D; Wade, S</t>
  </si>
  <si>
    <t>Turner, Fiona; Wilkinson, Richard; Buck, Caitlin; Jones, Julie; Sime, Louise</t>
  </si>
  <si>
    <t>Ice Cores and Emulation: Learning More About Past Ice Sheet Shapes</t>
  </si>
  <si>
    <t>BAYESIAN STATISTICS AND NEW GENERATIONS, BAYSM 2018</t>
  </si>
  <si>
    <t>Springer Proceedings in Mathematics &amp; Statistics</t>
  </si>
  <si>
    <t>4th Bayesian Young Statisticians Meeting (BAYSM)</t>
  </si>
  <si>
    <t>JUL 02-03, 2018</t>
  </si>
  <si>
    <t>Warwick, ENGLAND</t>
  </si>
  <si>
    <t>Antarctic ice sheets; Expert elicitation; Principal component analysis; Subjective Bayesian methods</t>
  </si>
  <si>
    <t>MODEL</t>
  </si>
  <si>
    <t>Creating more accurate reconstructions of past Antarctic ice sheet shapes allows us to better predict how they will vary in the changing climate and contribute to future sea level changes. In this research, we use expert elicitation to create a subjective prior distribution of the Antarctic ice sheets at the Last Glacial Maximum (LGM), 21Ka. A design of shapes from this distribution will be run through the global climate model HadCM3, providing us with output that we can compare with proxy data to find a better estimate of the ice sheet shape at the LGM.</t>
  </si>
  <si>
    <t>[Turner, Fiona; Wilkinson, Richard; Buck, Caitlin] Univ Sheffield, Sch Math &amp; Stat, Sheffield, S Yorkshire, England; [Jones, Julie] Univ Sheffield, Dept Geog, Sheffield, S Yorkshire, England; [Sime, Louise] British Antarctic Survey, Cambridge, England</t>
  </si>
  <si>
    <t>University of Sheffield; University of Sheffield; UK Research &amp; Innovation (UKRI); Natural Environment Research Council (NERC); NERC British Antarctic Survey</t>
  </si>
  <si>
    <t>Turner, F (corresponding author), Univ Sheffield, Sch Math &amp; Stat, Sheffield, S Yorkshire, England.</t>
  </si>
  <si>
    <t>feturner1@sheffield.ac.uk; r.d.wilkinson@sheffield.ac.uk; c.e.buck@sheffield.ac.uk; julie.jones@sheffield.ac.uk; lsim@bas.ac.uk</t>
  </si>
  <si>
    <t>; Wilkinson, Richard/A-2431-2016</t>
  </si>
  <si>
    <t>Buck, Caitlin Elisabeth/0000-0002-0872-9504; Turner, Fiona/0000-0002-5919-153X; Wilkinson, Richard/0000-0001-7729-7023</t>
  </si>
  <si>
    <t>NERC [bas0100034] Funding Source: UKRI</t>
  </si>
  <si>
    <t>2194-1009</t>
  </si>
  <si>
    <t>978-3-030-30611-3; 978-3-030-30610-6</t>
  </si>
  <si>
    <t>SPRINGER P MATH STAT</t>
  </si>
  <si>
    <t>10.1007/978-3-030-30611-3_18</t>
  </si>
  <si>
    <t>Mathematics, Applied; Statistics &amp; Probability</t>
  </si>
  <si>
    <t>Mathematics</t>
  </si>
  <si>
    <t>BU6SP</t>
  </si>
  <si>
    <t>WOS:000927892500018</t>
  </si>
  <si>
    <t>Dunn, MJ; Forcada, J; Jackson, JA; Waluda, CM; Nichol, C; Trathan, PN</t>
  </si>
  <si>
    <t>Dunn, Michael J.; Forcada, Jaume; Jackson, Jennifer A.; Waluda, Claire M.; Nichol, Camilla; Trathan, Philip N.</t>
  </si>
  <si>
    <t>A long-term study of gentoo penguin (Pygoscelis papua) population trends at a major Antarctic tourist site, Goudier Island, Port Lockroy</t>
  </si>
  <si>
    <t>BIODIVERSITY AND CONSERVATION</t>
  </si>
  <si>
    <t>Population; Decline; Monitoring; Tourism; Air temperature; Sea ice</t>
  </si>
  <si>
    <t>CLIMATE-CHANGE; SEA-ICE; RESPONSES; PENINSULA; ADELIE; ECOSYSTEM; FOOD</t>
  </si>
  <si>
    <t>Gentoo penguins Pygoscelis papua breed at a number of sites at the West Antarctic Peninsula, including Goudier Island, Port Lockroythe longest studied location for tourist-penguin interactions in the Antarctic. These penguins annually encounter some of the highest numbers of tourists in the whole of Antarctica. Using yearly count data from all ten colonies on Goudier Island, we report changes in long-term population size and breeding success over a 21year period (1996/1997 to 2016/2017), documenting inter-annual variability in numbers of breeding pairs and chicks fledged (productivity). We found a 24.5% (1.4% per annum) decrease in breeding pairs; similar declines were evident in breeding pairs at six colonies visited by tourists as well as at four unvisited colonies. Breeding success also declined, with chick numbers declining in visited (53.7%, 3.8% per annum) and unvisited colonies (59.8%, 4.6% per annum). While gentoo penguin numbers are increasing regionally, we reveal a recent decline in the Goudier Island population occurring simultaneous with increases in tourist numbers from 262 in 1996/1997 to 19,688 in 2016/2017. Analyses suggest a complex situation with different possible drivers of change. There was a significant negative effect of increasing air temperature and shifts in sea ice variables on breeding pairs. However, similar statistical support showed a significant link existed between year and visitors, with higher numbers of visitors negatively affecting penguin numbers. Based on our results we recommend increased precaution in management at Goudier Island, and initiation of similar studies at other frequently visited penguin sites in Antarctica.</t>
  </si>
  <si>
    <t>[Dunn, Michael J.; Forcada, Jaume; Jackson, Jennifer A.; Waluda, Claire M.; Trathan, Philip N.] British Antarctic Survey, Nat Environm Res Council, Madingley Rd, Cambridge CB3 0ET, England; [Nichol, Camilla] UK Antarctic Heritage Trust, Madingley Rd, Cambridge CB3 0ET, England</t>
  </si>
  <si>
    <t>UK Research &amp; Innovation (UKRI); Natural Environment Research Council (NERC); NERC British Antarctic Survey</t>
  </si>
  <si>
    <t>Dunn, MJ (corresponding author), British Antarctic Survey, Nat Environm Res Council, Madingley Rd, Cambridge CB3 0ET, England.</t>
  </si>
  <si>
    <t>mdunn@bas.ac.uk</t>
  </si>
  <si>
    <t>Forcada, Jaume/GYU-0677-2022; Jackson, Jennifer A/E-7997-2013</t>
  </si>
  <si>
    <t>Dunn, Michael/0000-0003-4633-5466; Jackson, Jennifer/0000-0003-4158-1924</t>
  </si>
  <si>
    <t>Natural Environment Research Council; NERC [bas0100035] Funding Source: UKRI</t>
  </si>
  <si>
    <t>Natural Environment Research Council(UK Research &amp; Innovation (UKRI)Natural Environment Research Council (NERC)); NERC(UK Research &amp; Innovation (UKRI)Natural Environment Research Council (NERC))</t>
  </si>
  <si>
    <t>We thank all the staff of the United Kingdom Antarctic Heritage Trust and British Antarctic Survey (BAS) who have contributed to and supported the long-term penguin monitoring programme at Port Lockroy. We also thank Laura Gerrish for her mapping assistance and three reviewers for their helpful advice and comments. This study is part of the Ecosystems component of the British Antarctic Survey Polar Science for Planet Earth Programme, funded by The Natural Environment Research Council.</t>
  </si>
  <si>
    <t>0960-3115</t>
  </si>
  <si>
    <t>1572-9710</t>
  </si>
  <si>
    <t>BIODIVERS CONSERV</t>
  </si>
  <si>
    <t>Biodivers. Conserv.</t>
  </si>
  <si>
    <t>10.1007/s10531-018-1635-6</t>
  </si>
  <si>
    <t>Biodiversity Conservation; Ecology; Environmental Sciences</t>
  </si>
  <si>
    <t>HG2EU</t>
  </si>
  <si>
    <t>hybrid, Green Accepted</t>
  </si>
  <si>
    <t>WOS:000454776800003</t>
  </si>
  <si>
    <t>Dodds, K</t>
  </si>
  <si>
    <t>Freeman, TS; Smith, DL</t>
  </si>
  <si>
    <t>Dodds, Klaus</t>
  </si>
  <si>
    <t>Filming and Formatting the Explorer Hero: Captain Scott and Ealing Studios' Scott of the Antarctic (1948)</t>
  </si>
  <si>
    <t>BIOGRAPHY AND HISTORY IN FILM</t>
  </si>
  <si>
    <t>Palgrave Studies in the History of the Media</t>
  </si>
  <si>
    <t>[Dodds, Klaus] Royal Holloway Univ London, London, England</t>
  </si>
  <si>
    <t>University of London; Royal Holloway University London</t>
  </si>
  <si>
    <t>Dodds, K (corresponding author), Royal Holloway Univ London, London, England.</t>
  </si>
  <si>
    <t>K.Dodds@rhul.ac.uk</t>
  </si>
  <si>
    <t>PALGRAVE MACMILLAN</t>
  </si>
  <si>
    <t>4 CRINAN ST, LONDON, LONDON, ENGLAND</t>
  </si>
  <si>
    <t>978-3-319-89408-9; 978-3-319-89407-2</t>
  </si>
  <si>
    <t>PALG STUD HIST MEDIA</t>
  </si>
  <si>
    <t>10.1007/978-3-319-89408-9_11</t>
  </si>
  <si>
    <t>10.1007/978-3-319-89408-9</t>
  </si>
  <si>
    <t>Film, Radio, Television; History</t>
  </si>
  <si>
    <t>Film, Radio &amp; Television; History</t>
  </si>
  <si>
    <t>BQ2IO</t>
  </si>
  <si>
    <t>WOS:000579613500011</t>
  </si>
  <si>
    <t>McSween, HY</t>
  </si>
  <si>
    <t>Cavalazzi, B; Westall, F</t>
  </si>
  <si>
    <t>McSween, Harry Y., Jr.</t>
  </si>
  <si>
    <t>The Search for Biosignatures in Martian Meteorite Allan Hills 84001</t>
  </si>
  <si>
    <t>BIOSIGNATURES FOR ASTROBIOLOGY</t>
  </si>
  <si>
    <t>Advances in Astrobiology and Biogeophysics</t>
  </si>
  <si>
    <t>POLYCYCLIC AROMATIC-HYDROCARBONS; LOW-TEMPERATURE; ISOTOPIC COMPOSITIONS; CARBONATE GLOBULES; MAGNETITE CRYSTALS; ORTHOPYROXENITE ALH84001; PETROLOGIC EVIDENCE; TERRESTRIAL ANALOG; ORGANIC-MATTER; SNC METEORITES</t>
  </si>
  <si>
    <t>Proposed biosignatures in the ancient Allan Hills 84001 martian meteorite are most plausibly explained as abiotic features. The purported evidence of biological activity on Mars included biogenic minerals (magnetite and sulphide formed by magnetotactic and sulphate-respiring microorganisms), organic matter resulting from the decay of such organisms, microfossils, and biofilms, all physically associated with biologically mediated carbonates. The zoned carbonate globules formed by inorganic precipitation from an aqueous fluid or evaporative brine circulating within fractures in this igneous rock. A subsequent shock event partially volatilized Fe-carbonate, and its decomposition produced nanophase magnetite crystals with unusual morphologies, structures, and compositions consistent with vapour condensation. Sulphur isotopes in sulphide are unlike those in terrestrial biogenic sulphides. The organic compounds identified in ALH 84001 include polycyclic aromatic hydrocarbons, complex macromolecules, graphite, and amino acids, most of which are terrestrial, based on their carbon isotopes and stereochemistry. A small amount of the organic matter may be martian, but even that likely had an exogenic (chondritic) source. The putative microfossils were identified only by morphology, without any other supporting observations. These forms are apparently too small to represent viable organisms, which has engendered controversy about the plausibility of nanobacteria. Observations of possible fossilized biofilms are compromised by infiltration of the meteorite by terrestrial microorganisms in the Antarctic environment from which the meteorite was recovered. The controversial hypothesis that ALH 84001 contains evidence of extraterrestrial biology has mostly subsided, but it has fuelled a Mars exploration program focused on the search for life and has helped refine the criteria for the recognition of biosignatures.</t>
  </si>
  <si>
    <t>[McSween, Harry Y., Jr.] Univ Tennessee, Knoxville, TN 37996 USA</t>
  </si>
  <si>
    <t>University of Tennessee System; University of Tennessee Knoxville</t>
  </si>
  <si>
    <t>McSween, HY (corresponding author), Univ Tennessee, Knoxville, TN 37996 USA.</t>
  </si>
  <si>
    <t>mcsween@utk.edu</t>
  </si>
  <si>
    <t>1610-8957</t>
  </si>
  <si>
    <t>978-3-319-96175-0; 978-3-319-96174-3</t>
  </si>
  <si>
    <t>ADV ASTROBIOL BIOGEO</t>
  </si>
  <si>
    <t>Adv. Astrobiol. Biogeophys.</t>
  </si>
  <si>
    <t>10.1007/978-3-319-96175-0_8</t>
  </si>
  <si>
    <t>10.1007/978-3-319-96175-0</t>
  </si>
  <si>
    <t>Astronomy &amp; Astrophysics; Biology</t>
  </si>
  <si>
    <t>Astronomy &amp; Astrophysics; Life Sciences &amp; Biomedicine - Other Topics</t>
  </si>
  <si>
    <t>BQ0UQ</t>
  </si>
  <si>
    <t>WOS:000573728200010</t>
  </si>
  <si>
    <t>Strain, EMA; Edgar, GJ; Ceccarelli, D; Stuart-Smith, RD; Hosack, GR; Thomson, RJ</t>
  </si>
  <si>
    <t>Strain, Elisabeth M. A.; Edgar, Graham J.; Ceccarelli, Daniela; Stuart-Smith, Rick D.; Hosack, Geoffrey R.; Thomson, Russell J.</t>
  </si>
  <si>
    <t>A global assessment of the direct and indirect benefits of marine protected areas for coral reef conservation</t>
  </si>
  <si>
    <t>algal cover; fish biomass; herbivorous fishes; impacts of fishing; marine reserves; predatory fishes; Reef Life Survey; trophic interactions</t>
  </si>
  <si>
    <t>GREAT-BARRIER-REEF; NO-TAKE RESERVES; CLIMATE-CHANGE; COMMUNITIES; RESILIENCE; MANAGEMENT; STRESSORS; HERBIVORY; OUTCOMES; DECLINE</t>
  </si>
  <si>
    <t>Aim Marine protected areas (MPAs) are increasingly implemented to conserve or restore coral reef biodiversity, yet evidence of their benefits for enhancing coral cover is limited and variable. Location 30 MPAs worldwide and nearby sites (within 10 km). Taxa Cover of key functional groups for coral (total, branching, massive and tabular), and algae (total, filamentous, foliose) and total biomass of reef fish trophic groups (excavator, scraper, browser, higher carnivore). Methods We used a global dataset obtained using standardized survey methods at 465 sites associated with 30 MPAs in 28 ecoregions to test the effects of five key MPA attributes (&gt;10 years old, well-enforced, no-take, large and isolated) on coral cover, algal cover and reef fish biomass. We also tested the direct (reducing disturbance by human activities) versus indirect pathways (increasing grazing potential through recovering populations of herbivorous fishes) by which MPAs can influence coral and algal cover. Results Only well-enforced, no-take and old (&gt;10 years) MPAs had higher total coral cover (response ratio 1.08-1.19x) than fished sites, mostly due to the increased cover of massive coral growth forms (1.34-2.06x). This effect arose through both the direct influence of protection and indirect benefits of depressed algal cover by recovering herbivorous fish biomass. Neither the direct (standardized coefficient = 0.06) nor indirect effects (standardized coefficient = 0.04) of no-take protection on coral cover were particularly strong, likely reflecting regional differences in fishing gear, targeted species and trophic webs. Conclusions MPAs promote the persistence of some functional groups of corals, and thus represent an important management tool, globally.</t>
  </si>
  <si>
    <t>[Strain, Elisabeth M. A.] Univ Melbourne, Sch Biosci, Parkville, Vic, Australia; [Strain, Elisabeth M. A.; Edgar, Graham J.; Stuart-Smith, Rick D.; Thomson, Russell J.] Univ Tasmania, Inst Marine &amp; Antarctic Studies, Hobart, Tas, Australia; [Ceccarelli, Daniela] James Cook Univ, ARC Ctr Excellence Coral Reef Studies, Townsville, Qld, Australia; [Hosack, Geoffrey R.] CSIRO, Hobart, Tas, Australia; [Thomson, Russell J.] Univ Western Sydney, Sch Comp Engn &amp; Math, Ctr Res Math, Penrith, NSW, Australia</t>
  </si>
  <si>
    <t>University of Melbourne; University of Tasmania; James Cook University; Commonwealth Scientific &amp; Industrial Research Organisation (CSIRO); Western Sydney University</t>
  </si>
  <si>
    <t>Strain, EMA (corresponding author), Univ Melbourne, Sch Biosci, Parkville, Vic, Australia.</t>
  </si>
  <si>
    <t>beth.strain@unimelb.edu.au</t>
  </si>
  <si>
    <t>Ceccarelli, Daniela/AAN-3577-2020; Ceccarelli, Daniela/AGO-7628-2022; Edgar, Graham/AAY-3797-2020; Stuart-Smith, Rick D/M-1829-2013; Strain, Elisabeth/U-3520-2017; Hosack, Geoffrey/E-8566-2010; Thomson, Russell/H-5653-2012</t>
  </si>
  <si>
    <t>Edgar, Graham/0000-0003-0833-9001; Stuart-Smith, Rick D/0000-0002-8874-0083; Hosack, Geoffrey/0000-0002-6462-6817; Thomson, Russell/0000-0003-4949-4120</t>
  </si>
  <si>
    <t>10.1111/ddi.12838</t>
  </si>
  <si>
    <t>WOS:000455265600003</t>
  </si>
  <si>
    <t>Simon, EW; Joanne, MJ; Jacqueline, AH; Dietmar, MR</t>
  </si>
  <si>
    <t>Simon, Williams E.; Joanne, Whittaker M.; Jacqueline, Halpin A.; Dietmar, Milner R.</t>
  </si>
  <si>
    <t>Australian-Antarctic breakup and seafloor spreading: Balancing geological and geophysical constraints</t>
  </si>
  <si>
    <t>EARTH-SCIENCE REVIEWS</t>
  </si>
  <si>
    <t>OCEAN-CONTINENT TRANSITION; MAGNETIC-ANOMALIES; INDIAN-OCEAN; WILKES LAND; SOUTHEASTERN AUSTRALIA; PLATE RECONSTRUCTION; FINITE ROTATIONS; RIFTED MARGINS; NORTH-ATLANTIC; EAST GONDWANA</t>
  </si>
  <si>
    <t>The motion of diverging tectonic plates is typically constrained by geophysical data from preserved ocean crust. However, constraining plate motions during continental rifting and the breakup process relies on balancing evidence from a diverse range of geological and geophysical observations, often subject to differing interpretations. Reconstructing the evolution of rifting and breakup between Australia and Antarctica epitomizes the challenges involved in creating detailed models of Pangea breakup. In this example, differing degrees of emphasis on and alternative interpretations of offshore geophysical data, in particular magnetic anomalies and seismic reflection profiles, and onshore geological data, lead to starkly contrasting views of how the continents were configured at the onset of Mesozoic rifting. Here, we critically review reconstructions of rifting and breakup in the light of all available geological and geophysical data, including magnetic anomalies, fracture zones, conjugate crustal domains, amounts of continental extension, continental geology, plate boundary locations, break-up ages and stratigraphy. We identify the most viable plate tectonic reconstructions both with and without the input of the oldest, more controversial magnetic anomaly interpretations, and discuss implications for reconstructions of other margin pairs. Our analysis highlights key discrepancies between reconstructions based solely on geological piercing points, and those based on a range of constraints. These insights provide a powerful framework for reducing the range of viable models for Australian-Antarctic rifting, and provide key lessons for future efforts aimed at constraining pre- and syn-rift plate tectonic reconstructions.</t>
  </si>
  <si>
    <t>[Simon, Williams E.; Dietmar, Milner R.] Univ Sydney, Sch Geosci, EarthByte Grp, Sydney, NSW 2006, Australia; [Joanne, Whittaker M.; Jacqueline, Halpin A.; Dietmar, Milner R.] Univ Tasmania, Inst Marine &amp; Antarctic Studies, Private Bag 129, Hobart, Tas 7001, Australia</t>
  </si>
  <si>
    <t>University of Sydney; University of Tasmania</t>
  </si>
  <si>
    <t>Simon, EW (corresponding author), Univ Sydney, Sch Geosci, EarthByte Grp, Sydney, NSW 2006, Australia.</t>
  </si>
  <si>
    <t>simon.wiliiams@sydney.edu.au</t>
  </si>
  <si>
    <t>Müller, Dietmar/L-1200-2019; Halpin, Jacqueline A/A-3776-2014; Whittaker, Joanne/B-3695-2010</t>
  </si>
  <si>
    <t>Müller, Dietmar/0000-0002-3334-5764; Halpin, Jacqueline A/0000-0002-4992-8681; Williams, Simon/0000-0003-4670-8883; Whittaker, Joanne/0000-0002-3170-3935</t>
  </si>
  <si>
    <t>ARC [DP130101946, IH130200012, DE140100376, DP180102280]; Australian Research Council [SR140300001]; Australian Research Council [DE140100376] Funding Source: Australian Research Council</t>
  </si>
  <si>
    <t>ARC(Australian Research Council); Australian Research Council(Australian Research Council); Australian Research Council(Australian Research Council)</t>
  </si>
  <si>
    <t>S.E.W. and R.D.M. were supported by ARC grants DP130101946 and IH130200012. J.M.W. was supported by ARC grant DE140100376. J.A.H was supported under Australian Research Council's Special Research Initiative for Antarctic Gateway Partnership SR140300001. S.E.W. and J.M.W. were supported by ARC grant DP180102280. We are grateful to Brian Wernicke and an anonymous reviewer for perceptive comments which improved the manuscript.</t>
  </si>
  <si>
    <t>0012-8252</t>
  </si>
  <si>
    <t>1872-6828</t>
  </si>
  <si>
    <t>EARTH-SCI REV</t>
  </si>
  <si>
    <t>Earth-Sci. Rev.</t>
  </si>
  <si>
    <t>10.1016/j.earscirev.2018.10.011</t>
  </si>
  <si>
    <t>HR9ER</t>
  </si>
  <si>
    <t>WOS:000463462500002</t>
  </si>
  <si>
    <t>Absher, TM; Ferreira, SL; Kern, Y; Ferreira, AL; Christo, SW; Ando, RA</t>
  </si>
  <si>
    <t>Absher, Theresinha Monteiro; Ferreira, Silvio Luiz; Kern, Yargos; Ferreira, Augusto Luiz, Jr.; Christo, Susete Wambier; Ando, Romulo Augusto</t>
  </si>
  <si>
    <t>Incidence and identification of microfibers in ocean waters in Admiralty Bay, Antarctica</t>
  </si>
  <si>
    <t>ENVIRONMENTAL SCIENCE AND POLLUTION RESEARCH</t>
  </si>
  <si>
    <t>Marine debris; Microplastic; Synthetic fibers; King George Island; Raman microscopy; Antarctic environment</t>
  </si>
  <si>
    <t>MICROPLASTIC INGESTION; RAMAN-SPECTROSCOPY; SURFACE WATERS; ROSS SEA; SEDIMENTS; LARVAE; PARTICLES; SYSTEM; AREA</t>
  </si>
  <si>
    <t>Antarctic pristine environment is threatened by the presence of microplastics that occur in a variety of shapes and sizes, from fibers to irregular fragments. The aim of this study is to assess the abundance, distribution, and the characterization of the microfibers in zooplankton samples found in ocean waters in Admiralty Bay, Antarctica. The samples were collected at five points in Admiralty Bay during the XXIX Brazilian Antarctic Expedition in the austral summer of 2010-2011. A total of 603 microfibers were collected in 60 samples, with an average abundance of 2.40 (4.57) microfibers100m(-3). Microfiber size ranging from ca. 10 to 22m in diameter of various lengths and colors (blue, red, black, and clear) was collected and characterized by scanning electron microscopy (SEM) and Raman spectroscopy. Most of these microfibers were entangled in various different zooplankton species and were identified as polymers composed mostly by polyethyleneglycols, polyurethanes, polyethylene terephthalates, and polyamides. The presence of such microfibers may cause the loss of biodiversity in the Antarctic continent, and the results presented herein can contribute to a better understanding of the impact caused by them within the food chain and human health.</t>
  </si>
  <si>
    <t>[Absher, Theresinha Monteiro; Ferreira, Silvio Luiz; Kern, Yargos; Ferreira, Augusto Luiz, Jr.] Univ Fed Parana, Ctr Estudos Mar, Ave Beira Mar S-N,Caixa Postal 50-002, BR-83255971 Pontal Do Parana, Parana, Brazil; [Ferreira, Augusto Luiz, Jr.; Christo, Susete Wambier] Univ Estadual Ponta Grossa, Dept Biol Geral DEBIO, Ave Gen Carlos Cavalcanti 4748, BR-84030900 Ponta Grossa, Parana, Brazil; [Ando, Romulo Augusto] Univ Sao Paulo, Inst Quim, Dept Quim Fundamental, Ave Prof Lineu Prestes 748,B4T, BR-05508000 Sao Paulo, SP, Brazil</t>
  </si>
  <si>
    <t>Universidade Federal do Parana; Universidade Estadual de Ponta Grossa; Universidade de Sao Paulo</t>
  </si>
  <si>
    <t>Absher, TM (corresponding author), Univ Fed Parana, Ctr Estudos Mar, Ave Beira Mar S-N,Caixa Postal 50-002, BR-83255971 Pontal Do Parana, Parana, Brazil.;Ando, RA (corresponding author), Univ Sao Paulo, Inst Quim, Dept Quim Fundamental, Ave Prof Lineu Prestes 748,B4T, BR-05508000 Sao Paulo, SP, Brazil.</t>
  </si>
  <si>
    <t>tmabsher@ufpr.br; raando@iq.usp.br</t>
  </si>
  <si>
    <t>Ferreira, Augusto Luiz/AAQ-1513-2021; Ando, Romulo Augusto/C-9665-2012</t>
  </si>
  <si>
    <t>Ferreira, Augusto Luiz/0000-0001-9336-0782; Ando, Romulo Augusto/0000-0002-3872-8094</t>
  </si>
  <si>
    <t>National Institute of Science and Technology Antarctic Environmental Research (INCT-APA) from the National Council for Research and Development (CNPq) [574018/2008-5]; Carlos Chagas Research Support Foundation of the State of Rio de Janeiro (FAPERJ) [E-16/170.023/2008]</t>
  </si>
  <si>
    <t>National Institute of Science and Technology Antarctic Environmental Research (INCT-APA) from the National Council for Research and Development (CNPq); Carlos Chagas Research Support Foundation of the State of Rio de Janeiro (FAPERJ)(Fundacao Carlos Chagas Filho de Amparo a Pesquisa do Estado do Rio De Janeiro (FAPERJ))</t>
  </si>
  <si>
    <t>This work is sponsored by the National Institute of Science and Technology Antarctic Environmental Research (INCT-APA) that receives scientific and financial support from the National Council for Research and Development (CNPq process: no. 574018/2008-5) and Carlos Chagas Research Support Foundation of the State of Rio de Janeiro (FAPERJ no. E-16/170.023/2008).</t>
  </si>
  <si>
    <t>0944-1344</t>
  </si>
  <si>
    <t>1614-7499</t>
  </si>
  <si>
    <t>ENVIRON SCI POLLUT R</t>
  </si>
  <si>
    <t>Environ. Sci. Pollut. Res.</t>
  </si>
  <si>
    <t>10.1007/s11356-018-3509-6</t>
  </si>
  <si>
    <t>HG4IR</t>
  </si>
  <si>
    <t>WOS:000454939400028</t>
  </si>
  <si>
    <t>Shuckburgh, E</t>
  </si>
  <si>
    <t>Needham, D; Weitzdorfer, J</t>
  </si>
  <si>
    <t>Shuckburgh, Emily</t>
  </si>
  <si>
    <t>Extreme Weather</t>
  </si>
  <si>
    <t>EXTREMES</t>
  </si>
  <si>
    <t>Darwin College Lectures</t>
  </si>
  <si>
    <t>[Shuckburgh, Emily] British Antarctic Survey, Polar Oceans Team, Cambridge, England; [Shuckburgh, Emily] Ecole Normale Super, Paris, France; [Shuckburgh, Emily] MIT, Cambridge, MA 02139 USA; [Shuckburgh, Emily] Royal Meteorol Soc, Reading, Berks, England; [Shuckburgh, Emily] Isaac Newton Inst Math Sci, Climate Sci Commun Grp, Cambridge, England; [Shuckburgh, Emily] Isaac Newton Inst Math Sci, Sci Steering Comm, Cambridge, England</t>
  </si>
  <si>
    <t>UK Research &amp; Innovation (UKRI); Natural Environment Research Council (NERC); NERC British Antarctic Survey; Universite PSL; Ecole Normale Superieure (ENS); Massachusetts Institute of Technology (MIT); University of Cambridge; University of Cambridge</t>
  </si>
  <si>
    <t>Shuckburgh, E (corresponding author), British Antarctic Survey, Polar Oceans Team, Cambridge, England.;Shuckburgh, E (corresponding author), Royal Meteorol Soc, Reading, Berks, England.;Shuckburgh, E (corresponding author), Isaac Newton Inst Math Sci, Climate Sci Commun Grp, Cambridge, England.;Shuckburgh, E (corresponding author), Isaac Newton Inst Math Sci, Sci Steering Comm, Cambridge, England.</t>
  </si>
  <si>
    <t>THE PITT BUILDING, TRUMPINGTON ST, CAMBRIDGE CB2 1RP, CAMBS, ENGLAND</t>
  </si>
  <si>
    <t>978-1-108-45700-2</t>
  </si>
  <si>
    <t>DARWIN COLL LECT</t>
  </si>
  <si>
    <t>10.1017/9781108654722</t>
  </si>
  <si>
    <t>Social Sciences, Interdisciplinary</t>
  </si>
  <si>
    <t>Social Sciences - Other Topics</t>
  </si>
  <si>
    <t>BQ5IX</t>
  </si>
  <si>
    <t>WOS:000605276400003</t>
  </si>
  <si>
    <t>Charlesworth, H</t>
  </si>
  <si>
    <t>Hodson, L; Lavers, T</t>
  </si>
  <si>
    <t>Charlesworth, Hilary</t>
  </si>
  <si>
    <t>Prefiguring Feminist Judgment in International Law</t>
  </si>
  <si>
    <t>FEMINIST JUDGMENTS IN INTERNATIONAL LAW</t>
  </si>
  <si>
    <t>Editorial Material; Book Chapter</t>
  </si>
  <si>
    <t>[Charlesworth, Hilary] Melbourne Law Sch, Melbourne, Vic, Australia; [Charlesworth, Hilary] Australian Natl Univ, Canberra, ACT, Australia; [Charlesworth, Hilary] Int Court Justice Whaling Antarctic Case, Canberra, ACT, Australia</t>
  </si>
  <si>
    <t>University of Melbourne; Australian National University</t>
  </si>
  <si>
    <t>Charlesworth, H (corresponding author), Melbourne Law Sch, Melbourne, Vic, Australia.;Charlesworth, H (corresponding author), Australian Natl Univ, Canberra, ACT, Australia.</t>
  </si>
  <si>
    <t>BLOOMSBURY PUBL INC</t>
  </si>
  <si>
    <t>50 BEDFORD SQ, LONDON, WC1B 3DP, ENGLAND</t>
  </si>
  <si>
    <t>978-1-50991-442-5; 978-1-50991-445-6</t>
  </si>
  <si>
    <t>Law; Women's Studies</t>
  </si>
  <si>
    <t>Government &amp; Law; Women's Studies</t>
  </si>
  <si>
    <t>BQ2KH</t>
  </si>
  <si>
    <t>WOS:000579795800018</t>
  </si>
  <si>
    <t>Salerno, MA; Cruz, MJ; Zarankin, A</t>
  </si>
  <si>
    <t>Nyman, JA; Fogle, KR; Beaudry, MC</t>
  </si>
  <si>
    <t>Salerno, Melisa A.; Cruz, M. Jimena; Zarankin, Andres</t>
  </si>
  <si>
    <t>Inside and Outside Capitalism The Life of Sealers on the South Shetland Islands, Antarctica</t>
  </si>
  <si>
    <t>HISTORICAL ARCHAEOLOGY OF SHADOW AND INTIMATE ECONOMIES</t>
  </si>
  <si>
    <t>[Salerno, Melisa A.] Consejo Nacl Invest Cient &amp; Tecn, Inst Hist &amp; Human Sci, Natl Council Sci &amp; Tech Res IMHICIHU, Buenos Aires, DF, Argentina; [Cruz, M. Jimena] Univ Minas Gerais, Belo Horizonte, MG, Brazil; [Zarankin, Andres] Univ Minas Gerais, Lab Antarctic Studies Human Sci, Belo Horizonte, MG, Brazil; [Zarankin, Andres] White Res Project Antarctic Archaeol, Landscapes, Belo Horizonte, MG, Brazil</t>
  </si>
  <si>
    <t>Consejo Nacional de Investigaciones Cientificas y Tecnicas (CONICET); Universidade Federal de Minas Gerais; Universidade Federal de Minas Gerais</t>
  </si>
  <si>
    <t>Salerno, MA (corresponding author), Consejo Nacl Invest Cient &amp; Tecn, Inst Hist &amp; Human Sci, Natl Council Sci &amp; Tech Res IMHICIHU, Buenos Aires, DF, Argentina.</t>
  </si>
  <si>
    <t>cruz, maria jimena/HGC-4542-2022</t>
  </si>
  <si>
    <t>cruz, maria jimena/0000-0001-7133-0873</t>
  </si>
  <si>
    <t>IMHICIHU-CONICET in Argentina; UFMG in Brazil; FAPEMIG in Brazil; CNPq (PROANTAR project) in Brazil</t>
  </si>
  <si>
    <t>IMHICIHU-CONICET in Argentina; UFMG in Brazil; FAPEMIG in Brazil(Fundacao de Amparo a Pesquisa do Estado de Minas Gerais (FAPEMIG)); CNPq (PROANTAR project) in Brazil</t>
  </si>
  <si>
    <t>We would like to thank Mary Beaudry, James Nyman, and Kevin Fogle for inviting us to participate in this volume. We also want to thank the members of the Landscapes in White research project for their help and support. Finally, we extend our gratitude to IMHICIHU-CONICET in Argentina and to UFMG, FAPEMIG, and CNPq (PROANTAR project) in Brazil for their financial support of our research.</t>
  </si>
  <si>
    <t>UNIV PRESS FLORIDA</t>
  </si>
  <si>
    <t>GAINESVILLE</t>
  </si>
  <si>
    <t>15 NORTHWEST 15TH ST, GAINESVILLE, FL 32603 USA</t>
  </si>
  <si>
    <t>978-0-8130-5710-1; 978-0-8130-5632-6</t>
  </si>
  <si>
    <t>Anthropology; Archaeology; Economics; History</t>
  </si>
  <si>
    <t>Anthropology; Archaeology; Business &amp; Economics; History</t>
  </si>
  <si>
    <t>BR3IT</t>
  </si>
  <si>
    <t>WOS:000646758100010</t>
  </si>
  <si>
    <t>Defler, T</t>
  </si>
  <si>
    <t>Defler, Thomas</t>
  </si>
  <si>
    <t>An Antarctic Mammalian Community</t>
  </si>
  <si>
    <t>HISTORY OF TERRESTRIAL MAMMALS IN SOUTH AMERICA: How South American Mammalian Fauna Changed from the Mesozoic to Recent Times</t>
  </si>
  <si>
    <t>Topics in Geobiology</t>
  </si>
  <si>
    <t>LA MESETA FORMATION; SOUTH-AMERICA; SEYMOUR-ISLAND; TERRESTRIAL VERTEBRATES; MIDDLE EOCENE; PENINSULA; CLIMATE; RECORD; PATAGONIA; MA</t>
  </si>
  <si>
    <t>[Defler, Thomas] Univ Nacl Colombia, Dept Biol, Bogota, Colombia</t>
  </si>
  <si>
    <t>Universidad Nacional de Colombia</t>
  </si>
  <si>
    <t>Defler, T (corresponding author), Univ Nacl Colombia, Dept Biol, Bogota, Colombia.</t>
  </si>
  <si>
    <t>PO BOX 17, 3300 AA DORDRECHT, NETHERLANDS</t>
  </si>
  <si>
    <t>0275-0120</t>
  </si>
  <si>
    <t>978-3-319-98449-0; 978-3-319-98448-3</t>
  </si>
  <si>
    <t>TOP GEOBIOL</t>
  </si>
  <si>
    <t>Top. Geobiol.</t>
  </si>
  <si>
    <t>10.1007/978-3-319-98449-0_9</t>
  </si>
  <si>
    <t>10.1007/978-3-319-98449-0</t>
  </si>
  <si>
    <t>Evolutionary Biology; Paleontology; Zoology</t>
  </si>
  <si>
    <t>BS3RB</t>
  </si>
  <si>
    <t>WOS:000714396800010</t>
  </si>
  <si>
    <t>Yu, QZ; Lei, Z; Hu, HB; An, JC; Chen, W</t>
  </si>
  <si>
    <t>Yu, Qiuze; Lei, Zhen; Hu, Haibo; An, Jiachun; Chen, Wen</t>
  </si>
  <si>
    <t>A Novel 2D Off-Grid DOA Estimation Method Based on Compressive Sensing and Least Square Optimization</t>
  </si>
  <si>
    <t>Compressive sensing; off-grid model; DOA; uniform rectangular array; sparse signal reconstruction</t>
  </si>
  <si>
    <t>ARRIVAL ESTIMATION; SOURCE LOCALIZATION</t>
  </si>
  <si>
    <t>For two-dimensional (2D) direction of arrival (DOA) estimation in a uniform rectangular array (URA), the conventional method converts the 2D problem into a one-dimensional (1D) problem; however, the computational complexity is high, and the accuracy is limited by the grid interval. To address this issue, based on sparse representation theory and a separable observation model (SPM), this paper presents a novel off-grid-framework-based 2D DOA estimation approach by designing a modified 2D off-grid model and a solution for the multisnapshot case in the SPM. The proposed algorithm can be divided into two stages. In the first stage, we use a matching pursuit and focal underdetermined system solver (MFOCUSS) algorithm to quickly identify the candidate or potential areas where the true sources may exist. In the second stage, the candidate areas obtained in the first stage are regarded as the initialization. Then, for a specific source, we regard other sources as interference. By using an alternating descent method, we can obtain accurate DOAs. Moreover, based on the equivalence of time delay and spatial spacing, a 2D off-grid method for multisnapshot cases is proposed in this paper. Numerical simulations demonstrate the effectiveness and efficiency of the proposed algorithm.</t>
  </si>
  <si>
    <t>[Yu, Qiuze; Lei, Zhen; Hu, Haibo] Wuhan Univ, Sch Elect Informat, Wuhan 430072, Hubei, Peoples R China; [An, Jiachun] Wuhan Univ, Chinese Antarctic Ctr Surveying &amp; Mapping, Wuhan 430079, Hubei, Peoples R China; [Chen, Wen] Shanghai Inst Spaceflight Control Technol, Shanghai Key Lab Aerosp Intelligent Control Techn, Shanghai 200240, Peoples R China</t>
  </si>
  <si>
    <t>Lei, Z (corresponding author), Wuhan Univ, Sch Elect Informat, Wuhan 430072, Hubei, Peoples R China.</t>
  </si>
  <si>
    <t>leizhen_b@whu.edu.cn</t>
  </si>
  <si>
    <t>An, Jiachun/ABG-4275-2020; Hu, Haibo/AAS-5704-2020</t>
  </si>
  <si>
    <t>Hu, Haibo/0000-0002-9008-2112; Lei, Zhen/0000-0002-1703-0922</t>
  </si>
  <si>
    <t>National Defense Innovation Science Foundation; National Natural Science Foundation of China [61174196]; Innovation Fund of the Shanghai Academy of Spaceflight Technology [SAST2017-080]; Fundamental Research Funds for the Central Universities [2042019kf0220]</t>
  </si>
  <si>
    <t>National Defense Innovation Science Foundation; National Natural Science Foundation of China(National Natural Science Foundation of China (NSFC)); Innovation Fund of the Shanghai Academy of Spaceflight Technology; Fundamental Research Funds for the Central Universities(Fundamental Research Funds for the Central Universities)</t>
  </si>
  <si>
    <t>This work was supported in part by the National Defense Innovation Science Foundation, in part by the National Natural Science Foundation of China under Grant 61174196, in part by the Innovation Fund of the Shanghai Academy of Spaceflight Technology under Grant SAST2017-080, and in part by the Fundamental Research Funds for the Central Universities under Grant 2042019kf0220.</t>
  </si>
  <si>
    <t>10.1109/ACCESS.2019.2935544</t>
  </si>
  <si>
    <t>IT6YK</t>
  </si>
  <si>
    <t>WOS:000483022100017</t>
  </si>
  <si>
    <t>Nakayama, CR; Penteado, ED; Duarte, RTD; Giachini, AJ; Saia, FT</t>
  </si>
  <si>
    <t>Treichel, H; Fongaro, G</t>
  </si>
  <si>
    <t>Nakayama, Cristina Rossi; Penteado, Eduardo Dellosso; Delgado Duarte, Rubens Tadeu; Giachini, Admir Jose; Saia, Flavia Talarico</t>
  </si>
  <si>
    <t>Improved Methanogenic Communities for Biogas Production</t>
  </si>
  <si>
    <t>IMPROVING BIOGAS PRODUCTION: TECHNOLOGICAL CHALLENGES, ALTERNATIVE SOURCES, FUTURE DEVELOPMENTS</t>
  </si>
  <si>
    <t>Biofuel and Biorefinery Technologies</t>
  </si>
  <si>
    <t>Biogas; Methanogenic archaea; Anaerobic digestion; High-rate anaerobic bioreactor; Biodiversity; Ecology</t>
  </si>
  <si>
    <t>COENZYME-M REDUCTASE; 16S RIBOSOMAL-RNA; WASTE-WATER TREATMENT; INTERSPECIES ELECTRON-TRANSFER; GRADIENT GEL-ELECTROPHORESIS; METHANE PRODUCTION-RATES; ANAEROBIC CO-DIGESTION; BLANKET UASB REACTORS; MICROBIAL COMMUNITY; METAGENOMIC ANALYSIS</t>
  </si>
  <si>
    <t>Last decade advances on methane microbial ecology in natural environments and man-made systems have introduced possibilities and challenges to biogas-producing processes. Mostly restricted to anaerobic environments, methanogens have also been detected in aerobic desertic soils, and their presence in extreme environments, such as hydrothermal vents, soda lakes, and Antarctic sediments, shows how ubiquitous and adapted they are to different environmental conditions. Most known methanogens belong to Euryarchaeota classes, producing methane from acetoclastic, hydrogenotrophic, or methylotrophic pathways. Recently discovered representatives in Thermoplasmata and Halobacteria classes, as well as in Bathyarchaeota and Vestretearchaeota, Phyla brought new insights on methanogenic diversity and their metabolic pathways. Biotechnological application of methanogens has been studied in bioreactors used for treatment of wastewater and waste. These bioreactors can be operated with acidogenesis and methanogenesis occurring in one stage or, with phase separation, acidogenesis followed by methanogenesis, with suspended and/or attached cells. Several factors have been studied to understand and optimize biogas production in bioreactors, such as temperature, organic load, and type of wastewater input. The biogas-producing communities received special attention following the development of metagenomics, metatranscriptomics, and single-cell genomic approaches. Coupled to the discovery of new methanogenic lineages, these methods revealed the complexity of microbial community structure and functions in both natural environments and bioreactors. However, a comprehensive view of these communities is still needed to improve current biogas-producing processes.</t>
  </si>
  <si>
    <t>[Nakayama, Cristina Rossi] Univ Fed Sao Paulo, Dept Environm Sci, Campus Diadema,Rua Sao Nicolau 210, BR-09913030 Diadema, SP, Brazil; [Delgado Duarte, Rubens Tadeu; Giachini, Admir Jose] Fed Univ Santa Catarina UFSC, Dept Microbiol Immunol &amp; Parasitol MIP, CCB MIP, Campus Trindade,POB 476, BR-88040900 Florianopolis, SC, Brazil; [Penteado, Eduardo Dellosso; Saia, Flavia Talarico] Univ Fed Sao Paulo, Dept Marine Sci, Av Dr Carvalho de Mendonca 144, BR-11070100 Santos, SP, Brazil</t>
  </si>
  <si>
    <t>Universidade Federal de Sao Paulo (UNIFESP); Universidade Federal de Sao Paulo (UNIFESP)</t>
  </si>
  <si>
    <t>Saia, FT (corresponding author), Univ Fed Sao Paulo, Dept Marine Sci, Av Dr Carvalho de Mendonca 144, BR-11070100 Santos, SP, Brazil.</t>
  </si>
  <si>
    <t>ftsaia@yahoo.com.br</t>
  </si>
  <si>
    <t>Nakayama, Cristina R/M-3823-2013; Saia, Flávia/AFU-8666-2022; Giachini, Admir J/C-4007-2014; Penteado, E. D.; Penteado/O-4237-2016</t>
  </si>
  <si>
    <t>Penteado, E. D.; Penteado/0000-0003-1138-2553; Duarte, Rubens/0000-0002-9939-3400</t>
  </si>
  <si>
    <t>2363-7609</t>
  </si>
  <si>
    <t>2363-761</t>
  </si>
  <si>
    <t>978-3-030-10516-7; 978-3-030-10515-0</t>
  </si>
  <si>
    <t>BIOFUEL BIOREFIN TEC</t>
  </si>
  <si>
    <t>10.1007/978-3-030-10516-7_4</t>
  </si>
  <si>
    <t>10.1007/978-3-030-10516-7</t>
  </si>
  <si>
    <t>Biotechnology &amp; Applied Microbiology; Energy &amp; Fuels</t>
  </si>
  <si>
    <t>BQ8PF</t>
  </si>
  <si>
    <t>WOS:000621179500005</t>
  </si>
  <si>
    <t>Ozawa, M; Chaplin, J; Pollitt, M; Reiner, D; Warde, P</t>
  </si>
  <si>
    <t>Responses and Final Thoughts</t>
  </si>
  <si>
    <t>IN SEARCH OF GOOD ENERGY POLICY</t>
  </si>
  <si>
    <t>[Shuckburgh, Emily] British Antarctic Survey, Cambridge, England; [Shuckburgh, Emily] British Antarctic Survey, Polar Oceans Team, Cambridge, England; [Shuckburgh, Emily] British Antarctic Survey, Data Sci Grp, Cambridge, England; [Shuckburgh, Emily] Univ Cambridge, Darwin Coll, Cambridge, England; [Shuckburgh, Emily] Univ Cambridge, Cambridge Inst Sustainabil Leadership, Cambridge, England; [Shuckburgh, Emily] Univ Cambridge, Ctr Sci &amp; Policy, Cambridge, England; [Shuckburgh, Emily] Ecole Normale Super, Paris, France; [Shuckburgh, Emily] MIT, Cambridge, MA 02139 USA; [Shuckburgh, Emily] Royal Meteorol Soc, Reading, Berks, England; [Shuckburgh, Emily] Royal Meteorol Soc, Climate Sci Commun Grp, Reading, Berks, England</t>
  </si>
  <si>
    <t>UK Research &amp; Innovation (UKRI); Natural Environment Research Council (NERC); NERC British Antarctic Survey; UK Research &amp; Innovation (UKRI); Natural Environment Research Council (NERC); NERC British Antarctic Survey; UK Research &amp; Innovation (UKRI); Natural Environment Research Council (NERC); NERC British Antarctic Survey; University of Cambridge; University of Cambridge; University of Cambridge; Universite PSL; Ecole Normale Superieure (ENS); Massachusetts Institute of Technology (MIT)</t>
  </si>
  <si>
    <t>Shuckburgh, E (corresponding author), British Antarctic Survey, Cambridge, England.;Shuckburgh, E (corresponding author), British Antarctic Survey, Polar Oceans Team, Cambridge, England.;Shuckburgh, E (corresponding author), British Antarctic Survey, Data Sci Grp, Cambridge, England.;Shuckburgh, E (corresponding author), Univ Cambridge, Darwin Coll, Cambridge, England.;Shuckburgh, E (corresponding author), Univ Cambridge, Cambridge Inst Sustainabil Leadership, Cambridge, England.;Shuckburgh, E (corresponding author), Univ Cambridge, Ctr Sci &amp; Policy, Cambridge, England.;Shuckburgh, E (corresponding author), Royal Meteorol Soc, Reading, Berks, England.;Shuckburgh, E (corresponding author), Royal Meteorol Soc, Climate Sci Commun Grp, Reading, Berks, England.</t>
  </si>
  <si>
    <t>978-1-108-45546-6; 978-1-108-48116-8</t>
  </si>
  <si>
    <t>10.1017/9781108639439</t>
  </si>
  <si>
    <t>Environmental Studies; Public Administration</t>
  </si>
  <si>
    <t>Environmental Sciences &amp; Ecology; Public Administration</t>
  </si>
  <si>
    <t>BR9YA</t>
  </si>
  <si>
    <t>WOS:000680223900022</t>
  </si>
  <si>
    <t>Gosawi, SG; Borkar, S</t>
  </si>
  <si>
    <t>AMER INST PHYS</t>
  </si>
  <si>
    <t>Gosawi, Shruti Ganesh; Borkar, Sangam</t>
  </si>
  <si>
    <t>Remote Sensing of Sea-Ice Material Variability for Thickness Estimation to Prevent Global Warming</t>
  </si>
  <si>
    <t>INTERNATIONAL CONFERENCE ON TRENDS IN MATERIAL SCIENCE AND INVENTIVE MATERIALS: ICTMIM 2019</t>
  </si>
  <si>
    <t>International Conference on Trends in Material Science and Inventive Materials (ICTMIM)</t>
  </si>
  <si>
    <t>MAR 28-29, 2019</t>
  </si>
  <si>
    <t>Coimbatore, INDIA</t>
  </si>
  <si>
    <t>Sea-ice extent; Bellingshausen and Amundsen sea region; Circumpolar Deepwater; Sea Surafce Temperature</t>
  </si>
  <si>
    <t>CLIMATE VARIABILITY; SURFACE; TRENDS</t>
  </si>
  <si>
    <t>Due to Global warming, the Antarctic sea ice extent is increasing to a greater range. Analyses of 37 years (1979-2015) of Antarctic sea ice extents is derived from passive microwave satellite data for the Southern Hemisphere and for each of five sectors: the Weddell Sea, the Indian Ocean, the western Pacific Ocean, the Ross Sea, and the Bellingshausen/Amundsen seas. There is an overall positive yearly trend of 24.9 +/- 4.4 10(3) km(2) yr(-1) (r = 5.7 and 2.1 +/- 0.4%decade(-1)) in sea ice extent for the total Antarctic. The smallest seasonal slope is observed for winter at 19.6 +/- 4.3 10(3) km(2) yr(-1) (r= 4.5 and 1.1 +/- 0.2% decade(-1)) and the highest seasonal slope is for autumn at 29.5 +/- 7.4 10(3) km(2) yr(-1) (r= 4.0 and 2.7 +/- 0.7 % decade(-1)). Regional sea-ice variability in the Amundsen and Bellingshausen sector of Antarctica during 1979-2015 revealed the significant decline of the sea-ice extent at an average annual rate of -3.8 +/--2.0 10(3) km(2) yr(-1) (r=-1.9 and -2.5 +/- 1.4 % decade(-1)). The sea-ice decline trend in this sector has a substantial seasonal variability peak in summer of -11.6 +/- 2.0 10(3) km(2) yr(-1), -6.8 +/- 2.8 10(3) km(2) yr(-1) for Autumn, and -0.9 +/- 3.7 10(3) km(2) yr(-1) for spring. In contrast, during winter it shows the increasing positive trend of 4.3 +/- 3.4 10(3) km(2) yr(-1). When the westerly wind increases in the Amundsen sea, it warms the Circumpolar Deepwater and this water flows into the continental shelf. This oceanic forcing leads to decrease in sea ice. When the northerly wind flows across the Bellingshausen sea, it warms the air in the Antarctic Peninsula region which increases the Sea Surface Temperature and thus reduces the Sea ice in the Bellingshausen Sea. The mixed pattern of observed increasing and decreasing sea-ice coverage in the Bellingshausen/Amundsen Sea region is explained in this article.</t>
  </si>
  <si>
    <t>[Gosawi, Shruti Ganesh; Borkar, Sangam] Goa Coll Engn Ponda, Elect &amp; Telecommun Engn, Ponda, Goa, India</t>
  </si>
  <si>
    <t>Goa College Of Engineering</t>
  </si>
  <si>
    <t>Gosawi, SG (corresponding author), Goa Coll Engn Ponda, Elect &amp; Telecommun Engn, Ponda, Goa, India.</t>
  </si>
  <si>
    <t>gosawishrutiiii@gmail.com</t>
  </si>
  <si>
    <t>978-0-7354-1837-0</t>
  </si>
  <si>
    <t>10.1063/1.5100719</t>
  </si>
  <si>
    <t>Materials Science, Multidisciplinary</t>
  </si>
  <si>
    <t>Materials Science</t>
  </si>
  <si>
    <t>BQ8DO</t>
  </si>
  <si>
    <t>WOS:000619502500034</t>
  </si>
  <si>
    <t>Seward, A; Ratcliffe, N; Newton, S; Caldow, R; Piec, D; Morrison, P; Cadwallender, T; Davies, W; Bolton, M</t>
  </si>
  <si>
    <t>Seward, Adam; Ratcliffe, Norman; Newton, Stephen; Caldow, Richard; Piec, Daniel; Morrison, Paul; Cadwallender, Tom; Davies, Wesley; Bolton, Mark</t>
  </si>
  <si>
    <t>Metapopulation dynamics of roseate terns: Sources, sinks and implications for conservation management decisions</t>
  </si>
  <si>
    <t>JOURNAL OF ANIMAL ECOLOGY</t>
  </si>
  <si>
    <t>demography; density dependence; dispersal; immigration; integrated population model; metapopulation dynamics; roseate tern; seabirds</t>
  </si>
  <si>
    <t>LIFE-HISTORY TRAITS; MINK MUSTELA-VISON; STERNA-DOUGALLII; REPRODUCTIVE-PERFORMANCE; POPULATION-DYNAMICS; BREEDING DISPERSAL; CAPTURE-RECAPTURE; ECOLOGICAL TRAPS; SPRAT ABUNDANCE; ADULT SURVIVAL</t>
  </si>
  <si>
    <t>Habitat management to restore or create breeding sites may allow metapopulations to increase in size and reduce the risk of demographic stochasticity or disasters causing metapopulation extinction. However, if newly restored or created sites are of low quality, they may act as sinks that draw individuals away from better quality sites to the detriment of metapopulation size. Following intensive conservation effort, the metapopulation of roseate tern (Sterna dougallii) in NW Europe is recovering from a large crash in numbers, but most former colonies remain unoccupied and hence are potential targets for restoration. To inform conservation efforts, we studied the dynamics of this metapopulation with a multistate integrated population model to assess each of the three main colonies for important demographic contributors to population growth rate, source/sink status and possible density dependence. All three study colonies are managed for roseate terns (and other tern species) in similar ways, but the demographic processes vary considerably between colonies. The largest colony is a source involved in almost all dispersal, and its growth is determined by survival rates and productivity. Productivity and juvenile apparent survival at the largest colony appear to be density-dependent. Although the mechanisms are unclear, this may provide an increasing impetus for emigration of recruits to other colonies in future. The smallest of the three colonies is a sink, relying on immigration for its growth. Simulation models suggest the metapopulation would be c. 10% larger in the absence of dispersal to the sink colony. This work indicates that, due to variable site quality, aims to enhance both distribution and size of metapopulations may be mutually exclusive. In this case, before future attempts to encourage recolonisation of former sites, assessments of site suitability should be undertaken, focusing on food availability and isolation from predators to maximise the likelihood of attaining levels of productivity and survival that avoid creation of a sink population to the detriment of the overall metapopulation size.</t>
  </si>
  <si>
    <t>[Seward, Adam] Royal Soc Protect Birds, RSPB Ctr Conservat Sci, Perth, Scotland; [Ratcliffe, Norman] British Antarctic Survey, Cambridge, England; [Newton, Stephen] Birdwatch Ireland, Greystones, Wicklow, Ireland; [Caldow, Richard] Nat England, Blandford, Dorset, England; [Piec, Daniel] Royal Soc Protect Birds, Sandy, Beds, England; [Morrison, Paul; Davies, Wesley] Royal Soc Protect Birds, Newcastle Upon Tyne, Tyne &amp; Wear, England; [Cadwallender, Tom] Northumbria Ringing Grp, Lesbury, Alnwick, England; [Bolton, Mark] Royal Soc Protect Birds, RSPB Ctr Conservat Sci, Sandy, Beds, England</t>
  </si>
  <si>
    <t>Royal Society for Protection of Birds; UK Research &amp; Innovation (UKRI); Natural Environment Research Council (NERC); NERC British Antarctic Survey; Royal Society for Protection of Birds; Royal Society for Protection of Birds; Royal Society for Protection of Birds</t>
  </si>
  <si>
    <t>Seward, A (corresponding author), Royal Soc Protect Birds, RSPB Ctr Conservat Sci, Perth, Scotland.</t>
  </si>
  <si>
    <t>adammichaelseward@gmail.com</t>
  </si>
  <si>
    <t>Bolton, Mark/0000-0001-5605-687X</t>
  </si>
  <si>
    <t>LIFE Programme of the European Union [LIFE14 NAT/UK/000394]; BirdWatch Ireland; NPWS; Natural England; RSPB; NERC [bas0100035] Funding Source: UKRI</t>
  </si>
  <si>
    <t>LIFE Programme of the European Union; BirdWatch Ireland; NPWS; Natural England; RSPB; NERC(UK Research &amp; Innovation (UKRI)Natural Environment Research Council (NERC))</t>
  </si>
  <si>
    <t>LIFE Programme of the European Union, Grant/Award Number: LIFE14 NAT/UK/000394; BirdWatch Ireland; RSPB; NPWS; Natural England</t>
  </si>
  <si>
    <t>0021-8790</t>
  </si>
  <si>
    <t>1365-2656</t>
  </si>
  <si>
    <t>J ANIM ECOL</t>
  </si>
  <si>
    <t>J. Anim. Ecol.</t>
  </si>
  <si>
    <t>10.1111/1365-2656.12904</t>
  </si>
  <si>
    <t>Ecology; Zoology</t>
  </si>
  <si>
    <t>Environmental Sciences &amp; Ecology; Zoology</t>
  </si>
  <si>
    <t>HI8FN</t>
  </si>
  <si>
    <t>WOS:000456690800013</t>
  </si>
  <si>
    <t>Jones, DC; Holt, HJ; Meijers, AJS; Shuckburgh, E</t>
  </si>
  <si>
    <t>Jones, Daniel C.; Holt, Harry J.; Meijers, Andrew J. S.; Shuckburgh, Emily</t>
  </si>
  <si>
    <t>Unsupervised Clustering of Southern Ocean Argo Float Temperature Profiles</t>
  </si>
  <si>
    <t>CIRCULATION; WATER; HEAT; PATTERNS; FRONTS</t>
  </si>
  <si>
    <t>The Southern Ocean has complex spatial variability, characterized by sharp fronts, steeply tilted isopycnals, and deep seasonal mixed layers. Methods of defining Southern Ocean spatial structures traditionally rely on somewhat ad hoc combinations of physical, chemical, and dynamic properties. As a step toward an alternative approach for describing spatial variability in temperature, here we apply an unsupervised classification technique (i.e., Gaussian mixture modeling or GMM) to Southern Ocean Argo float temperature profiles. GMM, without using any latitude or longitude information, automatically identifies several spatially coherent circumpolar classes influenced by the Antarctic Circumpolar Current. In addition, GMM identifies classes that bear the imprint of mode/intermediate water formation and export, large-scale gyre circulation, and the Agulhas Current, among others. Because GMM is robust, standardized, and automated, it can potentially be used to identify structures (such as fronts) in both observational and model data sets, possibly making it a useful complement to existing classification techniques. Plain Language Summary The Southern Ocean is an important part of the climate system, in part because it absorbs a large fraction of the heat and carbon that is added to the atmosphere/ocean system by human-driven fossil fuel burning. In this work, we use a machine learning technique to automatically sort Southern Ocean temperature measurements into groups based on how those temperature measurements change with depth. Different groups have the fingerprints of different large-scale circulation patterns, such as the powerful Antarctic Circumpolar Current that flows around Antarctica. The groups that we identify are consistent with our understanding of the Southern Ocean, which gives us confidence that our machine learning technique may be useful for automatically grouping measurements and computer model data in the future. This matters because the climate science community needs a new set of tools, possibly including the machine learning technique that we use in this paper, to deal with a very large, ever-increasing volume of observational and computer model data.</t>
  </si>
  <si>
    <t>[Jones, Daniel C.; Holt, Harry J.; Meijers, Andrew J. S.; Shuckburgh, Emily] British Antarctic Survey, Cambridge, England; [Holt, Harry J.] Univ Cambridge, Dept Phys, Cambridge, England</t>
  </si>
  <si>
    <t>UK Research &amp; Innovation (UKRI); Natural Environment Research Council (NERC); NERC British Antarctic Survey; University of Cambridge</t>
  </si>
  <si>
    <t>Jones, DC (corresponding author), British Antarctic Survey, Cambridge, England.</t>
  </si>
  <si>
    <t>dannes@bas.ac.uk</t>
  </si>
  <si>
    <t>Shuckburgh, Emily/0000-0001-9206-3444; Jones, Dani/0000-0002-8701-4506</t>
  </si>
  <si>
    <t>Natural Environment Research Council (NERC); North Atlantic Climate System Integrated Study (ACSIS) [NE/N018028/1]; Ocean Regulation of Climate by Heat and Carbon Sequestration and Transports (ORCHESTRA) [NE/N018095/1]; NERC DTP Research Experience Placement of 2017 [NE/L002434/1]; NERC [NE/N018028/1, NE/N018095/1, bas0100033] Funding Source: UKRI</t>
  </si>
  <si>
    <t>Natural Environment Research Council (NERC)(UK Research &amp; Innovation (UKRI)Natural Environment Research Council (NERC)); North Atlantic Climate System Integrated Study (ACSIS); Ocean Regulation of Climate by Heat and Carbon Sequestration and Transports (ORCHESTRA); NERC DTP Research Experience Placement of 2017; NERC(UK Research &amp; Innovation (UKRI)Natural Environment Research Council (NERC))</t>
  </si>
  <si>
    <t>This study is supported by grants from the Natural Environment Research Council (NERC), including (1) The North Atlantic Climate System Integrated Study (ACSIS) (grant NE/N018028/1 [authors D. J. and E. S.]) and (2) Ocean Regulation of Climate by Heat and Carbon Sequestration and Transports (ORCHESTRA) (grant NE/N018095/1 [authors E. S. and A. M.]). H. H. was funded by a NERC DTP Research Experience Placement over the summer of 2017 (grant NE/L002434/1). Argo floats data were collected and made freely available by the International Argo Program and the national programs that contribute to it (http://www.argo.ucsd.edu and http://argo.jcommops.org).The Argo Program is part of the Global Ocean Observing System. Argo floats data and metadata are available from the Global Data Assembly Centre (Argo GDAC), http://doi.org/10.17882/42182.The analysis software used in this manuscript was written using Python and the scikit-learn machine learning library (http://scikit-learn.org/stable/).Version 1.0 of the scripts we used are available via github (https://github.com/DanJonesOcean/OceanClustering/releases/tag/v1.0).D.J.thanks Chris Lowder for python support. We are grateful to Y. S. Kim for providing us with Southern Ocean front position data. Finally, we thank Guillaume Maze and three anonymous reviewers, whose feedback greatly improved the quality of our work.</t>
  </si>
  <si>
    <t>10.1029/2018JC014629</t>
  </si>
  <si>
    <t>Green Submitted, Green Accepted, Bronze</t>
  </si>
  <si>
    <t>WOS:000458718600023</t>
  </si>
  <si>
    <t>Hubert, G; Pazianotto, MT; Federico, CA; Ricaud, P</t>
  </si>
  <si>
    <t>Hubert, G.; Pazianotto, M. T.; Federico, C. A.; Ricaud, P.</t>
  </si>
  <si>
    <t>Analysis of the Forbush Decreases and Ground-Level Enhancement on September 2017 Using Neutron Spectrometers Operated in Antarctic and Midlatitude Stations</t>
  </si>
  <si>
    <t>RAY-INDUCED NEUTRONS; COSMIC-RAY; SOLAR MODULATION; MOUNTAIN ALTITUDES; GEANT4 SIMULATIONS; WATER-VAPOR; RADIATION; MONITOR; SEU; ENVIRONMENT</t>
  </si>
  <si>
    <t>This work investigates solar events occurred in September 2017 characterized by a series of Forbush decreases and a ground level enhancement (GLE). Forbush decreases is a rapid decrease in the observed https://en.wikipedia.org/wiki/Galactic_cosmic_ray intensity following a coronal mass ejection while GLE is induced by a strong solar event for which the flux of high-energy solar particles is sufficient to enhance the radiation level on the ground. These investigations were performed using data recorded by a neutron spectrometer network composed of a Bonner sphere system. Two instruments located at Pic-du-Midi Observatory (+2,885 m above sea level) and at Concordia station (Antarctica, +3,233 m) record simultaneously and continuously the neutron spectra, allowing to consider short-term variations during solar events. The main objective is to analyze neutron spectral properties including their energy distributions and dynamics. This paper presents cosmic ray-induced neutron spectra during active solar event leading to changes in the local cosmic ray spectrum (Forbush decreases and a GLE). Concerning the GLE, analyses show that neutrons in the evaporation domain are particularly amplified during the GLE, while other energetic domains increase uniformly.</t>
  </si>
  <si>
    <t>[Hubert, G.] Univ Toulouse, ONERA DPHY, Toulouse, France; [Pazianotto, M. T.] Inst Tecnol Aeronaut, Sao Jose Dos Campos, Brazil; [Federico, C. A.] Inst Estudos Avancados, Sao Jose Dos Campos, Brazil; [Ricaud, P.] Meteo France, Toulouse, France</t>
  </si>
  <si>
    <t>Universite de Toulouse; Comando-Geral de Tecnologia Aeroespacial (CTA); Instituto Tecnologico de Aeronautica (ITA)</t>
  </si>
  <si>
    <t>Hubert, G (corresponding author), Univ Toulouse, ONERA DPHY, Toulouse, France.</t>
  </si>
  <si>
    <t>guillaume.hubert@onera.fr</t>
  </si>
  <si>
    <t>Ricaud, Philippe/AAC-2991-2020; Federico, Claudio A/C-4838-2013; Pazianotto, Maurício/GQB-5415-2022; Federico, Claudio Antonio/ABO-4419-2022</t>
  </si>
  <si>
    <t>Federico, Claudio A/0000-0002-8263-0270; Pazianotto, Maurício/0000-0001-8783-7089; Federico, Claudio Antonio/0000-0002-8263-0270; hubert, guillaume/0000-0002-3537-9642</t>
  </si>
  <si>
    <t>IPEV (Institut Polaire Francais Paul Emile Victor) [1112, 910]; European Union [213007]</t>
  </si>
  <si>
    <t>IPEV (Institut Polaire Francais Paul Emile Victor); European Union(European Union (EU))</t>
  </si>
  <si>
    <t>The authors thank F. Lacassagne and the technical staff for their supports at the Pic-du-Midi observatory. We also thank M. Toplis, Director of the Midi-Pyrenees Observatory. We are thankful to the personnel of the Concordia station for their great help and hard work in harsh conditions, Doris Tuillier from IPEV and Moreno Baricevic (wintering 2017/2018). This work is supported by the IPEV (Institut Polaire Francais Paul Emile Victor) in the framework of the projects 1112 (CHINSTRAP) and 910 (HAMSTRAD). We acknowledge the NMDB database (www.nmdb.eu), founded under the European Union's FP7 program (contract 213007) for providing data, and acknowledge individual monitors following the information given on the respective station information page (see subpages under www.nmdb.eu). The authors thank the Sodankyla Geophysical Observatory and the Oulu website http://cosmicrays.oulu.fi for data recorded in the Concordia station using mini-NM. We are thankful to the Institute of Experimental Physics (IEP SAS), APVV, and VEGA grant agency for access to the NM data in LMKS. Neutron monitors of the Bartol Research Institute are supported by the National Science Foundation. A data system website is currently in development to access to the CHINSTRAP and the Pic du Midi data. Data are available upon request by contacting the principal investigator of CHINSTRAP (PI: guillaume.hubert@onera.fr).</t>
  </si>
  <si>
    <t>10.1029/2018JA025834</t>
  </si>
  <si>
    <t>WOS:000458729500042</t>
  </si>
  <si>
    <t>Manno, C; Rumolo, P; Barra, M; d'Albero, S; Basilone, G; Genovese, S; Mazzola, S; Bonanno, A</t>
  </si>
  <si>
    <t>Manno, Clara; Rumolo, Paola; Barra, Marco; d'Albero, Sergio; Basilone, Gualtiero; Genovese, Simona; Mazzola, Salvatore; Bonanno, Angelo</t>
  </si>
  <si>
    <t>Condition of pteropod shells near a volcanic CO2 vent region</t>
  </si>
  <si>
    <t>MARINE ENVIRONMENTAL RESEARCH</t>
  </si>
  <si>
    <t>Ocean acidification; Mediterranean; Calcification; Pteropods</t>
  </si>
  <si>
    <t>ET-AL VULNERABILITY; OCEAN ACIDIFICATION; LIMACINA-HELICINA; DISSOLUTION OCCURS; SEA-WATER; ARAGONITE; SOUTHERN; TEMPERATURES; DEGRADATION; RESILIENCE</t>
  </si>
  <si>
    <t>Natural gradients of pH in the ocean are useful analogues for studying the projected impacts of Ocean Acidification (OA) on marine ecosystems. Here we document the in situ impact of submarine CO2 volcanic emissions (CO2 vents) on live shelled-pteropods (planktonic gastropods) species Creseis conica in the Gulf of Naples (Tyrrhenian Sea, Mediterranean). Since the currents inside the Gulf will likely drive those pelagic calcifying organisms into and out of the CO2 vent zones, we assume that pteropods will be occasionally exposed to the vents during their life cycle. Shell degradation and biomass were investigated in the stations located within and nearby the CO2 vent emission in relation to the variability of sea water carbonate chemistry. A relative decrease in shell biomass (22%), increase in incidence of shell fractures (38%) and extent of dissolution were observed in Creseis conica collected in the Gulf of Naples compared to those from the Northern Tyrrhenian Sea (control stations). These results suggest that discontinuous but recurrent exposure to highly variable carbonate chemistry could consistently affect the characteristic of the pteropod shells.</t>
  </si>
  <si>
    <t>[Manno, Clara] British Antarctic Survey, Nat Environm Res Council, Cambridge, England; [Rumolo, Paola; Barra, Marco; d'Albero, Sergio] CNR, Ist Sci Marine, Naples, Italy; [Basilone, Gualtiero; Genovese, Simona; Mazzola, Salvatore; Bonanno, Angelo] CNR, Ist Studio Impatti Anirop &amp; Sostenibilita Ambient, Campobello Di Mazara, Italy</t>
  </si>
  <si>
    <t>UK Research &amp; Innovation (UKRI); Natural Environment Research Council (NERC); NERC British Antarctic Survey; Consiglio Nazionale delle Ricerche (CNR); Istituto di Scienze Marine (ISMAR-CNR); Consiglio Nazionale delle Ricerche (CNR)</t>
  </si>
  <si>
    <t>Manno, C (corresponding author), British Antarctic Survey, Nat Environm Res Council, Cambridge, England.</t>
  </si>
  <si>
    <t>clanno@bas.ac.uk</t>
  </si>
  <si>
    <t>Barra, Marco/AAY-1562-2020; Genovese, Simona/ABH-1171-2020; Basilone, Gualtiero/D-2896-2017; Rumolo, Paola/AAY-1671-2020; Bonanno, Angelo/H-9025-2013</t>
  </si>
  <si>
    <t>Barra, Marco/0000-0002-8621-504X; Basilone, Gualtiero/0000-0002-5732-5055; Rumolo, Paola/0000-0002-1726-1077; Bonanno, Angelo/0000-0002-3868-751X</t>
  </si>
  <si>
    <t>MiPAAF Italian Flagship project; NERC [bas0100035] Funding Source: UKRI</t>
  </si>
  <si>
    <t>MiPAAF Italian Flagship project; NERC(UK Research &amp; Innovation (UKRI)Natural Environment Research Council (NERC))</t>
  </si>
  <si>
    <t>We thank the MiPAAF Italian Flagship project for supporting the research activities. All the pteropods analyses were carried out within the Ecosystems program at the British Antarctic Survey.</t>
  </si>
  <si>
    <t>0141-1136</t>
  </si>
  <si>
    <t>1879-0291</t>
  </si>
  <si>
    <t>MAR ENVIRON RES</t>
  </si>
  <si>
    <t>Mar. Environ. Res.</t>
  </si>
  <si>
    <t>10.1016/j.marenvres.2018.11.003</t>
  </si>
  <si>
    <t>Environmental Sciences; Marine &amp; Freshwater Biology; Toxicology</t>
  </si>
  <si>
    <t>Environmental Sciences &amp; Ecology; Marine &amp; Freshwater Biology; Toxicology</t>
  </si>
  <si>
    <t>HL3EL</t>
  </si>
  <si>
    <t>WOS:000458595600005</t>
  </si>
  <si>
    <t>Johnson, KM; Wong, JM; Hoshijima, U; Sugano, CS; Hofmann, GE</t>
  </si>
  <si>
    <t>Johnson, Kevin M.; Wong, Juliet M.; Hoshijima, Umihiko; Sugano, Cailan S.; Hofmann, Gretchen E.</t>
  </si>
  <si>
    <t>Seasonal transcriptomes of the Antarctic pteropod, Limacina helicina antarctica</t>
  </si>
  <si>
    <t>Limacina; Pteropod; Ocean acidification; RNA-seq; Gene expression; Organism-environment interactions</t>
  </si>
  <si>
    <t>TERRA-NOVA BAY; OCEAN ACIDIFICATION; ROSS SEA; VERTICAL FLUX; CARBON; CYCLE; BIOMASS; BENEATH; PUMP; ICE</t>
  </si>
  <si>
    <t>High latitude seas will be among the first marine systems to be impacted by ocean acidification (OA). Previous research studying the effects of OA on the pteropod, Limacina helicina antarctica, has led this species to be identified as a sentinel organism for OA in polar oceans. Here, we present gene expression data on L. h. antarctica, collected in situ during the seasonal transition from early spring to early summer. Our findings suggest that after over-wintering under seasonal sea ice, pteropods progress toward full maturity in the early summer when food becomes increasingly available. This progression is highlighted by a dramatic shift in gene expression that supports the development of cytoskeletal structures, membrane ion transportation, and metabolically important enzymes associated with glycolysis. In addition, we observed signs of defense of genomic integrity and maturation as evidenced by an up-regulation of genes involved in DNA replication, DNA repair, and gametogenesis. These data contribute to a broader understanding of the life-cycle dynamics for L. h. antarctica and provide key insights into the transcriptomic signals of pteropod maturation and growth during this key seasonal transition.</t>
  </si>
  <si>
    <t>[Johnson, Kevin M.; Wong, Juliet M.; Hoshijima, Umihiko; Sugano, Cailan S.; Hofmann, Gretchen E.] Univ Calif Santa Barbara, Dept Ecol Evolut &amp; Marine Biol, Santa Barbara, CA 93106 USA; [Johnson, Kevin M.] Louisiana State Univ, Dept Biol Sci, Baton Rouge, LA 70803 USA; [Sugano, Cailan S.] Univ Calif San Diego, Scripps Inst Oceanog, La Jolla, CA 92093 USA</t>
  </si>
  <si>
    <t>University of California System; University of California Santa Barbara; Louisiana State University System; Louisiana State University; University of California System; University of California San Diego; Scripps Institution of Oceanography</t>
  </si>
  <si>
    <t>Johnson, KM (corresponding author), Louisiana State Univ, Dept Biol Sci, Baton Rouge, LA 70803 USA.</t>
  </si>
  <si>
    <t>kmjohnson@lsu.edu</t>
  </si>
  <si>
    <t>Hoshijima, Umihiko/S-3570-2019; Wong, Juliet/AAS-6537-2020; Marquez Johnson, Kevin/Q-1310-2018</t>
  </si>
  <si>
    <t>Wong, Juliet/0000-0001-9279-3113; Hoshijima, Umihiko/0000-0002-0419-0556; Marquez Johnson, Kevin/0000-0003-3278-3508</t>
  </si>
  <si>
    <t>U.S. National Science Foundation (NSF) [PLR-1246202]; NSF Graduate Research Fellowship [1650114]</t>
  </si>
  <si>
    <t>U.S. National Science Foundation (NSF)(National Science Foundation (NSF)); NSF Graduate Research Fellowship(National Science Foundation (NSF))</t>
  </si>
  <si>
    <t>We thank members of the U.S. Antarctic Program for support at McMurdo Station during the 2015-2016 Summer Field Season. We also thank Ms. Maddie Housh for assistance with morphometric analysis at our home institution. The authors acknowledge the use of the UCSB and UCOP-supported Biological Nanostructures Laboratory within the California NanoSystems Institute. This research was supported by an award from the U.S. National Science Foundation (NSF) (PLR-1246202) to GEH. During the project, KMJ, JMW, and UH were each supported by an NSF Graduate Research Fellowship under Grant No. 1650114.</t>
  </si>
  <si>
    <t>10.1016/j.marenvres.2018.10.006</t>
  </si>
  <si>
    <t>WOS:000458595600006</t>
  </si>
  <si>
    <t>Davis, RW</t>
  </si>
  <si>
    <t>Davis, Randall W.</t>
  </si>
  <si>
    <t>Marine Mammals Adaptations for an Aquatic Life Preface</t>
  </si>
  <si>
    <t>MARINE MAMMALS: ADAPTATIONS FOR AN AQUATIC LIFE</t>
  </si>
  <si>
    <t>NARWHALS MONODON-MONOCEROS; ANTARCTIC FUR SEALS; FINNED PILOT WHALES; CRAB-EATER SEALS; DIVING BEHAVIOR; FORAGING BEHAVIOR; DIVE PATTERNS; LEPTONYCHOTES-WEDDELLII; DELPHINAPTERUS-LEUCAS; SEASONAL MOVEMENTS</t>
  </si>
  <si>
    <t>[Davis, Randall W.] Texas A&amp;M Univ, Marine Biol, Galveston, TX 77554 USA</t>
  </si>
  <si>
    <t>Texas A&amp;M University System</t>
  </si>
  <si>
    <t>Davis, RW (corresponding author), Texas A&amp;M Univ, Marine Biol, Galveston, TX 77554 USA.</t>
  </si>
  <si>
    <t>978-3-319-98280-9; 978-3-319-98278-6</t>
  </si>
  <si>
    <t>VII</t>
  </si>
  <si>
    <t>10.1007/978-3-319-98280-9</t>
  </si>
  <si>
    <t>Evolutionary Biology; Marine &amp; Freshwater Biology; Zoology</t>
  </si>
  <si>
    <t>BR2ES</t>
  </si>
  <si>
    <t>WOS:000637539300001</t>
  </si>
  <si>
    <t>Das, S</t>
  </si>
  <si>
    <t>Bizzarri, A; Das, S; Petri, A</t>
  </si>
  <si>
    <t>Das, Shamita</t>
  </si>
  <si>
    <t>Unusual large earthquakes on oceanic transform faults</t>
  </si>
  <si>
    <t>MECHANICS OF EARTHQUAKE FAULTING</t>
  </si>
  <si>
    <t>Proceedings of the International School of Physics Enrico Fermi</t>
  </si>
  <si>
    <t>MACQUARIE RIDGE EARTHQUAKE; AUSTRALIA; FRACTURE; RUPTURE; SLIP</t>
  </si>
  <si>
    <t>According to the classical theory of plate tectonics, oceanic transform faults do not usually have large or great earthquakes. In this paper, we discuss several transform fault earthquakes, some now moved into unusual tectonic settings due to plate motion, which did have earthquakes lying in the magnitude range 7.8 &lt;= Mw &lt;= 8.1. The 2004 M(w)8.1 earthquake occurred on a fossil fracture zone in the Tasman Sea. The 2000 M(w)7.8 earthquake occurred in the Wharton Basin and ruptured two conjugate faults simultaneously. The largest known strike-slip earthquake in 2012 (M(w)8.6) occurred off the coast of Sumatra and ruptured crosscutting faults. An oceanic strike-slip earthquake in 1998 with M(w)8.0 occurred on the Antarctic plate, but on a fault parallel to the ridge and nearly normal to the transform faults that is, it occurred on the ridge fabric! All these earthquakes together with the 2012 twin earthquakes (M(w)8.6 and 8.2) in the Wharton Basin, the 1987-1992 (6.8 &lt;= M-w = 7.8) Gulf of Alaska sequence and the M(w)7.9 2018 Gulf of Alaska earthquakes, show that the oceanic lithosphere is breaking up along the ridge-transform conjugate fault systems under tectonic stresses.</t>
  </si>
  <si>
    <t>[Das, Shamita] Univ Oxford, Dept Earth Sci, South Parks Rd, Oxford OX1 3AN, England</t>
  </si>
  <si>
    <t>University of Oxford</t>
  </si>
  <si>
    <t>Das, S (corresponding author), Univ Oxford, Dept Earth Sci, South Parks Rd, Oxford OX1 3AN, England.</t>
  </si>
  <si>
    <t>das@earth.ox.ac.uk</t>
  </si>
  <si>
    <t>IOS PRESS</t>
  </si>
  <si>
    <t>NIEUWE HEMWEG 6B, 1013 BG AMSTERDAM, NETHERLANDS</t>
  </si>
  <si>
    <t>0074-784X</t>
  </si>
  <si>
    <t>1879-8195</t>
  </si>
  <si>
    <t>978-1-61499-979-9; 978-1-61499-978-2</t>
  </si>
  <si>
    <t>P INT SCH PHYS</t>
  </si>
  <si>
    <t>10.3254/978-1-61499-979-9-33</t>
  </si>
  <si>
    <t>BR0MI</t>
  </si>
  <si>
    <t>WOS:000629740400003</t>
  </si>
  <si>
    <t>Deagle, BE; Thomas, AC; McInnes, JC; Clarke, LJ; Vesterinen, EJ; Clare, EL; Kartzinel, TR; Eveson, JP</t>
  </si>
  <si>
    <t>Deagle, Bruce E.; Thomas, Austen C.; McInnes, Julie C.; Clarke, Laurence J.; Vesterinen, Eero J.; Clare, Elizabeth L.; Kartzinel, Tyler R.; Eveson, J. Paige</t>
  </si>
  <si>
    <t>Counting with DNA in metabarcoding studies: How should we convert sequence reads to dietary data?</t>
  </si>
  <si>
    <t>PREY DNA; COPY NUMBER; BIODIVERSITY HOTSPOT; MOLECULAR-DETECTION; CONSERVATION; ECOLOGY; PREFERENCES; ARTHROPODS; PREDATION; INSIGHTS</t>
  </si>
  <si>
    <t>Advances in DNA sequencing technology have revolutionized the field of molecular analysis of trophic interactions, and it is now possible to recover counts of food DNA sequences from a wide range of dietary samples. But what do these counts mean? To obtain an accurate estimate of a consumer's diet should we work strictly with data sets summarizing frequency of occurrence of different food taxa, or is it possible to use relative number of sequences? Both approaches are applied to obtain semi-quantitative diet summaries, but occurrence data are often promoted as a more conservative and reliable option due to taxa-specific biases in recovery of sequences. We explore representative dietary metabarcoding data sets and point out that diet summaries based on occurrence data often overestimate the importance of food consumed in small quantities (potentially including low-level contaminants) and are sensitive to the count threshold used to define an occurrence. Our simulations indicate that using relative read abundance (RRA) information often provides a more accurate view of population-level diet even with moderate recovery biases incorporated; however, RRA summaries are sensitive to recovery biases impacting common diet taxa. Both approaches are more accurate when the mean number of food taxa in samples is small. The ideas presented here highlight the need to consider all sources of bias and to justify the methods used to interpret count data in dietary metabarcoding studies. We encourage researchers to continue addressing methodological challenges and acknowledge unanswered questions to help spur future investigations in this rapidly developing area of research.</t>
  </si>
  <si>
    <t>[Deagle, Bruce E.; McInnes, Julie C.; Clarke, Laurence J.] Australian Antarctic Div, Channel Highway, Kingston, Tas, Australia; [Thomas, Austen C.] Smith Root Inc, Sci Dept, Vancouver, WA USA; [Clarke, Laurence J.] Univ Tasmania, Antarctic Climate &amp; Ecosyst Cooperat Res Ctr, Hobart, Tas, Australia; [Vesterinen, Eero J.] Univ Turku, Biodivers Unit, Turku, Finland; [Vesterinen, Eero J.] Univ Turku, Dept Biol, Turku, Finland; [Vesterinen, Eero J.] Univ Helsinki, Dept Agr Sci, Helsinki, Finland; [Clare, Elizabeth L.] Queen Mary Univ London, Sch Biol &amp; Chem Sci, London, England; [Kartzinel, Tyler R.] Brown Univ, Dept Ecol &amp; Evolutionary Biol, Providence, RI 02912 USA; [Eveson, J. Paige] CSIRO Oceans &amp; Atmosphere, Hobart, Tas, Australia</t>
  </si>
  <si>
    <t>Australian Antarctic Division; Antarctic Climate &amp; Ecosystems Cooperative Research Centre (ACE CRC); University of Tasmania; University of Turku; University of Turku; University of Helsinki; University of London; Queen Mary University London; Brown University; Commonwealth Scientific &amp; Industrial Research Organisation (CSIRO)</t>
  </si>
  <si>
    <t>Deagle, BE (corresponding author), Australian Antarctic Div, Channel Highway, Kingston, Tas, Australia.</t>
  </si>
  <si>
    <t>Bruce.Deagle@aad.gov.au</t>
  </si>
  <si>
    <t>McInnes, Julie C/C-2865-2014; Eveson, Paige/A-1472-2012; Deagle, Bruce E/R-2999-2019; Vesterinen, Eero J./Q-9527-2019; Clarke, Laurence/N-3579-2017</t>
  </si>
  <si>
    <t>Deagle, Bruce E/0000-0001-7651-3687; Vesterinen, Eero J./0000-0003-3665-5802; Clarke, Laurence/0000-0002-0844-4453; Clare, Elizabeth/0000-0002-6563-3365; McInnes, Julie/0000-0001-8902-5199; Eveson, Paige/0000-0002-1560-2093</t>
  </si>
  <si>
    <t>10.1111/mec.14734</t>
  </si>
  <si>
    <t>WOS:000459345000018</t>
  </si>
  <si>
    <t>Stervander, M; Ryan, PG; Melo, M; Hansson, B</t>
  </si>
  <si>
    <t>Stervander, Martin; Ryan, Peter G.; Melo, Martim; Hansson, Bengt</t>
  </si>
  <si>
    <t>The origin of the world's smallest flightless bird, the Inaccessible Island Rail Atlantisia rogersi (Aves: Rallidae)</t>
  </si>
  <si>
    <t>Colonization; Oceanic islands; Phylogeny; Phylogeography; Taxonomy</t>
  </si>
  <si>
    <t>TRISTAN-DA-CUNHA; PHYLOGENETIC ANALYSIS; GENUS; DIVERSIFICATION; GRUIFORMES; EVOLUTION; RADIATION</t>
  </si>
  <si>
    <t>Rails (Ayes: Rallidae) are renowned for their extreme dispersal capability, which has given rise to numerous island lineages. Many insular species lost the ability to fly as a response to release from predator pressure-a feature causing rapid extinction when humans subsequently introduced mammals. The world's smallest extant flightless bird, the Inaccessible Island Rail Atlantisia rogersi, is endemic to Inaccessible Island, Tristan da Cunha archipelago, in the central South Atlantic Ocean. It is placed in a monotypic genus, but its taxonomic affinity, as well as geographic origin, are disputed. Contrary to its suggested Old World origin, we demonstrate that the Inaccessible Island Rail is nested within the mainly South American 'Laterallus clade' and that it colonized &gt;= 3 million-year-old Inaccessible Island from South America c. 1.5 million years ago. The taxonomy of rails has traditionally been based on morphology, and convergent evolution has caused many cases of misclassification. We suggest a re-classification within the 'Laterallus clade' and call for extended coverage of taxon sampling for DNA sequencing.</t>
  </si>
  <si>
    <t>[Stervander, Martin; Hansson, Bengt] Lund Univ, Dept Biol, Ecol Bldg, SE-22362 Lund, Sweden; [Stervander, Martin] Univ Oregon, Inst Ecol &amp; Evolut IE2, Eugene, OR 97403 USA; [Ryan, Peter G.; Melo, Martim] Univ Cape Town, FitzPatrick Inst African Ornithol, DST NRF Ctr Excellence, ZA-7701 Rondebosch, South Africa; [Melo, Martim] CIBIO Res Ctr Biodivers &amp; Genet Resources, InBIO Associated Lab, Campus Agr Vairao, P-4485661 Vairao, Portugal</t>
  </si>
  <si>
    <t>Lund University; University of Oregon; University of Cape Town; National Research Foundation - South Africa; Universidade do Porto</t>
  </si>
  <si>
    <t>Stervander, M (corresponding author), Univ Oregon, Inst Ecol &amp; Evolut IE2, Eugene, OR 97403 USA.</t>
  </si>
  <si>
    <t>martin@stervander.com</t>
  </si>
  <si>
    <t>Melo, Martim/L-7704-2013; Stervander, Martin/I-7907-2015; Hansson, Bengt/L-8874-2013</t>
  </si>
  <si>
    <t>Melo, Martim/0000-0003-1394-4361; Stervander, Martin/0000-0002-6139-7828; Ryan, Peter/0000-0002-3356-2056; Hansson, Bengt/0000-0001-6694-8169</t>
  </si>
  <si>
    <t>South African National Antarctic Programme, South Africa; Swedish Research Council [621-2014-5222, 621-2016-689]; Portuguese Science Foundation [FCT: SFRH/BPD/100614/2014]</t>
  </si>
  <si>
    <t>South African National Antarctic Programme, South Africa; Swedish Research Council(Swedish Research Council); Portuguese Science Foundation(Fundacao para a Ciencia e a Tecnologia (FCT))</t>
  </si>
  <si>
    <t>We thank Suvi Ponnikas for preparing the DNA for Illumina sequencing and Pallavi Chauhan for carrying out the de novo wholegenome assembly on resources provided by the Swedish National Infrastructure for Computing (SNIC) at Uppsala Multidisciplinary Center for Advanced Computational Science (UPPMAX). Juan Carlos Garcia-Ramirez kindly provided Rallidae alignments and Santiago Claramunt prior density plotting functions. We are indebted to Chuck Streker, Jaime Chaves, Alec Earnshaw, and Francisco Lucero for letting us use their photos. We thank two anonymous reviewers, who provided constructive feedback on a previous version of this manuscript. Funding and logistic support was received from the South African National Antarctic Programme, South Africa (P.G.R.), and funding was also received from the Swedish Research Council (621-2014-5222 and 621-2016-689; B.H.) and the Portuguese Science Foundation (FCT: SFRH/BPD/100614/2014; M.M.). We thank the Administrator and Island Council of Tristan da Cunha for permission to conduct research at Inaccessible Island.</t>
  </si>
  <si>
    <t>10.1016/j.ympev.2018.10.007</t>
  </si>
  <si>
    <t>WOS:000452963200009</t>
  </si>
  <si>
    <t>Blum, H</t>
  </si>
  <si>
    <t>Blum, Hester</t>
  </si>
  <si>
    <t>ANTARCTIC IMPRINTS</t>
  </si>
  <si>
    <t>NEWS AT THE ENDS OF THE EARTH: The Print Culture of Polar Exploration</t>
  </si>
  <si>
    <t>DUKE UNIV PRESS</t>
  </si>
  <si>
    <t>DURHAM</t>
  </si>
  <si>
    <t>905 W MAIN ST, SUITE 18-B, DURHAM, NC 27701 USA</t>
  </si>
  <si>
    <t>978-1-4780-0387-8; 978-1-4780-0448-6; 978-1-4780-0322-9</t>
  </si>
  <si>
    <t>Environmental Studies; History; Literature</t>
  </si>
  <si>
    <t>Environmental Sciences &amp; Ecology; History; Literature</t>
  </si>
  <si>
    <t>BU1QT</t>
  </si>
  <si>
    <t>WOS:000879752200005</t>
  </si>
  <si>
    <t>Klinger, BA; Haine, TWN</t>
  </si>
  <si>
    <t>Klinger, Barry A.; Haine, Thomas W. N.</t>
  </si>
  <si>
    <t>The Southern Ocean Nexus</t>
  </si>
  <si>
    <t>OCEAN CIRCULATION IN THREE DIMENSIONS</t>
  </si>
  <si>
    <t>The Southern Ocean is a nexus that draws together water from all the major oceans. In thinking about the Southern Ocean it is difficult to separate any of the themes in this book. The Antarctic Circumpolar Current (ACC) is the principal circulation feature. It is a wind-driven current (Chapter 3), dominated by eddies (Chapter 7), and connects both the local meridional Ekman cell (Chapter 6) and the global deep meridional overturning circulation (Chapter 8). These factors, along with difficulties in understanding the vertical structure and interactions with topography, make the Southern Ocean one of the least understood regions of the ocean. In addition, its location far from most oceanographers and its harsh subpolar conditions make it less well observed. Therefore, this chapter is more tentative and open-ended than others. Like Chapter 8, our understanding relies more on numerical model experiments than the topics earlier in the book. Here we present some of the main elements that govern our understanding of the Southern Ocean circulation.</t>
  </si>
  <si>
    <t>[Klinger, Barry A.] George Mason Univ, Dept Atmospher Ocean &amp; Earth Sci, Fairfax, VA 22030 USA; [Klinger, Barry A.] George Mason Univ, Climate Dynam Doctoral Program, Fairfax, VA 22030 USA; [Haine, Thomas W. N.] Johns Hopkins Univ, Dept Earth &amp; Planetary Sci, Baltimore, MD 21218 USA</t>
  </si>
  <si>
    <t>George Mason University; George Mason University; Johns Hopkins University</t>
  </si>
  <si>
    <t>Klinger, BA (corresponding author), George Mason Univ, Dept Atmospher Ocean &amp; Earth Sci, Fairfax, VA 22030 USA.;Klinger, BA (corresponding author), George Mason Univ, Climate Dynam Doctoral Program, Fairfax, VA 22030 USA.</t>
  </si>
  <si>
    <t>978-0-521-76843-6</t>
  </si>
  <si>
    <t>BQ3ZM</t>
  </si>
  <si>
    <t>WOS:000588350700010</t>
  </si>
  <si>
    <t>Arctic Circulation</t>
  </si>
  <si>
    <t>Arctic (and Antarctic) oceanography differs from lower latitudes in several respects. Interaction with the atmosphere as well as temperature and salinity distributions are strongly affected by the formation and destruction of ice. This is especially true in the Arctic, a true polar ocean, which is ice-covered for at least part of the year. In high latitudes vertical property gradients are relatively strong compared to the rest of the ocean in some places, and relatively weak in other places. This fact is probably responsible for it being harder to separately analyze gyre and overturning circulations in the Arctic (and Antarctic). Circulation is influenced by the lack of zonal boundaries - in some latitude ranges the ocean occupies all longitudes - and the relatively small beta effect. For background on Arctic circulation, and access to the primary literature, consult Bluhm et al. (2015) and Rudels (2015).</t>
  </si>
  <si>
    <t>WOS:000588350700011</t>
  </si>
  <si>
    <t>Klinger, B. A.; Haine, T. W. N.</t>
  </si>
  <si>
    <t>Ocean Circulation in Three Dimensions</t>
  </si>
  <si>
    <t>WESTERN-BOUNDARY CURRENT; ANTARCTIC CIRCUMPOLAR CURRENT; WIND-DRIVEN CIRCULATION; ATLANTIC DEEP-WATER; GLOBAL OVERTURNING CIRCULATION; AVAILABLE POTENTIAL-ENERGY; SOUTHERN-HEMISPHERE WINDS; SUBTROPICAL NORTH PACIFIC; SEA-SURFACE TEMPERATURE; LARGE-SCALE CIRCULATION</t>
  </si>
  <si>
    <t>Klinger, Barry/0000-0002-6424-7948; Haine, Thomas/0000-0001-8231-2419</t>
  </si>
  <si>
    <t>10.1017/9781139015721</t>
  </si>
  <si>
    <t>10.1016/C2017-0-04645-1</t>
  </si>
  <si>
    <t>Green Submitted, Bronze</t>
  </si>
  <si>
    <t>WOS:000588350700015</t>
  </si>
  <si>
    <t>Rushdi, AI; Chase, Z; Simoneit, BRT; Paytan, A</t>
  </si>
  <si>
    <t>Rasul, NMA; Stewart, ICF</t>
  </si>
  <si>
    <t>Rushdi, Ahmed I.; Chase, Zanna; Simoneit, Bernd R. T.; Paytan, Adina</t>
  </si>
  <si>
    <t>Sources of Organic Tracers in Atmospheric Dust, Surface Seawater Particulate Matter and Sediment of the Red Sea</t>
  </si>
  <si>
    <t>OCEANOGRAPHIC AND BIOLOGICAL ASPECTS OF THE RED SEA</t>
  </si>
  <si>
    <t>Springer Oceanography</t>
  </si>
  <si>
    <t>MOLECULAR MARKER ANALYSIS; SUEZ GULF SHORELINE; SIZE DISTRIBUTIONS; ARABIAN PENINSULA; EMISSION FACTORS; FUGITIVE DUST; URBAN AREAS; AEROSOLS; PARTICLES; IDENTIFICATION</t>
  </si>
  <si>
    <t>This chapter discusses the various input sources of extractable organic matter (EOM) compounds to the Red Sea. These are based on geochemical analyses of atmospheric dust, surface seawater particulate matter and sediment samples collected from the Gulf of Aqaba and the coasts of the Gulf of Suez, Saudi Arabia and Yemen. The samples were extracted with a dichloromethane/methanol mixture and analyzed by gas chromatography-mass spectrometry (GC-MS). The EOM compounds (lipids) in the samples are diverse and include n-alkanes, n-alkanoic acids, n-alkanols, methyl n-alkanoates, steroids, petroleum hydrocarbons and plasticizers. The steroids and n-alkanoic acids were major components of the surface seawater particulate matter samples, whereas petroleum hydrocarbons were major compounds in coastal sediments. Based on the results of the different samples, the main input sources of these lipids were from: (1) natural autochthonous microbiota (plankton and bacteria) as indicated by the presence of cholesterol and brassicasterol in the different surface seawater particulate matter and sediment samples; (2) natural allochthonous material origins from terrestrial plant detritus transported by dust as shown by the distributions of n-alkanoic acids, n-alkanols and phytosterols; and (3) anthropogenic sources (mainly petroleum) from regional oil production activities, oil tankers or shipping activities as revealed by the n-alkane distribution pattern and the presence of an unresolved complex mixture (UCM) of branched and cyclic hydrocarbons, with hopane and sterane biomarkers. Future studies of the organic and inorganic biogeochemistry on the water column, coastal areas and dust transported to the Red Sea are needed to characterize the various regional sources, transformation, and diagenetic processes of the organic matter en route to this marine environment.</t>
  </si>
  <si>
    <t>[Rushdi, Ahmed I.] ETAL, 2951 SE Midvale Dr, Corvallis, OR 97333 USA; [Rushdi, Ahmed I.] Sanaa Univ, Dept Earth &amp; Environm Sci, Fac Sci, Sanaa, Yemen; [Chase, Zanna] Univ Tasmania, Inst Marine &amp; Antarctic Studies, Private Bag 129, Hobart, Tas 7001, Australia; [Simoneit, Bernd R. T.] Oregon State Univ, Dept Chem, Gilbert Hall 153, Corvallis, OR 97331 USA; [Paytan, Adina] Univ Calif Santa Cruz, Inst Marine Sci, Dept Earth &amp; Planetary Sci &amp; Ocean Sci, Santa Cruz, CA 95006 USA</t>
  </si>
  <si>
    <t>University of Tasmania; Oregon State University; University of California System; University of California Santa Cruz</t>
  </si>
  <si>
    <t>Rushdi, AI (corresponding author), ETAL, 2951 SE Midvale Dr, Corvallis, OR 97333 USA.</t>
  </si>
  <si>
    <t>aimrushdi@gmail.com; zanna.chase@utas.edu.au; simonebe@onid.orst.edu; apaytan@ucsc.edu</t>
  </si>
  <si>
    <t>SIMONEIT, BERND R. T./A-2008-2013; Rushdi, Ahmed/AAF-1679-2019; Chase, Zanna/E-9232-2013</t>
  </si>
  <si>
    <t>Chase, Zanna/0000-0001-5060-779X</t>
  </si>
  <si>
    <t>2365-7677</t>
  </si>
  <si>
    <t>2365-7685</t>
  </si>
  <si>
    <t>978-3-319-99417-8; 978-3-319-99416-1</t>
  </si>
  <si>
    <t>SPR OCEANOGR</t>
  </si>
  <si>
    <t>10.1007/978-3-319-99417-8_4</t>
  </si>
  <si>
    <t>10.1007/978-3-319-99417-8</t>
  </si>
  <si>
    <t>BN4PW</t>
  </si>
  <si>
    <t>WOS:000482664300005</t>
  </si>
  <si>
    <t>Robinson, SP; Harris, PM; Wang, L; Cheong, SH; Livina, V</t>
  </si>
  <si>
    <t>Robinson, Stephen P.; Harris, Peter M.; Wang, Lian; Cheong, Sei-Him; Livina, Valerie</t>
  </si>
  <si>
    <t>Evaluation of long-term trends in deep-ocean noise in the Southern Ocean</t>
  </si>
  <si>
    <t>OCEANS 2019 - MARSEILLE</t>
  </si>
  <si>
    <t>OCEANS-IEEE</t>
  </si>
  <si>
    <t>OCEANS - Marseille Conference</t>
  </si>
  <si>
    <t>JUN 17-20, 2019</t>
  </si>
  <si>
    <t>Marseille, FRANCE</t>
  </si>
  <si>
    <t>ocean noise; trends; statistical analysis</t>
  </si>
  <si>
    <t>AMBIENT NOISE; WEST</t>
  </si>
  <si>
    <t>The variation in the ambient sound levels in the deep ocean has been the subject of a number of recent studies, with particular interest in the identification of long-term trends. This paper describes a statistical method for performing long-term trend analysis and uncertainty evaluation of the estimated trends from deep-ocean noise data. Measurements of underwater ambient noise have been carried out since at least the 1960s. Most of the studies demonstrating an increase in the levels of low frequency sound in the deep-ocean have been undertaken in the Pacific Ocean. In part, the observed increasing trend has been attributed to increases in noise produced by shipping, but it is recognised that there is a variety of sound sources which contribute to the ambient sound field, both man-made and natural. The paucity of available data over the last 50 years has meant that attempts to determine trends have often been based on very few data points and relied on simple statistical techniques such as straight-line fits. In more recent studies covering the last 15 years, use has been made of much richer data sets where continuous monitoring has been undertaken. The measured data used here originate from the Southern Ocean and span up to a maximum of 15 years, from 2003 to 2018. The data were obtained from the hydro-acoustic monitoring stations of the Preparatory Commission for the Comprehensive Nuclear Test Ban Treaty Organization (CTBTO). The monitoring stations provide information at acoustic frequencies up to 105 Hz. The analysis method uses a flexible discrete model that incorporates terms that capture seasonal variations in the data together with a moving-average statistical model to describe the serial correlation of residual deviations, with uncertainties validated using bootstrap resampling. The main features of the approach used include (a) using monthly or daily aggregation intervals derived from 1 minute SPL averages, (b) using a model that includes terms to represent explicitly seasonal behaviour and that captures the serial correlation of the data-model differences, and (c) applying a non-parametric approach to validate the uncertainties of trend estimates that avoids the need to make an assumption about the distribution of those differences. Computation of the uncertainty associated with a parameter estimate is a fundamental requirement for statistical inference as it provides a degree of confidence in the precision of that estimate. The trend analysis is applied to time series representing monthly and daily aggregated statistical levels for five frequency bands to obtain estimates for the change in sound pressure level over the examined period with associated coverage intervals. For the CTBTO station at Cape Leeuwin, located off the southwest shore of Australia, the results showed that statistically significant reductions in SPL are observed for all statistical percentiles for the different frequency bands. Additionally, the relative differences between the trends for various percentiles were found to be remarkably similar for all frequency bands with higher percentiles following steeper trends than lower percentiles leading to a significant reduction of the dynamic range in the recorded noise. Also, it was shown that trends in the data are dominated by the trends at low frequencies. Strong seasonal variation is also observed, with a high degree of correlation with climatic factors such as sea surface temperature, Antarctic ice coverage and wind speed. Some possible explanations for the observed changes are postulated. Finally, for comparison, the results for the CTBTO station at Wake Island, located in the central Pacific Ocean, are presented for comparison.</t>
  </si>
  <si>
    <t>[Robinson, Stephen P.; Harris, Peter M.; Wang, Lian; Cheong, Sei-Him; Livina, Valerie] Natl Phys Lab, Teddington TW11 0LW, Middx, England</t>
  </si>
  <si>
    <t>Robinson, SP (corresponding author), Natl Phys Lab, Teddington TW11 0LW, Middx, England.</t>
  </si>
  <si>
    <t>National Metrology Programme of the UK Department of Business, Energy and Industrial Strategy</t>
  </si>
  <si>
    <t>The work described here was funded by the National Metrology Programme of the UK Department of Business, Energy and Industrial Strategy. The data was provided by the CTBTO, and the specialists at the virtual Data Exploitation Centre (vDEC) are gratefully acknowledged by the authors. The views expressed in the paper are those of the authors and do not necessarily represent those of the CTBTO.</t>
  </si>
  <si>
    <t>0197-7385</t>
  </si>
  <si>
    <t>978-1-7281-1450-7</t>
  </si>
  <si>
    <t>10.1109/oceanse.2019.8867509</t>
  </si>
  <si>
    <t>Engineering, Marine; Engineering, Ocean; Engineering, Electrical &amp; Electronic</t>
  </si>
  <si>
    <t>BQ4OM</t>
  </si>
  <si>
    <t>WOS:000591652100442</t>
  </si>
  <si>
    <t>Wang, SJ; You, QY; Guo, YG; Huang, S; Song, XY; Liu, YX; Zhang, F</t>
  </si>
  <si>
    <t>Wang, Sujing; You, Qingyu; Guo, Yonggang; Huang, Song; Song, Xiaoyang; Liu, Yuxin; Zhang, Fei</t>
  </si>
  <si>
    <t>Development and application of a compact ocean bottom electromagnetometer based on ARM embedded system</t>
  </si>
  <si>
    <t>Ocean bottom electromagnetometer; low power design; ARM embedded system</t>
  </si>
  <si>
    <t>Ocean bottom electromagnetometer (OBEM) is used for picking and recording electromagnetic signals on seafloor. However, most of them are large, heavy, costly and low operational efficiency. Therefore, to improve these problems, we have developed a compact ocean bottom electromagnetometer. In order to reduce cost and deck space, we integrated acquisition system, acoustic transducer, fluxgate sensor and batteries into a 17-inch glass sphere; assembled other components including anchor, electrodes and electric dipole arms outside. An ARM Cortex-M microcontroller is used as the control unit. By combining with other low power design, the total power consumption is only 400mW at 250Hz sampling frequency, the lithium batteries can supply OBEM running for more than 3 months. In order to evaluate the reliability of OBEM, a number of ocean experiments were carried out in South China Sea, Mariana Trench and Antarctic Peninsula. All instruments were recovered successfully and high quality magnetotelluric data was obtained.</t>
  </si>
  <si>
    <t>[Wang, Sujing; Guo, Yonggang; Song, Xiaoyang; Liu, Yuxin; Zhang, Fei] Chinese Acad Sci, Inst Acoust, State Key Lab Acoust, Beijing 100190, Peoples R China; [You, Qingyu; Huang, Song; Liu, Yuxin] Chinese Acad Sci, Inst Geol &amp; Geophys, Key Lab Petr Resource Res, Beijing 100029, Peoples R China</t>
  </si>
  <si>
    <t>Chinese Academy of Sciences; Institute of Acoustics, CAS; Chinese Academy of Sciences; Institute of Geology &amp; Geophysics, CAS</t>
  </si>
  <si>
    <t>Wang, SJ (corresponding author), Chinese Acad Sci, Inst Acoust, State Key Lab Acoust, Beijing 100190, Peoples R China.</t>
  </si>
  <si>
    <t>wangsujing@mail.ioa.ac.cn</t>
  </si>
  <si>
    <t>liu, yuxin/GRY-3592-2022; LIU, YU/HTR-1607-2023</t>
  </si>
  <si>
    <t>10.1109/oceanse.2019.8867501</t>
  </si>
  <si>
    <t>WOS:000591652100434</t>
  </si>
  <si>
    <t>Zarayskaya, Y; Wallace, C; Wigley, R; Zwolak, K; Bazhenova, E; Bohan, A; Elsaied, M; Roperez, J; Sumiyoshi, M; Sattiabaruth, S; Dorshow, W; Ketter, T; Sade, H; Proctor, A; Ryzhov, I; Tinmouth, N; Simpson, B; Kristoffersen, SM</t>
  </si>
  <si>
    <t>Zarayskaya, Yulia; Wallace, Craig; Wigley, Rochelle; Zwolak, Karolina; Bazhenova, Evgenia; Bohan, Aileen; Elsaied, Mohamed; Roperez, Jaya; Sumiyoshi, Masanao; Sattiabaruth, Seeboruth; Dorshow, Wetherbee; Ketter, Tomer; Sade, Hadar; Proctor, Alison; Ryzhov, Ivan; Tinmouth, Neil; Simpson, Ben; Kristoffersen, Stian Michael</t>
  </si>
  <si>
    <t>GEBCO-NF Alumni Team Technology Solution for Shell Ocean Discovery XPRIZE Final Round</t>
  </si>
  <si>
    <t>USV; AUV; sea floor mapping; GEBCO-NF Alumni team; Shell Ocean Discovery XPRIZE; HUGIN; SEA-KIT; EM304; EM2040; HISAS</t>
  </si>
  <si>
    <t>The GEBCO-NF Alumni Team is one of the five teams who completed the final round of the Shell Ocean Discovery XPRIZE challenge. This international team is made up of industry experts, advisors from within the GEBCO community and broader ocean community and is led by alumni from the Nippon Foundation / GEBCO Graduate Certificate Ocean Mapping Training Program at the Centre for Coastal and Ocean Mapping / Joint Hydro graphic Center (CCOM/JHC) of the University of New Hampshire. The Team is distinguished by its extraordinary diversity with a global distribution of representatives from academic institutions, offshore survey and technology industries, academia as well as national hydrographic offices. The alumni worked closely with partners such as Hushcraft Ltd., Ocean Floor Geophysics Inc., Earth Analytic and Teledyne CARIS as well as equipment supplier Kongsberg Maritime AS to develop and advance the Team concept created for the Shell Ocean Discovery XPRIZE. The project was established and supervised at the University of New Hampshire. The Shell Ocean Discovery XPRIZE competition aimed to push the boundaries of ocean technologies by creating solutions to the grand challenge of mapping our ocean floor. The competition requirements had to be met within a short timeline of approximately one year per round. The Round 2 final field test was to demonstrate a complete system that could map 250 km(2) in 24 hours to produce a grid with 5 m cell size and at least 10 images of the sea floor. Operations had to be remotely coordinated from a land-based operation center. The entire mapping system had to fit into a standard 40-foot shipping container. The aim of the GEBCO-NF Alumni Team has been to leverage existing technology, wherever possible, and to integrate them to achieve the competition requirements. The strategic approach is to develop strong partnerships with technology and services providers to augment the hardware, integration and software needs of the Team. The GEBCO-NF Alumni Team conceived a two -system, Autonomous Underwater Vehicle (AUV) and Remote-controlled or Unmanned Surface Vehicle (USV), concept to autonomously map the seafloor in a wide variety of ocean environments. Autonomous seafloor surveys, with remote AUV launch and recovery (human-in-the-loop) and with the USV autonomously tracking the AUV for a complete survey mission while being monitored from a remote shore station, were demonstrated to be a viable option for future offshore survey and inspection projects during Round 1. SEA-KIT, the Team's USV, is an innovative new vessel that allows for autonomous management of AUV deployment and retrieval. In addition, the capability of being a stand-alone mapping platform was demonstrated during the competition using Kongsberg Maritime's deep-water multibeam sonar EM304 mounted on the gondola below SEA-KIT. The Kongsberg Maritime HUGIN AUV was used for this competition to execute the underwater operations. The Team was confident that competition criteria could be met by overcoming the surface challenges of delivering an AUV to a deep-water location for mapping, coupled to the proven abilities of the HUGIN. During Round 2 Field Test, the team demonstrated automated and remote processing using a cloud-based hosting environment. End users (judges) were able to consume the GEBCO-NF Alumni Team information rapidly and efficiently. The technology, processes and procedures developed for this project are a big step towards larger scale implementation of these concepts. This development of new and innovative technologies that increase the efficiency of seafloor mapping is the Team's contribution towards helping meet the ambitious goals of the Nippon Foundation GEBCO Seabed 2030 Project.</t>
  </si>
  <si>
    <t>[Zarayskaya, Yulia] Russian Acad Sci, Geol Inst, Moscow, Russia; [Wallace, Craig; Kristoffersen, Stian Michael] Kongsberg Maritime AS, Subsea Div, Horten, Norway; [Wigley, Rochelle; Roperez, Jaya; Ketter, Tomer] Univ New Hampshire, Ctr Coastal &amp; Ocean Mapping, Durham, NH 03824 USA; [Zwolak, Karolina] Polish Naval Acad, Fac Nav &amp; Naval Weapon, Inst Nav &amp; Marine Hydrog, Gdynia, Poland; [Bazhenova, Evgenia] St Petersburg State Univ, St Petersburg, Russia; [Bohan, Aileen] Geol Survey Ireland, Dublin, Ireland; [Elsaied, Mohamed] Matrouh Univ, Fac Petr &amp; Min Sci, Petr Geol Dept, Matrouh, Egypt; [Sumiyoshi, Masanao] Japan Coast Guard, Tokyo, Japan; [Sattiabaruth, Seeboruth] Minist Housing &amp; Land, Ebene, Mauritius; [Dorshow, Wetherbee] Earth Analit Inc, Santa Fe, NM USA; [Sade, Hadar] Yam Yafo Ltd, Rishon Leziyyon, Israel; [Proctor, Alison] Ocean Floor Geophys, Vancouver, BC, Canada; [Ryzhov, Ivan] Arctic &amp; Antarctic Res Inst, St Petersburg, Russia; [Tinmouth, Neil] Univ Stellenbosch, Stellenbosch, South Africa; [Simpson, Ben] Hushcraft Ltd, Tollesbury, England</t>
  </si>
  <si>
    <t>Russian Academy of Sciences; Geological Institute, Russian Academy of Sciences; University System Of New Hampshire; University of New Hampshire; Saint Petersburg State University; Matrouh University; Arctic &amp; Antarctic Research Institute; Stellenbosch University</t>
  </si>
  <si>
    <t>Zarayskaya, Y (corresponding author), Russian Acad Sci, Geol Inst, Moscow, Russia.</t>
  </si>
  <si>
    <t>geozar@yandex.ru; craig.wallace@km.kongsberg.com; rochelle@ccom.unh.edu; k.zwolak@amw.gdynia.pl; evgenia.bazhenova@gmail.com; aileenbohan@gmail.com; mingeologist@gmail.com; jroperez@ccom.unh.edu; sumi44masa@gmail.com; shailesh_chem@yahoo.com; wdorshow@earthanalytic.com; tketter@ccom.unh.edu; hadarsade@me.com; alison.proctor@oceanfloorgeophysis.cs.com; ryzhov@aari.ru; neiltinmouth@gmail.com; ben@hushcraft.com; stain.michael.kristoffersen@km.kongsberg.com</t>
  </si>
  <si>
    <t>Elsaied, Mohamed/AAZ-9004-2021; Zarayskaya, Yulia A/I-1542-2013; Bazhenova, Evgenia/G-1505-2015; Zwolak, Karolina/U-7920-2018; Zarayskaya, Yulia/AAM-9028-2021</t>
  </si>
  <si>
    <t>Elsaied, Mohamed/0000-0003-4062-5905; Zarayskaya, Yulia/0000-0002-9385-2135</t>
  </si>
  <si>
    <t>Sasakawa Peace Foundation; University of New Hampshire; Ocean Floor Geophysics; Kongsberg Maritime; Hushcraft Ltd.; Teledyne CARIS; Earth Analytic</t>
  </si>
  <si>
    <t>Sasakawa Peace Foundation(Sasakawa Peace Foundation); University of New Hampshire; Ocean Floor Geophysics; Kongsberg Maritime; Hushcraft Ltd.; Teledyne CARIS; Earth Analytic</t>
  </si>
  <si>
    <t>This work was done in partnership with the Nippon Foundation and would not have been possible without the support of the Sasakawa Peace Foundation, University of New Hampshire, Ocean Floor Geophysics, Kongsberg Maritime, Hushcraft Ltd., Teledyne CARIS and Earth Analytic. The authors would also like to thank the 77 individuals from 22 countries who all dedicated themselves to ensuring the success of this project.</t>
  </si>
  <si>
    <t>10.1109/oceanse.2019.8867201</t>
  </si>
  <si>
    <t>WOS:000591652100164</t>
  </si>
  <si>
    <t>Martin, AR; Richardson, MG</t>
  </si>
  <si>
    <t>Martin, A. R.; Richardson, M. G.</t>
  </si>
  <si>
    <t>Rodent eradication scaled up: clearing rats and mice from South Georgia</t>
  </si>
  <si>
    <t>ORYX</t>
  </si>
  <si>
    <t>Eradication; invasive alien species; mouse; non-target mortality; rat; South Georgia; Subantarctic</t>
  </si>
  <si>
    <t>MAMMALS; BIRDS</t>
  </si>
  <si>
    <t>The Subantarctic island of South Georgia lost most of its birds to predation by rodents introduced by people over 2 centuries. In 2011 a UK charity began to clear brown rats Rattus norvegicus and house mice Mus musculus from the 170 km long, 3,500 km(2) island using helicopters to spread bait containing Brodifacoum as the active ingredient. South Georgia's larger glaciers were barriers to rodent movement, resulting in numerous independent sub-island populations. The eradication could therefore be spread over multiple seasons, giving time to evaluate results before recommencing, and also reducing the impact of non-target mortality across the island as a whole. Eradication success was achieved in the 128 km(2) Phase 1 trial operation. Work in 2013 (Phase 2) and early 2015 (Phase 3) covered the remaining 940 km(2) occupied by rodents. By July 2017, 28 months after baiting was concluded, there was no sign of surviving rodents, other than one apparently newly introduced by ship in October 2014. A survey using detection dogs and passive devices will search the Phase 2 and Phase 3 land for rodents in early 2018. Seven (of 30) species of breeding birds suffered losses from poisoning, but all populations appear to have recovered within 5 years. The endemic South Georgia pipit Anthus antarcticus was the first bird to breed in newly rat-free areas, but there were also signs that cavity-nesting seabirds were exploring scree habitat denied them for generations. Enhanced biosecurity measures on South Georgia are needed urgently to prevent rodents being reintroduced.</t>
  </si>
  <si>
    <t>[Martin, A. R.] Univ Dundee, Ctr Remote Environm, Dundee DD1 4DY, Scotland; [Richardson, M. G.] South Georgia Heritage Trust, Dundee, Scotland; [Martin, A. R.] South Georgia Heritage Trust, Verdant Works, Dundee DD1 5BT, Scotland</t>
  </si>
  <si>
    <t>University of Dundee</t>
  </si>
  <si>
    <t>Martin, AR (corresponding author), Univ Dundee, Ctr Remote Environm, Dundee DD1 4DY, Scotland.</t>
  </si>
  <si>
    <t>boto@live.co.uk</t>
  </si>
  <si>
    <t>Friends of South Georgia Island (FOSGI); Department for Environment, Food and Rural Affairs of the UK Government; Darwin Initiative; island eradication community; Island Eradication Advisory Group (Department of Conservation, New Zealand); Advisory Committee on Incidental Mortality</t>
  </si>
  <si>
    <t>Funding was generously provided by private donors, trusts and foundations, especially Friends of South Georgia Island (FOSGI), the Department for Environment, Food and Rural Affairs of the UK Government, and the Darwin Initiative. Visitors to South Georgia, and the cruise operators who took them there, were particularly supportive. We thank members of Team Rat, support staff and the many people who contributed in diverse ways to making the operation a success. The Government of South Georgia and the South Sandwich Islands (GSGSSI) provided logistical assistance at cost or gratis, undertook non-target mortality surveys and contributed to post-baiting monitoring. The British Antarctic Survey (BAS) provided crucial expert support on South Georgia and in the UK, and consented to charter its vessel RRS Ernest Shackleton. We gratefully acknowledge vital advice and support from the island eradication community, especially the Island Eradication Advisory Group (Department of Conservation, New Zealand), and Keith Springer, Derek Brown and Andy Cox. Members of the project Steering Committee, including representatives from South Georgia Heritage Trust, FOSGI, BAS and GSGSSI, and its Advisory Committee on Incidental Mortality, guided and supported the operation throughout. This article benefited from the input of two anonymous reviewers, to whom we are most grateful.</t>
  </si>
  <si>
    <t>EDINBURGH BLDG, SHAFTESBURY RD, CB2 8RU CAMBRIDGE, ENGLAND</t>
  </si>
  <si>
    <t>0030-6053</t>
  </si>
  <si>
    <t>1365-3008</t>
  </si>
  <si>
    <t>Oryx</t>
  </si>
  <si>
    <t>10.1017/S003060531700028X</t>
  </si>
  <si>
    <t>HF5WD</t>
  </si>
  <si>
    <t>WOS:000454304000006</t>
  </si>
  <si>
    <t>Messaoud, JH; Yaich, C; Monkenbusch, J; Thibault, N</t>
  </si>
  <si>
    <t>Boughdiri, M; Badenas, B; Selden, P; Jaillard, E; Bengtson, P; Granier, BRC</t>
  </si>
  <si>
    <t>Messaoud, Jihede Haj; Yaich, Chokri; Monkenbusch, Johannes; Thibault, Nicolas</t>
  </si>
  <si>
    <t>The Eocene-Oligocene Climate Transition in the Southern Tethys: Calcareous Nannofossil Response and Element Geochemistry</t>
  </si>
  <si>
    <t>PALEOBIODIVERSITY AND TECTONO-SEDIMENTARY RECORDS IN THE MEDITERRANEAN TETHYS AND RELATED EASTERN AREAS</t>
  </si>
  <si>
    <t>Advances in Science Technology &amp; Innovation</t>
  </si>
  <si>
    <t>1st Springer Conference of the Arabian-Journal-of-Geosciences (CAJG)</t>
  </si>
  <si>
    <t>NOV 12-15, 2018</t>
  </si>
  <si>
    <t>Hammamet, TUNISIA</t>
  </si>
  <si>
    <t>Southern tethys; Eocene oligocene boundary; Calcareous nannofossil; Trace elements; Paleoclimate</t>
  </si>
  <si>
    <t>The late Eocene-Early Oligocene transition is characterized by the transient changes in the environmental conditions from greenhouse to icehouse controlled by the onset of the major Antarctic glaciation phase (similar to 34 Ma). The effects of this major climatic transition in Earth history have not been studied so far in the southern Tethys. Here, we present new data from the Ain Rahma section (Northeastern Tunisia, Cap Bon peninsula) across the Late Eocene-Early Oligocene. Calcareous nanno-fossil biostratigraphy permits an excellent detection of the paleoclimatic events of this transition. Hand-held X-ray Fluorescence (HH-XRF) analysis is used to show changes in detrital elements across the transition (Fe, Si, Al, Zr). Two major changes are recorded in the studied interval corresponding to the Eocene/Oligocene transition 1 event (EOT1) and to the Oi-1 glaciation event. Both depicted by important shifts in detrital elements and calcareous nannofossil assemblages.</t>
  </si>
  <si>
    <t>[Messaoud, Jihede Haj; Monkenbusch, Johannes; Thibault, Nicolas] Univ Copenhagen, Dept Geosci &amp; Nat Resource Management, Oster Voldgade 10, DK-1350 Copenhagen C, Denmark; [Messaoud, Jihede Haj; Yaich, Chokri] Univ Sfax, Sfax Natl Engn Sch, Soukra Rd Km 4,Rd Airport Km 0-5,PB 1178, Sfax 3038, Tunisia; [Messaoud, Jihede Haj; Yaich, Chokri] Univ Sfax, Sfax Natl Sch Engineers, Lab Sediment Dynam &amp; Environm, PB 1173, Sfax 3038, Tunisia</t>
  </si>
  <si>
    <t>University of Copenhagen; Universite de Sfax; Ecole Nationale dIngenieurs de Sfax (ENIS); Universite de Sfax; Ecole Nationale dIngenieurs de Sfax (ENIS)</t>
  </si>
  <si>
    <t>Messaoud, JH (corresponding author), Univ Copenhagen, Dept Geosci &amp; Nat Resource Management, Oster Voldgade 10, DK-1350 Copenhagen C, Denmark.</t>
  </si>
  <si>
    <t>jhm@ign.ku.dk</t>
  </si>
  <si>
    <t>Thibault, Nicolas/B-1106-2013</t>
  </si>
  <si>
    <t>Thibault, Nicolas/0000-0003-4147-5531</t>
  </si>
  <si>
    <t>2522-8714</t>
  </si>
  <si>
    <t>2522-8722</t>
  </si>
  <si>
    <t>978-3-030-01452-0; 978-3-030-01451-3</t>
  </si>
  <si>
    <t>ADV SCI TECHNOL INN</t>
  </si>
  <si>
    <t>Adv. Sci. Technol. Innov.</t>
  </si>
  <si>
    <t>10.1007/978-3-030-01452-0_55</t>
  </si>
  <si>
    <t>Geology; Paleontology</t>
  </si>
  <si>
    <t>BQ8CP</t>
  </si>
  <si>
    <t>WOS:000619257500053</t>
  </si>
  <si>
    <t>Yadav, AN; Kour, D; Sharma, S; Sachan, SG; Singh, B; Chauhan, VS; Sayyed, RZ; Kaushik, R; Saxena, AK</t>
  </si>
  <si>
    <t>Sayyed, RZ; Arora, NK; Reddy, MS</t>
  </si>
  <si>
    <t>Yadav, Ajar Nath; Kour, Divjot; Sharma, Sushma; Sachan, Shashwati Ghosh; Singh, Bhanumati; Chauhan, Vinay Singh; Sayyed, R. Z.; Kaushik, Rajeev; Saxena, Anil Kumar</t>
  </si>
  <si>
    <t>Psychrotrophic Microbes: Biodiversity, Mechanisms of Adaptation, and Biotechnological Implications in Alleviation of Cold Stress in Plants</t>
  </si>
  <si>
    <t>PLANT GROWTH PROMOTING RHIZOBACTERIA FOR SUSTAINABLE STRESS MANAGEMENT: VOL 1: RHIZOBACTERIA IN ABIOTIC STRESS MANAGEMENT</t>
  </si>
  <si>
    <t>Microorganisms for Sustainability</t>
  </si>
  <si>
    <t>Adaptation; Cold alleviation; Diversity; Plant growth promotion; Psychrotrophic</t>
  </si>
  <si>
    <t>HIMALAYAN MOUNTAIN-RANGES; COMPLETE GENOME SEQUENCE; WHEAT TRITICUM-AESTIVUM; GROWTH-PROMOTING RHIZOBACTERIUM; PSYCHROTOLERANS SP-NOV; ANTARCTIC SEA-ICE; PSYCHROPHILIC BACTERIUM; ESCHERICHIA-COLI; GEN. NOV.; SP. NOV.</t>
  </si>
  <si>
    <t>Psychrotrophic microbes from the cold habitats have been reported worldwide. The psychrotrophic microbes from diverse cold habitats have biotechnological potential applications in agriculture as they can possess different direct and indirect plant growth-promoting (PGP) attributes such as solubilization of micronutrients (P, K, and Zn), 1-aminocyclopropane-1-carboxylate deaminase production, Fe-chelating compounds, indole-3-acetic acid, and bioactive compounds. Psychrophilic and psychrotrophic microbes are ubiquitous in nature and have been reported worldwide from various cold environments. The microbial communities from cold deserts have been reported using both culture-dependent techniques and metagenomic techniques, which belong to diverse major groups, viz., Verrucomicrobia, Thaumarchaeota, Spirochaetes, Proteobacteria, Planctomycetes, Nitrospirae, Mucoromycota, Gemmatimonadetes, Firmicutes, Euryarchaeota, Cyanobacteria, Chloroflexi, Chlamydiae, Basidiomycota, Bacteroidetes, Ascomycota, and Actinobacteria. Cold-adapted microbes, isolated from the low-temperature condition, are belonging to different genera such as Arthrobacter, Bacillus, Exiguobacterium, Paenibacillus, Providencia, Pseudomonas, and Serratia. On review of different research, it was found that inoculation with psychrotrophic strains significantly enhanced plant growth, crop yield, and soil fertility. The present book chapter deals with the biodiversity of psychrotrophic or cold-adapted microbes from diverse cold habitats, and their potential biotechnological applications in agriculture have been discussed.</t>
  </si>
  <si>
    <t>[Yadav, Ajar Nath; Kour, Divjot] Eternal Univ, Akal Coll Agr, Dept Biotechnol, Microbial Biotechnol Lab, Baru Sahib, Himachal Prades, India; [Sharma, Sushma] Eternal Univ, Akal Coll Agr, Dept Agr, Baru Sahib, India; [Sachan, Shashwati Ghosh] Birla Inst Technol, Dept Bioengn, Ranchi, Bihar, India; [Singh, Bhanumati; Chauhan, Vinay Singh] Bundelkhand Univ, Inst Life Sci, Dept Biotechnol, Jhansi, Uttar Pradesh, India; [Sayyed, R. Z.] PSGVP Mandals ASC Coll, Dept Microbiol, Shahada, Maharashtra, India; [Kaushik, Rajeev] Indian Agr Res Inst, Div Microbiol, New Delhi, India; [Saxena, Anil Kumar] ICAR Natl Bur Agr Important Microorganis, Mau, Uttar Pradesh, India</t>
  </si>
  <si>
    <t>Birla Institute of Technology Mesra; Bundelkhand University; Indian Council of Agricultural Research (ICAR); ICAR - Indian Agricultural Research Institute; Indian Council of Agricultural Research (ICAR); ICAR - National Bureau of Agriculturally Important Microorganisms</t>
  </si>
  <si>
    <t>Yadav, AN (corresponding author), Eternal Univ, Akal Coll Agr, Dept Biotechnol, Microbial Biotechnol Lab, Baru Sahib, Himachal Prades, India.</t>
  </si>
  <si>
    <t>ajarbiotech@gmail.com</t>
  </si>
  <si>
    <t>Ghosh Sachan, Shashwati/Q-9980-2018; Kour, Divjot/AAK-1119-2021; Yadav, Ajar Nath/I-3572-2014; Sayyed, R. Z./Q-4313-2016</t>
  </si>
  <si>
    <t>Ghosh Sachan, Shashwati/0000-0003-2129-0062; Kour, Divjot/0000-0002-1384-5104; Yadav, Ajar Nath/0000-0002-6911-7050; Sayyed, R. Z./0000-0002-1553-1213</t>
  </si>
  <si>
    <t>Department of Biotechnology, Akal College of Agriculture, Eternal University, Baru Sahib; HP Governments, Environments, Science and Technology, Shimla, Himachal Pradesh</t>
  </si>
  <si>
    <t>The authors are grateful to the Department of Biotechnology, Akal College of Agriculture, Eternal University, Baru Sahib and HP Governments, Environments, Science and Technology, Shimla, Himachal Pradesh-funded project Development of Microbial Consortium as Bio-inoculants for Drought and Low-Temperature Growing Crops for Organic Farming in Himachal Pradesh, for providing the facilities and financial support to undertake the investigations. There are no conflicts of interest.</t>
  </si>
  <si>
    <t>2512-1901</t>
  </si>
  <si>
    <t>2512-1898</t>
  </si>
  <si>
    <t>978-981-13-6536-2; 978-981-13-6535-5</t>
  </si>
  <si>
    <t>MICROORG SUSTAIN</t>
  </si>
  <si>
    <t>10.1007/978-981-13-6536-2_12</t>
  </si>
  <si>
    <t>10.1007/978-981-13-6536-2</t>
  </si>
  <si>
    <t>Agronomy; Biotechnology &amp; Applied Microbiology; Plant Sciences; Green &amp; Sustainable Science &amp; Technology</t>
  </si>
  <si>
    <t>Agriculture; Biotechnology &amp; Applied Microbiology; Plant Sciences; Science &amp; Technology - Other Topics</t>
  </si>
  <si>
    <t>BP5EB</t>
  </si>
  <si>
    <t>WOS:000555334300014</t>
  </si>
  <si>
    <t>Dias, MP; Warwick-Evans, V; Carneiro, APB; Harris, C; Lascelles, BG; Clewlow, HL; Manco, F; Ratcliffe, N; Trathan, PN</t>
  </si>
  <si>
    <t>Dias, M. P.; Warwick-Evans, V.; Carneiro, A. P. B.; Harris, C.; Lascelles, B. G.; Clewlow, H. L.; Manco, F.; Ratcliffe, N.; Trathan, P. N.</t>
  </si>
  <si>
    <t>Using habitat models to identify marine important bird and biodiversity areas for Chinstrap Penguins Pygoscelis antarcticus in the South Orkney Islands</t>
  </si>
  <si>
    <t>Antarctica; Conservation; Habitat modelling; Marine important bird and biodiversity areas; Penguins; Tracking data</t>
  </si>
  <si>
    <t>TRACKING; CONSERVATION</t>
  </si>
  <si>
    <t>Tracking individual marine predators can provide vital information to aid the identification of important activity (foraging, commuting, rafting, resting, etc.) hotspots and therefore also to delineate priority sites for conservation. However, in certain locations (e.g. Antarctica) many marine mammal or seabird colonies remain untracked due to logistical constraints, and the colonies that are studied may not be the most important in terms of conservation priorities. Using data for one of the most abundant seabirds in the Antarctic as a case study (the Chinstrap Penguin Pygoscelis antarcticus), we tested the use of correlative habitat models (used to predict distribution around untracked colonies) to overcome this limitation, and to enable the identification of important areas at-sea for colonies where tracking data are not available. First, marine Important Bird and Biodiversity Areas (IBA) were identified using a standardised, published approach using empirical data from birds tracked from colonies located in the South Orkney Islands. Subsequently, novel approaches using predicted distributions of Chinstrap Penguins derived from correlative habitat models were applied to identify important marine areas, and the results compared with the IBAs. Data were collected from four colonies over 4years and during different stages of the breeding season. Results showed a high degree of overlap between the areas identified as important by observed data (IBAs) and by predicted distributions, revealing that habitat preference models can be used to identify marine IBAs for these penguins. We provide a new method for designating a network of marine IBAs for penguins in Antarctic waters, based on outputs from correlative habitat models when tracking data are not available. This can contribute to an evidence-based and precautionary approach to aid the management framework for Antarctic fisheries and for the protection of birds.</t>
  </si>
  <si>
    <t>[Dias, M. P.; Carneiro, A. P. B.; Lascelles, B. G.] BirdLife Int, David Attenborough Bldg,Pembroke St, Cambridge CB2 3QZ, England; [Warwick-Evans, V.; Clewlow, H. L.; Ratcliffe, N.; Trathan, P. N.] NERC, British Antarctic Survey, Madingley Rd, Cambridge CB3 0ET, England; [Harris, C.] ERA, 12 Silverdale Ave, Cambridge CB23 7PP, England; [Clewlow, H. L.] Univ Exeter, Ctr Ecol &amp; Conservat, Penryn Campus, Penryn TR10 9FE, Cornwall, England; [Manco, F.] Anglia Ruskin Univ, Fac Sci &amp; Technol, East Rd, Cambridge CB1 1PT, England</t>
  </si>
  <si>
    <t>BirdLife International; UK Research &amp; Innovation (UKRI); Natural Environment Research Council (NERC); NERC British Antarctic Survey; University of Exeter; Anglia Ruskin University</t>
  </si>
  <si>
    <t>Dias, MP (corresponding author), BirdLife Int, David Attenborough Bldg,Pembroke St, Cambridge CB2 3QZ, England.</t>
  </si>
  <si>
    <t>maria.dias@birdlife.org</t>
  </si>
  <si>
    <t>Dias, Maria P./D-1331-2012; Carneiro, Ana Paula/IQT-6077-2023</t>
  </si>
  <si>
    <t>Dias, Maria P./0000-0002-7281-4391;</t>
  </si>
  <si>
    <t>Pew Charitable Trusts; BirdFair; Darwin Plus [DPLUS009, DPLUS054]; WWF; NERC [bas0100035] Funding Source: UKRI</t>
  </si>
  <si>
    <t>Pew Charitable Trusts; BirdFair; Darwin Plus; WWF; NERC(UK Research &amp; Innovation (UKRI)Natural Environment Research Council (NERC))</t>
  </si>
  <si>
    <t>The data assessed in this paper can be explored via www.seabirdtracking.org.Funding for this study was provided by the Pew Charitable Trusts to BirdLife International (BI) and ERA, by BirdFair to BI, by Darwin Plus (DPLUS009, DPLUS054) to BAS, BI and ERA and by WWF to BAS.</t>
  </si>
  <si>
    <t>10.1007/s00300-018-2404-4</t>
  </si>
  <si>
    <t>WOS:000455301900002</t>
  </si>
  <si>
    <t>Bester, MN; Wege, M; Lübcker, N; Postma, M; Syndercombe, G</t>
  </si>
  <si>
    <t>Bester, Marthan N.; Wege, Mia; Lubcker, Nico; Postma, Martin; Syndercombe, Gavin</t>
  </si>
  <si>
    <t>Opportunistic ship-based census of pack ice seals in eastern Weddell Sea, Antarctica</t>
  </si>
  <si>
    <t>Pack ice seals; Ross seals; Crabeater seals; Eastern Weddell Sea; Ship-board censuses; Austral summer 2015/2016</t>
  </si>
  <si>
    <t>QUEEN-MAUD-LAND; ABUNDANCE; DENSITY</t>
  </si>
  <si>
    <t>The distribution, density and percentage contribution of pack ice pinnipeds during ship-board censuses in the eastern Weddell Sea in summer 2015/2016 are presented. Of the four true pack ice seal species encountered, crabeater seals predominated. Despite the low survey effort, Ross seals continued to be relatively abundant in the pack ice off the Princess Martha Coast in mid-January 2016, similar to the situation here in the 1970s. Censusing of Ross seals is ideally carried out in late January/early February when the species' haulout probability is at its maximum and the seals are gathered in the limited summer pack ice to moult.</t>
  </si>
  <si>
    <t>[Bester, Marthan N.; Wege, Mia; Lubcker, Nico; Postma, Martin] Univ Pretoria, Mammal Res Inst, Dept Zool &amp; Entomol, Private Bag X20, ZA-0028 Hatfield, South Africa; [Syndercombe, Gavin] SMIT Amandla Marine, POB 1339, ZA-8000 Cape Town, South Africa</t>
  </si>
  <si>
    <t>Bester, MN (corresponding author), Univ Pretoria, Mammal Res Inst, Dept Zool &amp; Entomol, Private Bag X20, ZA-0028 Hatfield, South Africa.</t>
  </si>
  <si>
    <t>Bester, Marthán N/E-5387-2010; Wege, Mia/B-1103-2016; Lubcker, Nico/I-7622-2019</t>
  </si>
  <si>
    <t>Wege, Mia/0000-0002-9022-3069; Lubcker, Nico/0000-0001-7141-6669</t>
  </si>
  <si>
    <t>Department of Science and Technology (DST), through the National Research Foundation (NRF); NRF [93088]</t>
  </si>
  <si>
    <t>Department of Science and Technology (DST), through the National Research Foundation (NRF)(Department of Science &amp; Technology (India)Department of Science &amp; Technology (DOST), Philippines); NRF</t>
  </si>
  <si>
    <t>The Officers and Crew of the MV SA Agulhas II extended every possible courtesy to us in support of our research objectives. Chief Scientist, Dr Thato Mtshali, is thanked for his support, and the Department of Environment Affairs' Co-ordinating Officer (DCO) and Deputy DCO, for facilitation. The Department of Environment Affairs (DEA) for logistical support within South African National Antarctic Programme (SANAP), and the Department of Science and Technology (DST), through the National Research Foundation (NRF), for funding this project. This work is based on the research supported by the NRF (Grant Number 93088) and the authors acknowledge that opinions, findings and conclusions expressed in this publication generated by the NRF supported research is that of the authors, and that the NRF accepts no liability whatsoever in this regard.</t>
  </si>
  <si>
    <t>10.1007/s00300-018-2401-7</t>
  </si>
  <si>
    <t>WOS:000455301900017</t>
  </si>
  <si>
    <t>Szopinska, M; Ruman, M; Bialik, R; Polkowska, Z</t>
  </si>
  <si>
    <t>Simos, TE; Kalogiratou, Z; Monovasilis, T</t>
  </si>
  <si>
    <t>Szopinska, Malgorzata; Ruman, Marek; Bialik, Robert; Polkowska, Zaneta</t>
  </si>
  <si>
    <t>Examination of Fresh Water Chemistry in Maritime Antarctica during Austral Summer 2017</t>
  </si>
  <si>
    <t>PROCEEDINGS OF THE INTERNATIONAL CONFERENCE OF COMPUTATIONAL METHODS IN SCIENCES AND ENGINEERING 2019 (ICCMSE-2019)</t>
  </si>
  <si>
    <t>International Conference of Computational Methods in Sciences and Engineering (ICCMSE)</t>
  </si>
  <si>
    <t>MAY 01-05, 2019</t>
  </si>
  <si>
    <t>Rhodes, GREECE</t>
  </si>
  <si>
    <t>POLLUTION</t>
  </si>
  <si>
    <t>Due to the fact that Antarctica is one of the least polluted places on Earth, it is a perfect place to observe the spread of global pollution. Therefore, research conducted on this continent is important due to the possibility of investigating the type of pollution and their way of transport. This work considers presence of organic contaminants in Maritime Antarctica in unexplored until now, Lions Rump headland. Qualitative and quantitative analysis of samples were carried out in order to determine the content of analytes such as polycyclic aromatic hydrocarbons (PAHs). Among all determined PAHs in water samples the highest concentrations was observed for naphthalene and anthracene, which is the result of their higher volatility in comparison to the High Molecular Weight PAHs. The presence of PAHs in the water environment may constitute potential negative effect on Antarctic ecosystem and it should be investigated in detail. Moreover, possibility of undertaking various actions reducing contaminants emission are also very important. We hope that improved fossil fuel economy, and not only on the local scale, would help reduce PAH levels in Maritime Antarctica.</t>
  </si>
  <si>
    <t>[Szopinska, Malgorzata] Gdansk Univ Technol, Fac Civil &amp; Environm Engn, Dept Water &amp; Waste Water Technol, Gabriela Narutowicza 11-12, PL-80233 Gdansk, Poland; [Ruman, Marek] Univ Silesia Katowice, Fac Earth Sci, Bedzinska 60, PL-41200 Sosnowiec, Poland; [Bialik, Robert] Polish Acad Sci, Inst Biochem &amp; Biophys, Pawinskiego 5a, PL-02106 Warsaw, Poland; [Polkowska, Zaneta] Gdansk Univ Technol, Fac Chem, Dept Analyt Chem, Gabriela Narutowicza 11-12, PL-80233 Gdansk, Poland</t>
  </si>
  <si>
    <t>Fahrenheit Universities; Gdansk University of Technology; University of Silesia in Katowice; Polish Academy of Sciences; Institute of Biochemistry &amp; Biophysics - Polish Academy of Sciences; Fahrenheit Universities; Gdansk University of Technology</t>
  </si>
  <si>
    <t>Szopinska, M (corresponding author), Gdansk Univ Technol, Fac Civil &amp; Environm Engn, Dept Water &amp; Waste Water Technol, Gabriela Narutowicza 11-12, PL-80233 Gdansk, Poland.</t>
  </si>
  <si>
    <t>malgorzata.szopinska@pg.edu.pl; marek.ruman@us.edu.pl; rbialik@ibb.waw.pl; zanpolko@pg.edu.pl</t>
  </si>
  <si>
    <t>Szopińska, Małgorzata/AAX-9597-2021; Polkowska, Zaneta/AAA-3578-2020; Ruman, Marek/S-9533-2017</t>
  </si>
  <si>
    <t>Szopińska, Małgorzata/0000-0003-2186-7781; Ruman, Marek/0000-0001-9424-7589; Polkowska, Zaneta/0000-0002-2730-0068</t>
  </si>
  <si>
    <t>National Science Centre Poland project (MINIATURA2) entitled: 'Recognition and selection of pollution markers introduced into Admiralty Bay [DEC2018/02/X/ST10/01539]</t>
  </si>
  <si>
    <t>National Science Centre Poland project (MINIATURA2) entitled: 'Recognition and selection of pollution markers introduced into Admiralty Bay</t>
  </si>
  <si>
    <t>This research has been supported by National Science Centre Poland project (MINIATURA2) entitled: 'Recognition and selection of pollution markers introduced into Admiralty Bay via wastewater discharge: An example from Arctowski Polish Antarctic Station. King George Island. Maritime Antarctica'. Agreement no. DEC2018/02/X/ST10/01539</t>
  </si>
  <si>
    <t>978-0-7354-1933-9</t>
  </si>
  <si>
    <t>10.1063/1.5138041</t>
  </si>
  <si>
    <t>Mathematics, Applied</t>
  </si>
  <si>
    <t>BQ8CK</t>
  </si>
  <si>
    <t>WOS:000619245800121</t>
  </si>
  <si>
    <t>Berg, S; White, DA; Jivcov, S; Melles, M; Leng, MJ; Rethemeyer, J; Allen, C; Perren, B; Bennike, O; Viehberg, F</t>
  </si>
  <si>
    <t>Berg, Sonja; White, Duanne A.; Jivcov, Sandra; Melles, Martin; Leng, Melanie J.; Rethemeyer, Janet; Allen, Claire; Perren, Bianca; Bennike, Ole; Viehberg, Finn</t>
  </si>
  <si>
    <t>Holocene glacier fluctuations and environmental changes in subantarctic South Georgia inferred from a sediment record from a coastal inlet</t>
  </si>
  <si>
    <t>South Georgia; Holocene; Glacier advance; Compound-specific radiocarbon analysis; Marine sediments; Relative sea level</t>
  </si>
  <si>
    <t>HEMISPHERE WESTERLY WINDS; ORGANIC-MATTER; CUMBERLAND BAY; POTTER COVE; FATTY-ACIDS; C/N RATIOS; CLIMATE; PENINSULA; DEGLACIATION; CARBON</t>
  </si>
  <si>
    <t>The subantarctic island of South Georgia provides terrestrial and coastal marine records of climate variability, which are crucial for the understanding of the drivers of Holocene climate changes in the subantarctic region. Here we investigate a sediment core (Co1305) from a coastal inlet on South Georgia using elemental, lipid biomarker, diatom, and stable isotope data to infer changes in environmental conditions and to constrain the timing of late-glacial and Holocene glacier fluctuations. Because of the scarcity of terrestrial macrofossils and the presence of redeposited and relict organic matter in the sediments, age control for the record was obtained by compound-specific radiocarbon dating of mostly marine-derived n-C-16 fatty acids. A basal till layer recovered in Little Jason Lagoon was likely deposited during an advance of local glaciers during the Antarctic cold reversal. After glacier retreat, an oligotrophic lake occupied the site, which transitioned to a marine inlet around 8.0 +/- 0.9 ka because of relative sea-level rise. From 7.0 +/- 0.6 to 4.0 +/- 0.4 ka, reduced vegetation coverage in the catchment, as well as high siliciclastic input and deposition of ice-rafted debris, indicates glacier advances in the terrestrial catchment and likely in the adjacent fjord. A second, less extensive period of glacier advances occurred in the late Holocene, after 1.8 +/- 0.3 ka.</t>
  </si>
  <si>
    <t>[Berg, Sonja; Jivcov, Sandra; Melles, Martin; Rethemeyer, Janet; Viehberg, Finn] Univ Cologne, Inst Geol &amp; Mineral, Zuelpicher Str 49A, D-50674 Cologne, Germany; [White, Duanne A.] Univ Canberra, Inst Appl Ecol, Canberra, ACT 2601, Australia; [Leng, Melanie J.] British Geol Survey, NERC Isotopes Geosci Facil, Keyworth NG12 5GG, Notts, England; [Leng, Melanie J.] Univ Nottingham, Ctr Environm Geochem, Sch Biosci, Sutton Bonington Campus, Loughborough LE12 5RD, Leics, England; [Allen, Claire; Perren, Bianca] British Antarctic Survey, Madingley Rd, Cambridge CB3 0ET, England; [Bennike, Ole] Geol Survey Denmark &amp; Greenland, Oster Voldgade 10, DK-1350 Copenhagen, Denmark</t>
  </si>
  <si>
    <t>University of Cologne; University of Canberra; UK Research &amp; Innovation (UKRI); Natural Environment Research Council (NERC); NERC British Geological Survey; University of Nottingham; UK Research &amp; Innovation (UKRI); Natural Environment Research Council (NERC); NERC British Antarctic Survey; Geological Survey Of Denmark &amp; Greenland</t>
  </si>
  <si>
    <t>Berg, S (corresponding author), Univ Cologne, Inst Geol &amp; Mineral, Zuelpicher Str 49A, D-50674 Cologne, Germany.</t>
  </si>
  <si>
    <t>Berg, Sonja/AAW-3817-2021; Melles, Martin/J-4070-2012; White, Duanne A/E-6919-2012; Bennike, Ole/G-7070-2018; Rethemeyer, Janet/G-4019-2013</t>
  </si>
  <si>
    <t>Melles, Martin/0000-0003-0977-9463; Berg, Sonja/0000-0002-9629-6007; Bennike, Ole/0000-0002-5486-9946; White, Duanne/0000-0003-0740-2072; Rethemeyer, Janet/0000-0001-6698-4186; Perren, Bianca/0000-0001-6089-6468</t>
  </si>
  <si>
    <t>Deutsche Forschungsgemeinschaft [BE 4764/3-1]; University of Cologne; Universities Australia-DAAD; NERC [bas0100030] Funding Source: UKRI</t>
  </si>
  <si>
    <t>Deutsche Forschungsgemeinschaft(German Research Foundation (DFG)); University of Cologne; Universities Australia-DAAD; NERC(UK Research &amp; Innovation (UKRI)Natural Environment Research Council (NERC))</t>
  </si>
  <si>
    <t>This work was supported by the Deutsche Forschungsgemeinschaft in the framework of the priority program Antarctic Research with comparative investigations in Arctic ice areas by grant BE 4764/3-1. Additional funding was provided to SB by a University of Cologne postdoctoral grant. Furthermore, DAW and SB have been supported by grants from the Universities Australia-DAAD Joint Research Cooperation Scheme (Project: Past Environmental Changes in the Sub-Antarctic). Ulrike Patt, Volker Wennrich, and Sonja Groten are thanked for assistance in the lab, and Benedikt Ritter for assistance in the field. The fieldwork was carried out within the scope of the R/V Polarstern cruise ANT XXIX/4; we are grateful to the captain, the crew, and, in particular, the cruise leader Gerhard Bohrmann for various support. We would also like to thank the government of South Georgia and the South Sandwich Islands for providing helpful advice and the permission for fieldwork. The manuscript strongly benefited from the comments of Dominic A. Hodgson and two anonymous reviewers.</t>
  </si>
  <si>
    <t>PII S0033589418000856</t>
  </si>
  <si>
    <t>10.1017/qua.2018.85</t>
  </si>
  <si>
    <t>WOS:000488837500010</t>
  </si>
  <si>
    <t>Cruz, MJ</t>
  </si>
  <si>
    <t>Cruz, Maria Jimena</t>
  </si>
  <si>
    <t>BETWEEN FROZEN BONES. DISCUSSING SOME CONTRIBUTIONS FROM ZOOARCHAEOLOGY TO THE STUDY OF THE SEALER INDUSTRY (ANTARCTICA, XIX)</t>
  </si>
  <si>
    <t>REVISTA DE ARQUEOLOGIA HISTORICA ARGENTINA Y LATINOAMERICANA</t>
  </si>
  <si>
    <t>Sealer industry; Antarctic archaeology; alimentation</t>
  </si>
  <si>
    <t>STRATEGIES</t>
  </si>
  <si>
    <t>The present work seeks to reflect on the contributions that zooarchaeological analyses have made to some of the discussions that the Antarctic Historical Archaeology Project has been developing through its years of research. In order to achieve this, the feeding consumed during the voyages in search of fur and elephant seals. Thus, it is intended to examine how the different alimentary phases of obtaining, preparing and consuming would have developed for each moment and type of food and which consequences in the forms of relationship between people and contexts would have had. Documents of that period and analyses of one of the campsites located in Byers peninsula of the Livingston island (South Shetland, Antarctica) were considered.</t>
  </si>
  <si>
    <t>[Cruz, Maria Jimena] Univ Fed Minas Gerais, Belo Horizonte, MG, Brazil</t>
  </si>
  <si>
    <t>Universidade Federal de Minas Gerais</t>
  </si>
  <si>
    <t>Cruz, MJ (corresponding author), Univ Fed Minas Gerais, Belo Horizonte, MG, Brazil.</t>
  </si>
  <si>
    <t>jimenacrz@gmail.com</t>
  </si>
  <si>
    <t>Assoc Professional Archaeologists Argentine Republic</t>
  </si>
  <si>
    <t>Buenos Aires</t>
  </si>
  <si>
    <t>Florida 835, 2nd floor, of. 202 E. (C1005AAP), Buenos Aires, ARGENTINA</t>
  </si>
  <si>
    <t>1851-3190</t>
  </si>
  <si>
    <t>2344-9918</t>
  </si>
  <si>
    <t>REV ARQUEOL HIST ARG</t>
  </si>
  <si>
    <t>Rev. Arqueol. Hist. Argent. Latinoam.</t>
  </si>
  <si>
    <t>JAN-JUL</t>
  </si>
  <si>
    <t>JZ6MA</t>
  </si>
  <si>
    <t>WOS:000505215800005</t>
  </si>
  <si>
    <t>Bozhkov, P; Sarafov, A; Baltakova, A; Rachev, G</t>
  </si>
  <si>
    <t>Bozhkov, Petko; Sarafov, Alexandar; Baltakova, Ahinora; Rachev, Georgi</t>
  </si>
  <si>
    <t>Investigation of physical weathering in the area of Bulgarian Antarctic Base (BAB) using Schmidt Hammer</t>
  </si>
  <si>
    <t>SPISANIE NA B LGARSKOTO GEOLOGICHESKO DRUZHESTOV-REVIEW OF THE BULGARIAN GEOLOGICAL SOCIETY</t>
  </si>
  <si>
    <t>Bulgarian</t>
  </si>
  <si>
    <t>weathering; Schmidt Hammer; Bulgarian Antarctic Base (BAB)</t>
  </si>
  <si>
    <t>The aim of the following study is to analyze physical weathering in the area of Bulgarian Antarctic Base (BAB), Livingston Island in the South Shetland Islands. Six key sites representing rock outcrops of different petrography are sampled using Schmidt Hammer (Proceq Rock Schmidt, type N). Obtained data (rebound values) is used for estimating rock strength and the degree of weathering. Painted rock faces are used for monitoring of weathering and replicating the Schmidt Hammer tests.</t>
  </si>
  <si>
    <t>[Bozhkov, Petko; Sarafov, Alexandar] Sofia Univ St Kliment Ohridski, Fac Geol &amp; Geog, Dept Landscape Ecol &amp; Environm Protect, 15 Tsar Osvoboditel Blvd, Sofia 1504, Bulgaria; [Baltakova, Ahinora; Rachev, Georgi] Sofia Univ St Kliment Ohridski, Fac Geol &amp; Geog, Dept Climatol Hydrol &amp; Geomorphol, 15 Tsar Osvoboditel Blvd, Sofia 1504, Bulgaria</t>
  </si>
  <si>
    <t>University of Sofia; University of Sofia</t>
  </si>
  <si>
    <t>Bozhkov, P (corresponding author), Sofia Univ St Kliment Ohridski, Fac Geol &amp; Geog, Dept Landscape Ecol &amp; Environm Protect, 15 Tsar Osvoboditel Blvd, Sofia 1504, Bulgaria.</t>
  </si>
  <si>
    <t>petko_bozhkov@abv.bg</t>
  </si>
  <si>
    <t>Bozhkov, Petko Nikolaev/GVU-7520-2022; Sarafov, Alexandar/GSN-0992-2022</t>
  </si>
  <si>
    <t>Bozhkov, Petko Nikolaev/0000-0003-1374-0916; Sarafov, Alexandar/0000-0002-0026-1556</t>
  </si>
  <si>
    <t>BULGARIAN ACAD SCIENCE</t>
  </si>
  <si>
    <t>SOFIA</t>
  </si>
  <si>
    <t>CENTRAL LIBRARY 7 NOEMVRI NO 1, SOFIA, 00000, BULGARIA</t>
  </si>
  <si>
    <t>0007-3938</t>
  </si>
  <si>
    <t>1314-8680</t>
  </si>
  <si>
    <t>SPISANIE B LGARSKOTO</t>
  </si>
  <si>
    <t>Spis. B Lgarskoto Geol. Druz.</t>
  </si>
  <si>
    <t>VK2QM</t>
  </si>
  <si>
    <t>WOS:000670431500063</t>
  </si>
  <si>
    <t>Gutierrez, T</t>
  </si>
  <si>
    <t>McGenity, TJ</t>
  </si>
  <si>
    <t>Gutierrez, Tony</t>
  </si>
  <si>
    <t>Occurrence and Roles of the Obligate Hydrocarbonoclastic Bacteria in the Ocean When There Is No Obvious Hydrocarbon Contamination</t>
  </si>
  <si>
    <t>TAXONOMY, GENOMICS AND ECOPHYSIOLOGY OF HYDROCARBON-DEGRADING MICROBES</t>
  </si>
  <si>
    <t>Handbook of Hydrocarbon and Lipid Microbiology</t>
  </si>
  <si>
    <t>POLYCYCLIC AROMATIC-HYDROCARBONS; DISSOLVED ORGANIC-MATTER; SEA-SURFACE MICROLAYER; ALGICOLA SP NOV.; LABORATORY CULTURES; ISOPRENOID HYDROCARBONS; HYDROTHERMAL PETROLEUM; ATMOSPHERIC TRANSPORT; BIOLOGICAL MARKERS; MARINE-BACTERIA</t>
  </si>
  <si>
    <t>The obligate hydrocarbonoclastic bacteria (OHCB) are an intriguing group of microorganisms for their unique ability to utilize hydrocarbons almost exclusively as a sole source of carbon and energy. Based on their narrow nutritional requirement for hydrocarbons as their major food source, these organisms are nonetheless found distributed throughout the global ocean and not confined to regions where there is an obvious source of petrochemical contamination from either anthropogenic (e.g., oil spills) or natural (e.g., oil seep) sources. The OHCB have been found in seawater and sediment samples collected from remote oligotrophic regions, such as Arctic and Antarctic waters, where there is no obvious hydrocarbon pollution. Some recently discovered OHCB have not yet been found in oil-contaminated sites. Collectively, this suggests that these organisms would likely be acquiring hydrocarbon or hydrocarbon-like substrates from sources other than the obvious oil spills and oil seeps. This chapter therefore provides a look at the various possible sources from which the OHCB could acquire hydrocarbons that may play an important part to sustaining their existence in remote and pristine marine environments.</t>
  </si>
  <si>
    <t>[Gutierrez, Tony] Heriot Watt Univ, Sch Engn &amp; Phys Sci, Inst Mech Proc &amp; Energy Engn, Edinburgh, Midlothian, Scotland</t>
  </si>
  <si>
    <t>Heriot Watt University</t>
  </si>
  <si>
    <t>Gutierrez, T (corresponding author), Heriot Watt Univ, Sch Engn &amp; Phys Sci, Inst Mech Proc &amp; Energy Engn, Edinburgh, Midlothian, Scotland.</t>
  </si>
  <si>
    <t>tony.gutierrez@hw.ac.uk</t>
  </si>
  <si>
    <t>978-3-030-14796-9; 978-3-030-14795-2</t>
  </si>
  <si>
    <t>HAND HYD LIPID MICRO</t>
  </si>
  <si>
    <t>10.1007/978-3-030-14796-9_14</t>
  </si>
  <si>
    <t>10.1007/978-3-030-14796-9</t>
  </si>
  <si>
    <t>BR3KD</t>
  </si>
  <si>
    <t>WOS:000647054800019</t>
  </si>
  <si>
    <t>Vasiliev, NI; Podoliyk, AV; Dmitriev, AN; Bolshunov, AV; Vasiliev, DA</t>
  </si>
  <si>
    <t>Litvinenko, V</t>
  </si>
  <si>
    <t>Vasiliev, N., I; Podoliyk, A., V; Dmitriev, A. N.; Bolshunov, A., V; Vasiliev, D. A.</t>
  </si>
  <si>
    <t>Controlled directional drilling of boreholes in glacial mass using carrying cable tool</t>
  </si>
  <si>
    <t>TOPICAL ISSUES OF RATIONAL USE OF NATURAL RESOURCES 2019, VOL 1</t>
  </si>
  <si>
    <t>15th Forum-Contest of Students and Young Researchers</t>
  </si>
  <si>
    <t>MAY 13-17, 2019</t>
  </si>
  <si>
    <t>Saint Petersburg, RUSSIA</t>
  </si>
  <si>
    <t>The paper presents a method to drill boreholes and side holes following a predetermined path. It suggests methods developed to calculate the curvature radius of a hole drilled in ice using carrying cable drilling tools. Two theoretical methods are described, i.e. analytical and tabular analytical. Based on the results obtained with a designed mathematical model, equations were produced to define the spatial position of the drilling assembly at the borehole bottom. The tabular analytical method was used to obtain equations to calculate the curvature radius for the TBZS-152M drilling assembly (thermal tool for hole drilling using filler liquid) and the KEMS-132 drilling assembly (electromechanical core drilling tool). The discrepancy between the two calculation methods is 5%. A dedicated experimental drilling assembly was developed and tested.</t>
  </si>
  <si>
    <t>[Vasiliev, N., I; Podoliyk, A., V; Dmitriev, A. N.; Bolshunov, A., V; Vasiliev, D. A.] St Petersburg Min Univ, St Petersburg, Russia</t>
  </si>
  <si>
    <t>Saint Petersburg Mining University</t>
  </si>
  <si>
    <t>Vasiliev, NI (corresponding author), St Petersburg Min Univ, St Petersburg, Russia.</t>
  </si>
  <si>
    <t>Russian Foundation of Fundamental Research [NK 18-55-16003\18]</t>
  </si>
  <si>
    <t>Russian Foundation of Fundamental Research(Russian Foundation for Basic Research (RFBR))</t>
  </si>
  <si>
    <t>Authors would like to express their gratitude to the Russian Antarctic Expedition for logistic support. This work has been conducted with the support of the Russian Foundation of Fundamental Research, project No. NK 18-55-16003\18.</t>
  </si>
  <si>
    <t>978-1-003-01463-8; 978-0-367-85719-6</t>
  </si>
  <si>
    <t>Environmental Sciences; Mining &amp; Mineral Processing</t>
  </si>
  <si>
    <t>Environmental Sciences &amp; Ecology; Mining &amp; Mineral Processing</t>
  </si>
  <si>
    <t>BQ8HU</t>
  </si>
  <si>
    <t>WOS:000620329300031</t>
  </si>
  <si>
    <t>Giacomelli, GA; Jensen, MH; Kacira, M; Kubota, C</t>
  </si>
  <si>
    <t>LeMoine, B</t>
  </si>
  <si>
    <t>Giacomelli, G. A.; Jensen, M. H.; Kacira, M.; Kubota, C.</t>
  </si>
  <si>
    <t>Agricultural plastics secure CEA ubiquitous applications in 21st century</t>
  </si>
  <si>
    <t>XXI INTERNATIONAL CONGRESS ON PLASTICS IN AGRICULTURE: AGRICULTURE, PLASTICS AND ENVIRONMENT</t>
  </si>
  <si>
    <t>Acta Horticulturae</t>
  </si>
  <si>
    <t>21st International Congress on Plastics in Agriculture - Agriculture, Plastics and Environment</t>
  </si>
  <si>
    <t>MAY 29-31, 2018</t>
  </si>
  <si>
    <t>Bordeaux, FRANCE</t>
  </si>
  <si>
    <t>plastics; CEA; hydroponics; greenhouse; food produciton systems</t>
  </si>
  <si>
    <t>NATURAL VENTILATION; GREENHOUSE; STRATEGY</t>
  </si>
  <si>
    <t>Controlled environment agriculture (CEA) production of food crops has become more technical, computerized, and integrated into environmental, social and economic aspects of business and community developoment. It has spanned the extreme climates of the world from arid deserts to the frozen Antarctic to the food deserts of modern urban life, and even into low Earth orbit on the International Space Station. CEA has ensured safe, clean, sustaining nutrition for the people it serves. It has become a value-added complement for open field agriculture to meet the challenges of future world climates. Its success is directly attributed to use of plastics. The greenhouse is multi-purposed, and flexible in its applications. It is a biological processor, taking in natural resources and providing plants and plant products for a better quality of life. It is a natural solar energy converter, a provider of biological storage, which combines bioresources through biochemical processes for CO2 sequestration and oxidation by respiration. It establishes an ecosystem and controllable plant microclimate separated from the local natural environmental conditions. It creates new plant life and products such as edible biomass by enhancing the natural genetic potential of a plant. The greenhouse operations can also be a mechanism that brings the community together for social activities, while its year round operation can become an agricultural jobs creator. It is a complex tool recognized by the policy-makers for improving the economy, the employment, nutrition/health and the markets within the food chain. Research projects completed at UA-CEAC which were successful because of plastics, will be the focus of this presentation, including: greenhouse environment modfied by glazings (solar PV, spectral changing) and control systems; nutrient delivery systems; production system designs for improved quality of life applications (new plant-based businesses, urban agriculture, life support for Moon and Mars habitats).</t>
  </si>
  <si>
    <t>[Giacomelli, G. A.; Kacira, M.] Univ Arizona, Biosyst Engn Dept, Tucson, AZ 85721 USA; [Jensen, M. H.] Univ Arizona, Plant Sci Dept, Tucson, AZ USA; Ohio State Univ, Columbus, OH 43210 USA</t>
  </si>
  <si>
    <t>University of Arizona; University of Arizona; University System of Ohio; Ohio State University</t>
  </si>
  <si>
    <t>Giacomelli, GA (corresponding author), Univ Arizona, Biosyst Engn Dept, Tucson, AZ 85721 USA.</t>
  </si>
  <si>
    <t>giacomel@ag.arizona.edu</t>
  </si>
  <si>
    <t>Jensen, Mogens H./U-5510-2017</t>
  </si>
  <si>
    <t>INT SOC HORTICULTURAL SCIENCE</t>
  </si>
  <si>
    <t>LEUVEN 1</t>
  </si>
  <si>
    <t>PO BOX 500, 3001 LEUVEN 1, BELGIUM</t>
  </si>
  <si>
    <t>0567-7572</t>
  </si>
  <si>
    <t>2406-6168</t>
  </si>
  <si>
    <t>978-94-62612-49-5</t>
  </si>
  <si>
    <t>ACTA HORTIC</t>
  </si>
  <si>
    <t>10.17660/ActaHortic.2019.1252.22</t>
  </si>
  <si>
    <t>Agricultural Engineering; Agriculture, Multidisciplinary; Horticulture</t>
  </si>
  <si>
    <t>BU7YF</t>
  </si>
  <si>
    <t>WOS:000945550700022</t>
  </si>
  <si>
    <t>Liu, K; Hou, SG; Wu, SY; Zhang, WB; Zou, X; Pang, HX; Yu, JH; Jiang, XX; Wu, YY</t>
  </si>
  <si>
    <t>Liu, Ke; Hou, Shugui; Wu, Shuangye; Zhang, Wangbin; Zou, Xiang; Pang, Hongxi; Yu, Jinhai; Jiang, Xingxing; Wu, Yueyuan</t>
  </si>
  <si>
    <t>Dissolved iron concentration in the recent snow of the Lambert Glacial Basin, Antarctica</t>
  </si>
  <si>
    <t>ATMOSPHERIC ENVIRONMENT</t>
  </si>
  <si>
    <t>Iron hypothesis; Atmospheric iron fluxes; Dissolved iron; Antarctic ice sheet</t>
  </si>
  <si>
    <t>ATMOSPHERIC IRON; BIOAVAILABLE IRON; ICE-SHEET; DUST; DOME; ICEBERGS; VARIABILITY; SOLUBILITY; ENRICHMENT; DEPOSITION</t>
  </si>
  <si>
    <t>Iron (Fe) is a limiting nutrient in the Southern Ocean (SO), and the input of atmospheric iron may fertilize the SO. Therefore, it is important to estimate the deposition and solubility of atmospheric iron in the Antarctica. For this purpose, we measured iron in a 3m snow pit from the Lambert Glacial Basin (LGB), covering the period 2012-2017. We estimated an average annual dissolved iron (DFe) flux of 1.29 x 10(-3) mg m(-2) a(-1) and an average total dissolvable iron (TDFe) flux of 0.14 mg m(-2) a(-1) for this site. The atmospheric fractional iron solubility (FFS) ranges from 0.01% to 21.47% (mean value 1.20%) and shows an inverse hyperbolic relationship with the TDFe concentration. This relationship suggests that atmospheric iron in the LGB comes from a mixture of mineral dust with low FFS and aerosol with high FFS (e.g. combustion aerosols and volcanic ash). Based on the mean value of the atmospheric iron deposit fluxes from both this and previous studies, we estimated that similar to 0.013 Gg of dissolved atmospheric iron could be deposited in the seasonal sea ice zone (SSIZ) every year, potentially supporting an annual algal production of similar to 2.52 x 10(12) g C in the Antarctic coastal water. This is less than 1% of the annual primary production in the SSIZ of the SO estimated from satellite data. The result shows that, compared with other sources of iron such as iceberg and glacier meltwater, the dissolved atmospheric iron has very small effect on the annual primary production in the SSIZ.</t>
  </si>
  <si>
    <t>[Liu, Ke; Hou, Shugui; Wu, Shuangye; Zhang, Wangbin; Zou, Xiang; Pang, Hongxi; Yu, Jinhai; Jiang, Xingxing; Wu, Yueyuan] Nanjing Univ, Sch Geog &amp; Oceanog Sci, Nanjing 210023, Jiangsu, Peoples R China; [Hou, Shugui] CAS Ctr Excellence Tibetan Plateau Earth Sci, Beijing 100101, Peoples R China; [Wu, Shuangye] Univ Dayton, Dept Geol, Dayton, OH 45469 USA</t>
  </si>
  <si>
    <t>Nanjing University; University System of Ohio; University of Dayton</t>
  </si>
  <si>
    <t>Hou, SG (corresponding author), Nanjing Univ, Sch Geog &amp; Oceanog Sci, Nanjing 210023, Jiangsu, Peoples R China.</t>
  </si>
  <si>
    <t>shugui@nju.edu.cn</t>
  </si>
  <si>
    <t>Hou, Shugui/0000-0002-0905-3542; Yu, Jinhai/0000-0003-4945-9405; Zou, Xiang/0000-0001-9917-6214</t>
  </si>
  <si>
    <t>National Natural Science Foundation of China [41830644, 41330526, 41622605]</t>
  </si>
  <si>
    <t>National Natural Science Foundation of China(National Natural Science Foundation of China (NSFC))</t>
  </si>
  <si>
    <t>This research was supported by the National Natural Science Foundation of China (41830644, 41330526, 41622605). The authors gratefully acknowledge the 33rd CHINARE scientific team and staff Fuhai Wei, Zhengyi Hu of Polar Research Institute of China, Zhiheng Du of Chinese Academy of Sciences. Nan Zhang, Han Zhang, Siyu Lu of Jilin University. We are grateful to three anonymous reviewers and the editor for their construction suggestions, which helped to improve the paper.</t>
  </si>
  <si>
    <t>1352-2310</t>
  </si>
  <si>
    <t>1873-2844</t>
  </si>
  <si>
    <t>ATMOS ENVIRON</t>
  </si>
  <si>
    <t>Atmos. Environ.</t>
  </si>
  <si>
    <t>10.1016/j.atmosenv.2018.10.011</t>
  </si>
  <si>
    <t>HC0MK</t>
  </si>
  <si>
    <t>WOS:000451492300006</t>
  </si>
  <si>
    <t>Cipro, CVZ; Bustamante, P; Taniguchi, S; Silva, J; Petry, MV; Montone, RC</t>
  </si>
  <si>
    <t>Cipro, C. V. Z.; Bustamante, P.; Taniguchi, S.; Silva, J.; Petry, M. V.; Montone, R. C.</t>
  </si>
  <si>
    <t>Seabird colonies as relevant sources of pollutants in Antarctic ecosystems: Part 2-Persistent Organic Pollutants</t>
  </si>
  <si>
    <t>CHEMOSPHERE</t>
  </si>
  <si>
    <t>Antarctica; Secondary sources; Stable isotopes; POPs; PCBs; Organochlorine pesticides</t>
  </si>
  <si>
    <t>KING-GEORGE-ISLAND; ORGANOCHLORINE PESTICIDES; STABLE-ISOTOPES; CARBON-ISOTOPE; MARITIME; NITROGEN; MERCURY; MOSSES; SOILS; LAND</t>
  </si>
  <si>
    <t>Despite typically not being taken into account (usually in favour of the 'global distillation' process), the input of persistent organic pollutants (POPS) through biological activities can be indeed relevant at the local scale in terrestrial polar environments when seabird colonies are considered. Seabirds can bio-accumulate and biomagnify POPs, gather in large numbers and excrete on land during their reproductive season, thus making them locally as relevant secondary sources of POPS. The first part of this study indicated that these colonies act as so for several essential and non-essential trace elements, and this second part tests the same hypothesis concerning POPS using the very same samples. Lichens (n = 55), mosses (n = 58) and soil (n = 37) were collected from 13 locations in the South Shetlands Archipelago during the austral summers of 2013-14 and 2014-15. They were divided in colony (within the colony itself for soil and within and surrounding the colony for vegetation) and control (at least 150 m away from any colony interference) and analysed for POPs such as organochlorine pesticides, polychlorinated biphenyls (PCBs) and polybrominated diphenyl ethers and stable isotopes (C and N). Results showed that colonies act clearly as a secondary source for PCBs and likely for hexachlorobenzene. As in the first part, probable local sources other than the colonies themselves are hypothesised because of high concentrations found in control sites. Again, soil seemed the most adequate matrix for the intended purposes especially because of some particularities in the absorption of animal-derived organic matter by vegetation, pointed out by stable isotope analyses. (C) 2018 Elsevier Ltd. All rights reserved.</t>
  </si>
  <si>
    <t>[Cipro, C. V. Z.; Taniguchi, S.; Silva, J.; Montone, R. C.] Univ Sao Paulo, Inst Oceanog LabQOM, Lab Quim Organ Marinha, Praca Oceanog 191, BR-05508120 Sao Carlos, SP, Brazil; [Cipro, C. V. Z.; Bustamante, P.] Univ La Rochelle, CNRS, UMR 7266, Littoral Environm &amp; Soc LIENSs, 2 Rue Olympe Gouges, F-17042 La Rochelle 01, France; [Petry, M. V.] Univ Vale Rio dos Sinos, Lab Omitol &amp; Anim Marinhos, Av Unisinos 950, BR-93022750 Sao Leopoldo, RS, Brazil</t>
  </si>
  <si>
    <t>Universidade de Sao Paulo; La Rochelle Universite; Centre National de la Recherche Scientifique (CNRS); Universidade do Vale do Rio dos Sinos (Unisinos)</t>
  </si>
  <si>
    <t>Cipro, CVZ (corresponding author), Univ Sao Paulo, Inst Oceanog LabQOM, Lab Quim Organ Marinha, Praca Oceanog 191, BR-05508120 Sao Carlos, SP, Brazil.</t>
  </si>
  <si>
    <t>caiovzc@usp.br</t>
  </si>
  <si>
    <t>Bustamante, Paco/G-5833-2011; Montone, Rosalinda C/J-9110-2012; Taniguchi, Satie/D-2552-2013; Petry, Maria Virginia/AAG-5333-2021; Zecchin Cipro, Caio Vinicius/C-6338-2014; petry, maria/K-8410-2013</t>
  </si>
  <si>
    <t>Bustamante, Paco/0000-0003-3877-9390; Zecchin Cipro, Caio Vinicius/0000-0002-7028-6353; petry, maria/0000-0002-7870-7394; da Silva, Josilene/0000-0002-4527-9311</t>
  </si>
  <si>
    <t>CPER (Contrat de Plan Etat-Region); FASEP (Fonds d'etude et d'aide au secteur prive); FAPESP (Sao Paulo Research Foundation, Brazil) [2014/15989-0, 2015/07209-8]; INCT-APA (Instituto Nacional de Ciencia e Tecnologia Antartico de Pesquisas Ambientais); CNPq [574018/2008-5]; FAPERJ [E-26/170.023/2008]; SECIRM; MCTI; IUF (Institut Universitaire de France); MMA; Fundacao de Amparo a Pesquisa do Estado de Sao Paulo (FAPESP) [15/07209-8] Funding Source: FAPESP</t>
  </si>
  <si>
    <t>CPER (Contrat de Plan Etat-Region); FASEP (Fonds d'etude et d'aide au secteur prive); FAPESP (Sao Paulo Research Foundation, Brazil)(Fundacao de Amparo a Pesquisa do Estado de Sao Paulo (FAPESP)); INCT-APA (Instituto Nacional de Ciencia e Tecnologia Antartico de Pesquisas Ambientais); CNPq(Conselho Nacional de Desenvolvimento Cientifico e Tecnologico (CNPQ)); FAPERJ(Fundacao Carlos Chagas Filho de Amparo a Pesquisa do Estado do Rio De Janeiro (FAPERJ)); SECIRM; MCTI; IUF (Institut Universitaire de France); MMA; Fundacao de Amparo a Pesquisa do Estado de Sao Paulo (FAPESP)(Fundacao de Amparo a Pesquisa do Estado de Sao Paulo (FAPESP))</t>
  </si>
  <si>
    <t>The authors would like to acknowledge the financing organisations in the University of La Rochelle: CPER (Contrat de Plan Etat-Region) and FASEP (Fonds d'etude et d'aide au secteur prive). C.V.Z. Cipro received scholarships from FAPESP (Sao Paulo Research Foundation, Brazil; Grants #2014/15989-0 and #2015/07209-8). M.V. Petry and R.C. Montone received funding from INCT-APA (Instituto Nacional de Ciencia e Tecnologia Antartico de Pesquisas Ambientais; CNPq Process no 574018/2008-5) and FAPERJ (E-26/170.023/2008) and were supported by the SECIRM, MMA and MCTI. The IUF (Institut Universitaire de France) is acknowledged for its support to Paco Bustamante as a senior member. G. Guillou and B. Lebreton from the 'Plateforme Analyses Isotopiques' of LIENSs are also thanked for their assistance during SIA analyses. Finally, many thanks are dedicated to everyone involved in the fieldwork.</t>
  </si>
  <si>
    <t>0045-6535</t>
  </si>
  <si>
    <t>1879-1298</t>
  </si>
  <si>
    <t>Chemosphere</t>
  </si>
  <si>
    <t>10.1016/j.chemosphere.2018.09.030</t>
  </si>
  <si>
    <t>HA0II</t>
  </si>
  <si>
    <t>WOS:000449891300094</t>
  </si>
  <si>
    <t>White, DA; Fink, D; Post, AL; Simon, K; Galton-Fenzi, B; Foster, S; Fujioka, T; Jeromson, MR; Blaxell, M; Yokoyama, Y</t>
  </si>
  <si>
    <t>White, Duanne A.; Fink, David; Post, Alexandra L.; Simon, Krista; Galton-Fenzi, Ben; Foster, Simon; Fujioka, Toshiyuki; Jeromson, Matthew R.; Blaxell, Marcello; Yokoyama, Yusuke</t>
  </si>
  <si>
    <t>Beryllium isotope signatures of ice shelves and sub-ice shelf circulation</t>
  </si>
  <si>
    <t>EARTH AND PLANETARY SCIENCE LETTERS</t>
  </si>
  <si>
    <t>meteoric Be-10; marine sediments; Be isotope mixing; sub-ice shelf currents; sediment advection</t>
  </si>
  <si>
    <t>PRYDZ BAY; EAST ANTARCTICA; METEORIC BE-10; ROSS SEA; SEDIMENT; TRACER; WIDESPREAD; COLLAPSE; EROSION; BENEATH</t>
  </si>
  <si>
    <t>Be isotopes are a useful tracer of sediment source and transport pathways but have not been widely tested in glacio-marine environments. We measured Be isotopes in a range of depositional environments from open marine, sub-ice shelf and subglacial settings throughout Prydz Bay, one of Antarctica's largest ice drainage systems. We find that strong sub-ice shelf and bottom current circulations can advect Be-10-rich open marine sediments into an ice shelf cavity, and Be-10-poor terrestrial sediments onto the continental shelf at the ice shelf outflow, meaning that Be-10 concentrations reflect sub-ice shelf circulation patterns rather than depositional environment. However, HCl-extractable Be-10/Be-9 ratios can provide a more robust discrimination of sediment deposited in open marine and sub-ice shelf settings. Thus, Be isotopes are a useful tracer of both environmental setting and sub-ice shelf circulation strength in both modern and paleo-ice sheet margins. Crown Copyright (C) 2018 Published by Elsevier B.V. All rights reserved.</t>
  </si>
  <si>
    <t>[White, Duanne A.; Foster, Simon; Jeromson, Matthew R.; Blaxell, Marcello] Univ Canberra, Inst Appl Ecol, Canberra, ACT 2617, Australia; [Fink, David; Simon, Krista; Fujioka, Toshiyuki] ANSTO, PMB 1, Sydney, NSW 2234, Australia; [Post, Alexandra L.] Geosci Australia, Symonston, ACT 2609, Australia; [Galton-Fenzi, Ben] Antarctic Climate Evolut Cooperat Res Ctr, Private Bag 80, Hobart, Tas 7001, Australia; [Galton-Fenzi, Ben] Australian Antarctic Div, Kingston, Tas, Australia; [Yokoyama, Yusuke] Univ Tokyo, Tokyo, Japan</t>
  </si>
  <si>
    <t>University of Canberra; Australian Nuclear Science &amp; Technology Organisation; Geoscience Australia; Australian Antarctic Division; University of Tokyo</t>
  </si>
  <si>
    <t>White, DA (corresponding author), Univ Canberra, Inst Appl Ecol, Canberra, ACT 2617, Australia.</t>
  </si>
  <si>
    <t>duanne.white@canberra.edu.au</t>
  </si>
  <si>
    <t>White, Duanne A/E-6919-2012; fink, David/A-9518-2012; Fujioka, Toshiyuki/AAO-8853-2020; Foster, Simon/B-9926-2009</t>
  </si>
  <si>
    <t>fink, David/0000-0001-7156-4602; Fujioka, Toshiyuki/0000-0002-5270-788X; Jeromson, Matthew/0000-0002-6814-5340; White, Duanne/0000-0003-0740-2072; Foster, Simon/0000-0002-9136-3215; Simon, Krista/0000-0003-4443-4305; Yokoyama, Yusuke/0000-0001-7869-5891; Galton-Fenzi, Benjamin Keith/0000-0003-1404-4103</t>
  </si>
  <si>
    <t>AINSE grant [11279]; ANSTO [10713]</t>
  </si>
  <si>
    <t>AINSE grant; ANSTO</t>
  </si>
  <si>
    <t>We thank Frank Krikowa for assistance with ICP-MS measurements, and acknowledge financial support for preparation and measurement of AMS targets through AINSE grant 11279 and ANSTO Research Portal Proposal 10713. AP publishes with the permission of the CEO, Geoscience Australia.</t>
  </si>
  <si>
    <t>0012-821X</t>
  </si>
  <si>
    <t>1385-013X</t>
  </si>
  <si>
    <t>EARTH PLANET SC LETT</t>
  </si>
  <si>
    <t>Earth Planet. Sci. Lett.</t>
  </si>
  <si>
    <t>10.1016/j.epsl.2018.10.004</t>
  </si>
  <si>
    <t>HB8QO</t>
  </si>
  <si>
    <t>WOS:000451355700009</t>
  </si>
  <si>
    <t>Nielsen, SG; Auro, M; Righter, K; Davis, D; Prytulak, J; Wu, F; Owens, JD</t>
  </si>
  <si>
    <t>Nielsen, Sune G.; Auro, Maureen; Righter, Kevin; Davis, David; Prytulak, Julie; Wu, Fei; Owens, Jeremy D.</t>
  </si>
  <si>
    <t>Nucleosynthetic vanadium isotope heterogeneity of the early solar system recorded in chondritic meteorites</t>
  </si>
  <si>
    <t>vanadium isotopes; chondrites; nucleosynthesis; carbonaceous chondrites; stable isotopes</t>
  </si>
  <si>
    <t>ALUMINUM-RICH INCLUSION; SHORT-LIVED BE-10; COMPOSITIONAL CLASSIFICATION; REFRACTORY INCLUSIONS; TYPE-3 CHONDRITES; SOURCE REGIONS; ORIGIN; ANOMALIES; MANTLE; EVOLUTION</t>
  </si>
  <si>
    <t>Vanadium (V) isotopes have been hypothesized to record irradiation processes in the early solar system through production of the minor V-50 isotope. However, because V only possesses two stable isotopes it is difficult to distinguish irradiation from other processes such as stable isotope fractionation and nucleosynthetic heterogeneity that could also cause V isotope variation. Here we perform the first detailed investigation of V isotopes in ordinary and carbonaceous chondrites to investigate the origin of any variation. We also perform a three-laboratory inter-calibration for chondrites, which confirms that the different chemical separation protocols do not induce V isotope analytical artifacts as long as samples are measured using medium resolution multiple collector inductively coupled plasma mass spectrometry (MC-ICPMS). Vanadium isotope compositions (V-51/V-50) of carbonaceous chondrites correlate with previously reported nucleosynthetically derived excesses in Cr-54. Both V-51 and Cr-54 are the most neutron-rich of their respective elements, which may suggest that pre-solar grains rich in r-process isotopes is the primary cause of the V-Cr isotope correlation. Vanadium isotope ratios of ordinary chondrite groups and Earth form a weaker correlation with Cr-54 that has a different slope than observed for carbonaceous chondrites. The offset between carbonaceous and non-carbonaceous meteorites in V-Cr isotope space is similar to differences also reported for chromium, titanium, oxygen, molybdenum and ruthenium isotopes, which has been inferred to reflect the presence in the early solar system of two physically separated reservoirs. The V isotope composition of Earth is heavier than any meteorite measured to date. Therefore, V isotopes support models of Earth accretion in which a significant portion of Earth was formed from material that is not present in our meteorite collections. (C) 2018 Elsevier B.V. All rights reserved.</t>
  </si>
  <si>
    <t>[Nielsen, Sune G.; Auro, Maureen] Woods Hole Oceanog Inst, NIRVANA Labs, Woods Hole, MA 02543 USA; [Nielsen, Sune G.] Woods Hole Oceanog Inst, Dept Geol &amp; Geophys, Woods Hole, MA 02543 USA; [Righter, Kevin] NASA JSC, Houston, TX USA; [Davis, David] Georgia State Univ, Dept Earth Sci, Atlanta, GA 30303 USA; [Prytulak, Julie] Imperial Coll London, Dept Earth Sci &amp; Engn, London, England; [Prytulak, Julie] Univ Durham, Dept Earth Sci, Durham, England; [Wu, Fei; Owens, Jeremy D.] Florida State Univ, Dept Earth Ocean &amp; Atmospher Sci, Natl High Magnet Field Lab, Tallahassee, FL 32306 USA</t>
  </si>
  <si>
    <t>Woods Hole Oceanographic Institution; Woods Hole Oceanographic Institution; National Aeronautics &amp; Space Administration (NASA); NASA Johnson Space Center; University System of Georgia; Georgia State University; Imperial College London; Durham University; State University System of Florida; Florida State University</t>
  </si>
  <si>
    <t>Nielsen, SG (corresponding author), Woods Hole Oceanog Inst, NIRVANA Labs, Woods Hole, MA 02543 USA.;Nielsen, SG (corresponding author), Woods Hole Oceanog Inst, Dept Geol &amp; Geophys, Woods Hole, MA 02543 USA.</t>
  </si>
  <si>
    <t>snielsen@whoi.edu</t>
  </si>
  <si>
    <t>Nielsen, Sune/P-3983-2019</t>
  </si>
  <si>
    <t>Nielsen, Sune/0000-0002-0458-3739; Owens, Jeremy/0000-0002-0530-2177; Righter, Kevin/0000-0002-6075-7908; Wu, Fei/0000-0003-1617-3187; Prytulak, Julie/0000-0001-5269-1059</t>
  </si>
  <si>
    <t>NASA Emerging Worlds grant [NNX16AD36G]; NASA; NERC [NE/N009568/1]; NSF; NASA [906726, NNX16AD36G] Funding Source: Federal RePORTER; NERC [NE/N009568/1, NE/N009568/2] Funding Source: UKRI</t>
  </si>
  <si>
    <t>NASA Emerging Worlds grant; NASA(National Aeronautics &amp; Space Administration (NASA)); NERC(UK Research &amp; Innovation (UKRI)Natural Environment Research Council (NERC)); NSF(National Science Foundation (NSF)); NASA(National Aeronautics &amp; Space Administration (NASA)); NERC(UK Research &amp; Innovation (UKRI)Natural Environment Research Council (NERC))</t>
  </si>
  <si>
    <t>This study was funded by NASA Emerging Worlds grant NNX16AD36G to SGN. We thank the Harvard Natural History Museum, NASA-JSC and Tom Lapen for access to meteorite samples. US Antarctic meteorite samples are recovered by the Antarctic Search for Meteorites (ANSMET) program, which has been funded by NSF and NASA, and characterized and curated by the Astro-materials Curation Office at NASA Johnson Space Center and the Department of Mineral Sciences of the Smithsonian Institution. J. Blusztajn is thanked for help with mass spectrometry support at WHOI. S. Page and D. Novella are thanked for help in processing and measuring intercalibration samples alongside B.J. Coles for mass spectrometry support at Imperial College London with support from NERC grant NE/N009568/1 to JP.</t>
  </si>
  <si>
    <t>10.1016/j.epsl.2018.10.029</t>
  </si>
  <si>
    <t>Green Accepted, hybrid, Green Submitted</t>
  </si>
  <si>
    <t>WOS:000451355700013</t>
  </si>
  <si>
    <t>Sexton, SC; Ward, TM; Stewart, J; Swadling, KM; Huveneers, C</t>
  </si>
  <si>
    <t>Sexton, Stuart C.; Ward, Tim M.; Stewart, John; Swadling, Kerrie M.; Huveneers, Charlie</t>
  </si>
  <si>
    <t>Spawning patterns provide further evidence for multiple stocks of sardine (Sardinops sagax) off eastern Australia</t>
  </si>
  <si>
    <t>FISHERIES OCEANOGRAPHY</t>
  </si>
  <si>
    <t>East Australian Current; multijurisdictional management; small pelagic fisheries; spawning discontinuity; spawning habitat extension; spawning habitat selection; stock structure</t>
  </si>
  <si>
    <t>SMALL PELAGIC FISH; NORTHERN BENGUELA; CLIMATE-CHANGE; SOUTHERN; ANCHOVY; VARIABILITY; CALIFORNIA; ICHTHYOPLANKTON; MACKEREL; HABITAT</t>
  </si>
  <si>
    <t>Previous studies have suggested that sardine, Sardinops sagax, off eastern Australia spawns across its entire range when habitat conditions are suitable. However, recent studies have suggested that separate sub-populations and spawning groups may occur in the region. Spawning patterns off eastern Australia were investigated using data collected during nine ichthyoplankton surveys conducted between 1997-2015, and adult reproductive data obtained from ad hoc commercial sampling off New South Wales (NSW). The egg surveys covered the known distribution of sardine off eastern Australia and included year-round sampling in the northern and southern parts of this range. Egg distributions and analysis of gonadosomatic indices identified two spatio-temporally separate spawning groups; one occurring off southern Queensland to northern NSW during late winter and early spring, and a smaller group off eastern Tasmania to southern NSW during summer. Most eggs were collected from waters 50-90 m deep, with sea surface temperatures of 18-23 degrees C. Additive modelling indicated depth was the most significant factor driving selection of spawning habitat, followed by the interaction of month and latitude. Low egg densities were recorded in waters between 34-37 degrees S, despite conditions within the ranges suitable for spawning. The presence of two spawning groups of sardine off eastern Australia supports recent findings that two sub-populations occur in the region. Findings of this study will help to optimise the spatio-temporal extent of future egg surveys and further confirm the need to coordinate future management of each sub-population among relevant jurisdictions.</t>
  </si>
  <si>
    <t>[Sexton, Stuart C.; Ward, Tim M.] South Australian Res &amp; Dev Inst Aquat Sci, Adelaide, SA, Australia; [Sexton, Stuart C.; Huveneers, Charlie] Flinders Univ S Australia, Coll Sci &amp; Engn, Adelaide, SA, Australia; [Stewart, John] Sydney Inst Marine Sci, New South Wales Dept Primary Ind, Sydney, NSW, Australia; [Swadling, Kerrie M.] Univ Tasmania, Inst Marine &amp; Antarctic Studies, Hobart, Tas, Australia; [Swadling, Kerrie M.] Univ Tasmania, Antarctic Climate &amp; Ecosyst Cooperat Res Ctr, Hobart, Tas, Australia</t>
  </si>
  <si>
    <t>Flinders University South Australia; Sydney Institute of Marine Science; NSW Department of Primary Industries; University of Tasmania; Antarctic Climate &amp; Ecosystems Cooperative Research Centre (ACE CRC); University of Tasmania</t>
  </si>
  <si>
    <t>Sexton, SC (corresponding author), POB 120, Henley Beach, SA 5024, Australia.</t>
  </si>
  <si>
    <t>stuart.sexton@sa.gov.au</t>
  </si>
  <si>
    <t>WARD, Timothy Mark/KDN-7596-2024; Stewart, John/N-7330-2016</t>
  </si>
  <si>
    <t>WARD, Timothy Mark/0000-0002-9003-2772; Huveneers, Charlie/0000-0001-8937-1358; Swadling, Kerrie/0000-0002-7620-841X</t>
  </si>
  <si>
    <t>FRDC Project [2013/053, 2014-03]</t>
  </si>
  <si>
    <t>FRDC Project(Fisheries R&amp;D Corp)</t>
  </si>
  <si>
    <t>The authors thank all researchers who made data available for collation and analyses. Thanks to Mr Alex Ivey (SARDI) and Dr Jason Beard (IMAS), who sorted the 2014 East Coast and Storm Bay samples, respectively. We also thank the crews of the numerous fishing vessels and fisheries observers for their assistance in collecting samples. Data collected in 2014 was funded by FRDC Project No 2013/053. Data collected in Storm Bay, Tasmania was funded by FRDC project 2014-03.</t>
  </si>
  <si>
    <t>1054-6006</t>
  </si>
  <si>
    <t>1365-2419</t>
  </si>
  <si>
    <t>FISH OCEANOGR</t>
  </si>
  <si>
    <t>Fish Oceanogr.</t>
  </si>
  <si>
    <t>10.1111/fog.12383</t>
  </si>
  <si>
    <t>Fisheries; Oceanography</t>
  </si>
  <si>
    <t>HE1FW</t>
  </si>
  <si>
    <t>WOS:000453017200002</t>
  </si>
  <si>
    <t>Owen, K; Jenner, KCS; Jenner, MNM; McCauley, RD; Andrews, RD</t>
  </si>
  <si>
    <t>Owen, Kylie; Jenner, K. Curt S.; Jenner, Micheline-Nicole M.; McCauley, Robert D.; Andrews, Russel D.</t>
  </si>
  <si>
    <t>Water temperature correlates with baleen whale foraging behaviour at multiple scales in the Antarctic</t>
  </si>
  <si>
    <t>archival tag; bio-logging; satellite tag; sea surface temperature; state space model</t>
  </si>
  <si>
    <t>KRILL EUPHAUSIA-SUPERBA; MEGAPTERA-NOVAEANGLIAE; MOVEMENT PATTERNS; AUSTRAL SUMMER; MINKE WHALES; HUMPBACK; 80-150-DEGREES-E; ABUNDANCE; KINEMATICS; PENINSULA</t>
  </si>
  <si>
    <t>How baleen whales locate prey and how environmental change may influence whale foraging success are not well understood. Baleen whale foraging habitat has largely been described at a population level, yet population responses to change are the result of individual strategies across multiple scales. This study aimed to determine how the foraging behaviour of individual whales varied relative to environmental conditions along their movement path. Biotelemetry devices provided information on humpback whale (Megaptera novaeangliae) movement at two spatial scales in East Antarctica, and a mixed modelling approach was used at a medium scale (tens of kilometres) to determine which environmental factors correlated with a change in foraging behaviour. Water temperature was linked to a change in foraging behaviour at both spatial scales. At the medium scale, warmer water was associated with the resident state, commonly assumed to represent periods of foraging behaviour. However, fine-scale analyses suggested that cooler water was associated with a higher feeding rate. Variation in whale foraging behaviour with changes in water temperature adds support to the hypothesis that whales may be able to track environmental conditions to find prey. Future research should investigate this pattern further, given the predicted rise in water temperatures under climate-change scenarios.</t>
  </si>
  <si>
    <t>[Owen, Kylie; Andrews, Russel D.] Alaska SeaLife Ctr, Seward, AK 99664 USA; [Owen, Kylie] Murdoch Univ, Sch Vet &amp; Life Sci, Cetacean Res Unit, Murdoch, WA 6150, Australia; [Jenner, K. Curt S.; Jenner, Micheline-Nicole M.] Ctr Whale Res WA Inc, POB 1622, Fremantle, WA 6959, Australia; [McCauley, Robert D.] Curtin Univ, Ctr Marine Sci &amp; Technol, Perth, WA 6845, Australia; [Andrews, Russel D.] Univ Alaska, Coll Fisheries &amp; Ocean Sci, Fairbanks, AK 99775 USA; [Andrews, Russel D.] Fdn Marine Ecol &amp; Telemetry Res, 2468 Camp McKenzie Trail NW, Seabeck, WA 98380 USA</t>
  </si>
  <si>
    <t>Murdoch University; Curtin University; University of Alaska System; University of Alaska Fairbanks</t>
  </si>
  <si>
    <t>Owen, K (corresponding author), Alaska SeaLife Ctr, Seward, AK 99664 USA.;Owen, K (corresponding author), Murdoch Univ, Sch Vet &amp; Life Sci, Cetacean Res Unit, Murdoch, WA 6150, Australia.</t>
  </si>
  <si>
    <t>kylie.owen@uqconnect.edu.au</t>
  </si>
  <si>
    <t>Owen, Kylie/K-9400-2015</t>
  </si>
  <si>
    <t>Andrews, Russel/0000-0002-4545-137X</t>
  </si>
  <si>
    <t>Centre for Whale Research (WA) Inc.; The Explorers Club; Eddie Bauer</t>
  </si>
  <si>
    <t>We thank the crew of R.V. Whale Song, Dale Peterson, Simon Kenion, Resty Adenir, Sam Wright, Inday Ford and Tasmin Jenner for their support in the field. This research was conducted under the following Australian permit numbers; DAFF U217/2013-2014; DOE CP 2013-00012; AU-COM2013-227; AMLR 13-14 JENNER, with ethical approval from the Western Australian Department of Parks and Wildlife (AEC permit 2013/45). Funding for the project was provided by the Centre for Whale Research (WA) Inc., with logistical support from the Australian Department of Defence, particularly Chris Donald and Wayne Bennett, and the Australian Bureau of Meteorology's Tina Donaldson, Bill Plant and Scott Carpentier. Neal Young provided valuable advice on sea-ice movement. The voyage was sponsored by The Explorers Club and Eddie Bauer.</t>
  </si>
  <si>
    <t>10.1071/MF17288</t>
  </si>
  <si>
    <t>HE3BU</t>
  </si>
  <si>
    <t>WOS:000453226400003</t>
  </si>
  <si>
    <t>Champion, C; Hobday, AJ; Zhang, XB; Pecl, GT; Tracey, SR</t>
  </si>
  <si>
    <t>Champion, Curtis; Hobday, Alistair J.; Zhang, Xuebin; Pecl, Gretta T.; Tracey, Sean R.</t>
  </si>
  <si>
    <t>Changing windows of opportunity: past and future climate-driven shifts in temporal persistence of kingfish (Seriola lalandi) oceanographic habitat within south-eastern Australian bioregions</t>
  </si>
  <si>
    <t>climate change; fisheries adaptation; fisheries management; global change; habitat suitability model; Seriola lalandi; species distribution model; species redistribution</t>
  </si>
  <si>
    <t>MARINE RANGE SHIFTS; POPULATION-MODELS; RAPID ASSESSMENT; TUNA HABITAT; OCEAN; FISHERIES; COAST; EXTENSIONS; MANAGEMENT; IMPACT</t>
  </si>
  <si>
    <t>Climate-driven shifts in species distributions are occurring rapidly within marine systems and are predicted to continue under climate change. To effectively adapt, marine resource users require information relevant to their activities at decision-making timescales. We model oceanographic habitat suitability for kingfish (Seriola lalandi) from southeastern Australia using multiple environmental variables at monthly time steps over the period 1996-2040. Habitat predictions were used to quantify the temporal persistence (months per year) of suitable oceanographic habitat within six coastal bioregions. A decline in temporal habitat persistence is predicted for the northernmost (equatorward) bioregion, whereas increases are predicted for the three southernmost (poleward) bioregions. We suggest that temporal habitat persistence is an important metric for climate change adaptation because it provides fishery-relevant information. Our methods demonstrate how novel metrics relevant to climate adaptation can be derived from predictions of species' environmental habitats, and are appropriate for the management of fisheries resources and protection of high conservation value species under future climate change.</t>
  </si>
  <si>
    <t>[Champion, Curtis; Pecl, Gretta T.; Tracey, Sean R.] Inst Marine &amp; Antarctic Studies, Hobart, Tas 7001, Australia; [Champion, Curtis; Hobday, Alistair J.; Zhang, Xuebin] CSIRO Oceans &amp; Atmosphere, Hobart, Tas 7000, Australia; [Hobday, Alistair J.; Pecl, Gretta T.] Ctr Marine Socioecol, Hobart, Tas 7001, Australia</t>
  </si>
  <si>
    <t>Champion, C (corresponding author), Inst Marine &amp; Antarctic Studies, Hobart, Tas 7001, Australia.;Champion, C (corresponding author), CSIRO Oceans &amp; Atmosphere, Hobart, Tas 7000, Australia.</t>
  </si>
  <si>
    <t>curtis.champion@utas.edu.au</t>
  </si>
  <si>
    <t>Pecl, Gretta/D-7267-2011; Champion, Curtis/AAF-9242-2020; Zhang, Xuebin/A-3405-2012; Hobday, Alistair/A-1460-2012; Tracey, Sean/J-7446-2014</t>
  </si>
  <si>
    <t>Pecl, Gretta/0000-0003-0192-4339; Zhang, Xuebin/0000-0003-1731-3524; Tracey, Sean/0000-0002-6735-5899</t>
  </si>
  <si>
    <t>Australian Society for Fish Biology's Michael Hall Student Innovation Award; Holsworth Wildlife Research Endowment-Equity Trustees Charitable Foundation; CSIRO-University of Tasmania joint Quantitative Marine Science Program; Australian Research Council Future Fellowship</t>
  </si>
  <si>
    <t>Australian Society for Fish Biology's Michael Hall Student Innovation Award; Holsworth Wildlife Research Endowment-Equity Trustees Charitable Foundation; CSIRO-University of Tasmania joint Quantitative Marine Science Program; Australian Research Council Future Fellowship(Australian Research Council)</t>
  </si>
  <si>
    <t>We thank the NSW Department of Primary Industries Gamefish Tagging Program for providing the angler recorded catch-and-release data. Curtis Champion was supported by the Australian Society for Fish Biology's Michael Hall Student Innovation Award, The Holsworth Wildlife Research Endowment-Equity Trustees Charitable Foundation, and a postgraduate scholarship from the CSIRO-University of Tasmania joint Quantitative Marine Science Program. Gretta T. Pecl was supported by an Australian Research Council Future Fellowship.</t>
  </si>
  <si>
    <t>10.1071/MF17387</t>
  </si>
  <si>
    <t>WOS:000453226400004</t>
  </si>
  <si>
    <t>Ling, SD; Hobday, AJ</t>
  </si>
  <si>
    <t>Ling, Scott D.; Hobday, Alistair J.</t>
  </si>
  <si>
    <t>National research planning accelerates relevance and immediacy of climate-adaptation science</t>
  </si>
  <si>
    <t>aquaculture; Australia; climate change; conservation; fisheries; literature review; marine ecosystem; research investment; science impact</t>
  </si>
  <si>
    <t>CHANGE IMPACTS; MARINE; MANAGEMENT; PRIORITIZATION; FISHERIES; OPTIONS</t>
  </si>
  <si>
    <t>Adapting to climate change is contingent on an ability to adjust before opportunity is lost. Given that research funding to understand adaptation is limited, rapid return on investment is critical. For Australian marine environments, climate-change impacts are well documented and adaptation opportunities have been identified across aquaculture, fisheries, conservation and tourism sectors. Here, we have evaluated the recent Australian scientific literature to determine (1) the degree to which climate-change impacts and adaptation have been addressed across sectors, and, specifically, (2) the role of a major research program instituted in 2009 to address priority climate-change questions for these sectors, namely, Australia's ` National Climate Change Adaptation Research Plan for Marine Biodiversity and Resources' (MNARP). Although the number of priority questions addressed by the general scientific literature increased in the 2009-2015 period, there was a 92% increase in the number of priority questions addressed during the peak of MNARP (2013-2014). MNARP research also addressed a greater range of priority questions than did the general scientific literature, which showed consistency in the questions and study systems examined. Overall, structured research planning focussed attention on key climate-change questions, which is a critical consideration for enacting adaptation in the face of rapid climate change.</t>
  </si>
  <si>
    <t>[Ling, Scott D.] Univ Tasmania, Inst Marine &amp; Antarctic Studies, Ecol &amp; Biodivers Ctr, Hobart, Tas 7000, Australia; [Hobday, Alistair J.] CSIRO Oceans &amp; Atmosphere, Hobart, Tas 7000, Australia; [Hobday, Alistair J.] Univ Tasmania, Ctr Marine Socioecol, Hobart, Tas 7000, Australia</t>
  </si>
  <si>
    <t>University of Tasmania; Commonwealth Scientific &amp; Industrial Research Organisation (CSIRO); University of Tasmania</t>
  </si>
  <si>
    <t>Ling, SD (corresponding author), Univ Tasmania, Inst Marine &amp; Antarctic Studies, Ecol &amp; Biodivers Ctr, Hobart, Tas 7000, Australia.</t>
  </si>
  <si>
    <t>scott.ling@utas.edu.au</t>
  </si>
  <si>
    <t>Hobday, Alistair/A-1460-2012; Ling, Scott/J-7161-2014</t>
  </si>
  <si>
    <t>Ling, Scott/0000-0002-5544-8174</t>
  </si>
  <si>
    <t>NCCARF Ecosystems Network</t>
  </si>
  <si>
    <t>This analysis was supported by the NCCARF Ecosystems Network. We appreciate the comments of Chris Cvitanovic and two anonymous reviewers that helped refine the structure and focus of the paper.</t>
  </si>
  <si>
    <t>10.1071/MF17330</t>
  </si>
  <si>
    <t>WOS:000453226400006</t>
  </si>
  <si>
    <t>Alexander, KA; Hobday, AJ; Cvitanovic, C; Ogier, E; Nash, KL; Cottrell, RS; Fleming, A; Fudge, M; Fulton, EA; Frusher, S; Kelly, R; MacLeod, CK; Pecl, GT; van Putten, I; Vince, J; Watson, RA</t>
  </si>
  <si>
    <t>Alexander, K. A.; Hobday, A. J.; Cvitanovic, C.; Ogier, E.; Nash, K. L.; Cottrell, R. S.; Fleming, A.; Fudge, M.; Fulton, E. A.; Frusher, S.; Kelly, R.; MacLeod, C. K.; Pecl, G. T.; van Putten, I.; Vince, J.; Watson, R. A.</t>
  </si>
  <si>
    <t>Progress in integrating natural and social science in marine ecosystem-based management research</t>
  </si>
  <si>
    <t>CLIMATE-CHANGE IMPACTS; RISK-BASED APPROACH; INTERDISCIPLINARY RESEARCH; FISHERIES MANAGEMENT; AUSTRALIAN FISHERIES; SALMON AQUACULTURE; KNOWLEDGE EXCHANGE; RAPID ASSESSMENT; CITIZEN SCIENCE; COASTAL</t>
  </si>
  <si>
    <t>Climate change, in combination with population growth, is placing increasing pressure on the world's oceans and their resources. This is threatening sustainability and societal wellbeing. Responding to these complex and synergistic challenges requires holistic management arrangements. To this end, ecosystem-based management (EBM) promises much by recognising the need to manage the ecosystem in its entirety, including the human dimensions. However, operationalisation of EBM in the marine environment has been slow. One reason may be a lack of the inter-disciplinary science required to address complex social-ecological marine systems. In the present paper, we synthesise the collective experience of the authors to explore progress in integrating natural and social sciences in marine EBM research, illustrating actual and potential contributions. We identify informal barriers to and incentives for this type of research. We Find that the integration of natural and social science has progressed at most stages of the marine EBM cycle; however, practitioners do not yet have the capacity to address all of the problems that have led to the call for inter-disciplinary research. In addition, we assess how we can support the next generation of researchers to undertake the effective inter-disciplinary research required to assist with operationalising marine EBM, particularly in a changing climate.</t>
  </si>
  <si>
    <t>[Alexander, K. A.; Hobday, A. J.; Cvitanovic, C.; Ogier, E.; Nash, K. L.; Cottrell, R. S.; Fleming, A.; Fudge, M.; Fulton, E. A.; Frusher, S.; Kelly, R.; MacLeod, C. K.; Pecl, G. T.; van Putten, I.; Vince, J.; Watson, R. A.] Univ Tasmania, Ctr Marine Socioecol, Hobart, Tas 7001, Australia; [Hobday, A. J.; Fulton, E. A.; van Putten, I.] CSIRO Oceans &amp; Atmosphere, Hobart, Tas 7000, Australia; [Fleming, A.] CSIRO Land &amp; Water, Hobart, Tas 7000, Australia; [Vince, J.] Univ Tasmania, Sch Social Sci, Polit &amp; Int Relat Program, Locked Bag 1340, Launceston, Tas 7250, Australia; [Alexander, K. A.; Ogier, E.; Nash, K. L.; Frusher, S.; MacLeod, C. K.; Pecl, G. T.; Watson, R. A.] Univ Tasmania, Inst Marine &amp; Antarctic Studies, POB 49, Hobart, Tas 7001, Australia</t>
  </si>
  <si>
    <t>University of Tasmania; Commonwealth Scientific &amp; Industrial Research Organisation (CSIRO); Commonwealth Scientific &amp; Industrial Research Organisation (CSIRO); University of Tasmania; University of Tasmania</t>
  </si>
  <si>
    <t>Alexander, KA (corresponding author), Univ Tasmania, Ctr Marine Socioecol, Hobart, Tas 7001, Australia.;Alexander, KA (corresponding author), Univ Tasmania, Inst Marine &amp; Antarctic Studies, POB 49, Hobart, Tas 7001, Australia.</t>
  </si>
  <si>
    <t>karen.alexander@utas.edu.au</t>
  </si>
  <si>
    <t>Vince, Joanna Zofia/J-7465-2014; Frusher, Stewart D/G-5117-2014; Fleming, Aysha/E-8753-2011; Vince, Joanna/O-6901-2019; Nash, Kirsty L/B-5456-2015; Pecl, Gretta/D-7267-2011; Fulton, Beth/A-2871-2008; Fulton, Beth/AAJ-1398-2021; Cottrell, Richard S./AAT-8401-2020; van putten, ingrid/AAV-1301-2021; Watson, Reg A/F-4850-2012; Kelly, Rachel/U-8836-2019; Hobday, Alistair/A-1460-2012; Macleod, Catriona/J-7176-2014; Alexander, Karen/O-7042-2017</t>
  </si>
  <si>
    <t>Vince, Joanna Zofia/0000-0002-4469-7634; Fleming, Aysha/0000-0001-9895-1928; Vince, Joanna/0000-0002-4469-7634; Nash, Kirsty L/0000-0003-0976-3197; Pecl, Gretta/0000-0003-0192-4339; Fulton, Beth/0000-0002-5904-7917; Cottrell, Richard S./0000-0002-6499-7503; van putten, ingrid/0000-0001-8397-9768; Watson, Reg A/0000-0001-7201-8865; Kelly, Rachel/0000-0002-8364-1836; Fudge, Maree/0000-0003-1327-0053; Ogier, Emily/0000-0001-6157-5279; Cvitanovic, Christopher/0000-0002-2565-3396; Macleod, Catriona/0000-0002-0539-6361; Alexander, Karen/0000-0001-8801-413X</t>
  </si>
  <si>
    <t>10.1071/MF17248</t>
  </si>
  <si>
    <t>WOS:000453226400007</t>
  </si>
  <si>
    <t>Fischer, A; Bhakta, D; Macmillan-Lawler, M; Harris, P</t>
  </si>
  <si>
    <t>Fischer, Andrew; Bhakta, Debhasish; Macmillan-Lawler, Miles; Harris, Peter</t>
  </si>
  <si>
    <t>Existing global marine protected area network is not representative or comprehensive measured against seafloor geomorphic features and benthic habitats</t>
  </si>
  <si>
    <t>OCEAN &amp; COASTAL MANAGEMENT</t>
  </si>
  <si>
    <t>SUBMARINE CANYONS; GEOMORPHOLOGICAL HETEROGENEITY; DEEP-SEA; LAND-USE; BIODIVERSITY; CONSERVATION; DIVERSITY; MANAGEMENT; ECOSYSTEM; HOTSPOTS</t>
  </si>
  <si>
    <t>The Aichi targets of the Convention on Biological Diversity leverage the use of protected areas to halt the loss of global biodiversity. Target 11 recommends that ecologically representative portions (10%) of important coastal and marine areas be set aside within MPAs. Despite global progress in attaining the 10% target, few areas are set aside with consideration of ecological representation (area and diversity of features) as a conservation goal. Using publicly available datasets of marine geomorphic features and benthic habitats, we assessed the relative representativeness of features, by assessing feature coverage and diversity, within existing protected areas of both Large Marine Ecosystem (LMEs) and Exclusive Economic Zones (EEZs). Only 18 of the 66 LMEs contained greater than 10% of their marine geomorphic features and benthic habitats within MPAs. The Caribbean, Pacific Central, Mediterranean and Canary Current LMEs were identified as areas that protected the most diversity, while the geomorphically diverse Arctic Ocean had the least area of features within MPAs. Less than one quarter of EEZs (46 out of 230; had more than 10% of their geomorphic features and benthic habitats within MPAs. The coral triangle and other warm water reef areas are clear priorities fen conservation, exhibiting high diversity of geomorphic features and benthic habitats, yet, most LMEs and EEZs in these areas fail to achieve representativeness or 1094 feature coverage. Australia, New Zealand and the United States and areas in Europe and the South Pacific achieve relative representativeness scoring highly in coverage and diversity of features protected. Assessing the coverage and diversity of protected features within EEZs and LMEs can assist nation states and ecosystem management regions to better assess representativeness in achieving the 2020 Aichi targets.</t>
  </si>
  <si>
    <t>[Fischer, Andrew] Univ Tasmania, Coll Sci &amp; Engn, IMAS Ecol &amp; Biodivers Ctr, IMAS Launceston, Newnham Dr, Launceston, Tas 7250, Australia; [Bhakta, Debhasish; Macmillan-Lawler, Miles; Harris, Peter] GRID Arendal, Teaterplassen 3, N-4836 Arendal, Norway</t>
  </si>
  <si>
    <t>Fischer, A (corresponding author), Univ Tasmania, Coll Sci &amp; Engn, IMAS Ecol &amp; Biodivers Ctr, IMAS Launceston, Newnham Dr, Launceston, Tas 7250, Australia.</t>
  </si>
  <si>
    <t>andy.fischer@utas.edu.au; debhasish.bhakta@grida.no; miles.macmillan-lawler@grida.no; Peter.Harris@grida.no</t>
  </si>
  <si>
    <t>Harris, Peter/AAI-7100-2020</t>
  </si>
  <si>
    <t>Fischer, Andrew/0000-0001-5284-6428</t>
  </si>
  <si>
    <t>University of Tasmania's Institute for Marine and Antarctic Studies</t>
  </si>
  <si>
    <t>The authors would like to thank the anonymous reviewers, whose comments significantly improved the manuscript. The authors would like to acknowledge funding from the University of Tasmania's Institute for Marine and Antarctic Studies for funding study leave for Dr. Andrew Fischer.</t>
  </si>
  <si>
    <t>0964-5691</t>
  </si>
  <si>
    <t>1873-524X</t>
  </si>
  <si>
    <t>OCEAN COAST MANAGE</t>
  </si>
  <si>
    <t>Ocean Coastal Manage.</t>
  </si>
  <si>
    <t>10.1016/j.ocecoaman.2018.10.001</t>
  </si>
  <si>
    <t>Oceanography; Water Resources</t>
  </si>
  <si>
    <t>HE2ND</t>
  </si>
  <si>
    <t>WOS:000453113900017</t>
  </si>
  <si>
    <t>Vodopivez, C; Curtosi, A; Pelletier, E; Spairani, LU; Hernández, EA; Mac Cormack, WP</t>
  </si>
  <si>
    <t>Vodopivez, C.; Curtosi, A.; Pelletier, E.; Spairani, L. U.; Hernandez, E. A.; Mac Cormack, W. P.</t>
  </si>
  <si>
    <t>Element concentrations of environmental concern in surface sediment samples from a broad marine area of 25 de Mayo (King George) Island, South Shetland Islands</t>
  </si>
  <si>
    <t>SCIENCE OF THE TOTAL ENVIRONMENT</t>
  </si>
  <si>
    <t>Antarctica; Metal pollution; Maxwell Bay sediments; Baselines</t>
  </si>
  <si>
    <t>BIVALVE LATERNULA-ELLIPTICA; HEAVY-METALS; WEST ANTARCTICA; ADMIRALTY BAY; MAXWELL BAY; POTTER COVE; MERCURY; GEOCHEMISTRY; ORGANISMS; ACCUMULATION</t>
  </si>
  <si>
    <t>Western Antarctica (WA) constitutes the area with the highest human presence in the white continent and also the region where the effects of global warming are more evident worldwide. Such human presence represents a potential risk of pollution with both, organic and inorganic contaminants. Global warming also could modify dynamics and transport of the pollutants, increasing summer water runoff, ice melting and iceberg scouring. Under this fast-changing scenario, knowledge about the concentration of contaminants is essential to evaluate the environmental status of this ecologically relevant area. In this work, we performed the first regional-scale monitoring of 9 trace elements (Cr, Co, Ni, Cu, Zn, As, Pb, Cd and Hg), as well as Fe and Mn, in surface sediment from 64 sites comprising six different areas in Maxwell Bay, 25 de Mayo (King George) Island. Target elements were quantified in surface sediment samples (20-30 m depth) obtained during two summer Antarctic expeditions: 2010/11 and 2011/12 by inductively coupled plasma linked to a quadrupole mass spectrometer (ICP-MS). Based on the average values observed for the reference areas, baseline values were defined for the studied region. A regional enrichment in Cu (compared with the global mean upper crust) was observed and related to the wide-spread mineralization of volcanic rocks. The most anthropized area (South Fildes) mainly showed sediment class 3 (moderately polluted) for Pb, Cd and Hg with a number samples revealing some highly contaminated hot spots. Although elemental contamination in some samples close to scientific stations or sites where logistic operations were evidenced, a pollution pattern was not clearly identified. The present work represents the first regional-scale attempt to define the baseline values and the anthropic impacts in this region of the WA and also provides the first data about Hg concentration in surface sediment of the study area. (C) 2018 Elsevier B.V. All rights reserved.</t>
  </si>
  <si>
    <t>[Vodopivez, C.; Curtosi, A.; Spairani, L. U.; Hernandez, E. A.; Mac Cormack, W. P.] Inst Antartico Argentino, 25 Mayo 1143,B1650HMK, San Martin, Buenos Aires, Argentina; [Pelletier, E.] Univ Quebec Rimouski, Inst Sci Mer Rimouski ISMER, 310 Allee Ursulines, Rimouski, PQ G5L 3A1, Canada; [Hernandez, E. A.; Mac Cormack, W. P.] UBA, CONICET, Fac Farm &amp; Bioquim, Inst NANOBIOTEC, Junin 956 6to Piso, Buenos Aires, DF, Argentina</t>
  </si>
  <si>
    <t>Instituto Antartico Argentino; University of Quebec; Universite du Quebec a Rimouski; University of Buenos Aires; Consejo Nacional de Investigaciones Cientificas y Tecnicas (CONICET)</t>
  </si>
  <si>
    <t>Mac Cormack, WP (corresponding author), UBA, CONICET, Fac Farm &amp; Bioquim, Inst NANOBIOTEC, Junin 956 C1113AAZ,6to Piso, Buenos Aires, DF, Argentina.</t>
  </si>
  <si>
    <t>emilien_pelletier@uqar.ca; uss@mrecic.gov.ar; edy@ffyb.uba.ar; wmac@ffyb.uba.ar</t>
  </si>
  <si>
    <t>Mac Cormack, Walter/0000-0002-5280-5463; Spairani, Leonardo Ulises/0000-0002-8876-9046</t>
  </si>
  <si>
    <t>ANCyPT [PICTO 2010-106, 2010-124]; University of Buenos Aires [20020130100569BA]; European Commission through the Marie Curie Action IRSES [318718]</t>
  </si>
  <si>
    <t>ANCyPT; University of Buenos Aires(University of Buenos Aires); European Commission through the Marie Curie Action IRSES</t>
  </si>
  <si>
    <t>This study has been supported in part by grants PICTO 2010-106 and 2010-124 (ANCyPT), grant 20020130100569BA (University of Buenos Aires). We also had the financial support from the European Commission through the Marie Curie Action IRSES, project no 318718, IMCONet (Interdisciplinary Modelling of climate change in coastal Western Antarctica-Network for staff Exchange and Training). Emilien Pelletier also thanks the Natural Sciences and Engineering Research Council of Canada and the Canada Research Chair in Ecotoxicology.</t>
  </si>
  <si>
    <t>0048-9697</t>
  </si>
  <si>
    <t>1879-1026</t>
  </si>
  <si>
    <t>SCI TOTAL ENVIRON</t>
  </si>
  <si>
    <t>Sci. Total Environ.</t>
  </si>
  <si>
    <t>10.1016/j.scitotenv.2018.07.174</t>
  </si>
  <si>
    <t>GU3GO</t>
  </si>
  <si>
    <t>WOS:000445164800073</t>
  </si>
  <si>
    <t>Chu, ZD; Yang, ZK; Wang, YH; Sun, LG; Yang, WQ; Yang, LJ; Gao, YS</t>
  </si>
  <si>
    <t>Chu, Zhuding; Yang, Zhongkang; Wang, Yuhong; Sun, Liguang; Yang, Wenqing; Yang, Lianjiao; Gao, Yuesong</t>
  </si>
  <si>
    <t>Assessment of heavy metal contamination from penguins and anthropogenic activities on Fildes Peninsula and Ardley Island, Antarctic</t>
  </si>
  <si>
    <t>Heavy metals; Lacustrine sediments; Penguins; Human activities; Antarctic environment</t>
  </si>
  <si>
    <t>KING-GEORGE ISLAND; TRACE-ELEMENT CONTAMINATION; WINTER QUARTERS BAY; MCMURDO STATION; ADMIRALTY BAY; AMANDA BAY; RECORD; SEDIMENTS; MERCURY; SOILS</t>
  </si>
  <si>
    <t>Fildes Peninsula, with a high density of scientific stations, has been significantly impacted by anthropogenic activities. However, the contamination from penguins, a biovector that transports pollutants from ocean to land, has seldom been assessed. In this study, 32 lacustrine surface sediment samples on Fildes Peninsula and 8 lacustrine surface sediment samples on Ardley Island were collected to determine Cu, Zn, Pb, Ni, Cr, Cd, Co, Sb, Hg and P levels. The results showed that the heavy metal contents of lacustrine sediments on Ardley Island are significantly higher than those on Fildes Peninsula. The contaminants on Fildes Peninsula are mainly derived from anthropogenic activities, while the contaminants on Ardley Island are transported to the lacustrine sediments in the form of penguin guanos after a series of biomagnification in the food chain. The results indicated that the impact of penguin-transported contamination on Antarctic environment outweighs human activities near scientific stations in some areas. Therefore, more attention should be paid to the impacts of Antarctic animals on the Antarctic environment. (C) 2018 Elsevier B.V. All rights reserved.</t>
  </si>
  <si>
    <t>[Chu, Zhuding; Yang, Zhongkang; Wang, Yuhong; Sun, Liguang; Yang, Wenqing; Yang, Lianjiao; Gao, Yuesong] Univ Sci &amp; Technol China, Inst Polar Environm, Sch Earth &amp; Space Sci, Hefei 230026, Anhui, Peoples R China; [Chu, Zhuding; Yang, Zhongkang; Wang, Yuhong; Sun, Liguang; Yang, Wenqing; Yang, Lianjiao; Gao, Yuesong] Univ Sci &amp; Technol China, Anhui Key Lab Polar Environm &amp; Global Change, Sch Earth &amp; Space Sci, Hefei 230026, Anhui, Peoples R China</t>
  </si>
  <si>
    <t>Chinese Academy of Sciences; University of Science &amp; Technology of China, CAS; Chinese Academy of Sciences; University of Science &amp; Technology of China, CAS</t>
  </si>
  <si>
    <t>Sun, LG (corresponding author), Univ Sci &amp; Technol China, Inst Polar Environm, Sch Earth &amp; Space Sci, Hefei 230026, Anhui, Peoples R China.</t>
  </si>
  <si>
    <t>slg@ustc.edu.cn</t>
  </si>
  <si>
    <t>Yang, Wenqing/F-7026-2011; Gao, Yuesong/GRE-7726-2022</t>
  </si>
  <si>
    <t>Anhui Provincial Natural Science Foundation [1808085MD98]; Chinese Polar Scientific Strategic Research Programme [20140303]</t>
  </si>
  <si>
    <t>Anhui Provincial Natural Science Foundation(Natural Science Foundation of Anhui Province); Chinese Polar Scientific Strategic Research Programme</t>
  </si>
  <si>
    <t>The research was supported by Anhui Provincial Natural Science Foundation 1808085MD98 and Chinese Polar Scientific Strategic Research Programme (20140303). Samples provided by the Polar Sediment Repository of Polar Research Institute of China (PRIC). Samples Information and Data were issued by the Resource-sharing Platform of Polar Samples (http://birds.chinare.org.cn) maintained by Polar Research Institute of China (PRIC) and Chinese National Arctic &amp; Antarctic Data Center (CN-NADC). We thank the Chinese Arctic and Antarctic Administration and PRIC for logistical support in field.</t>
  </si>
  <si>
    <t>10.1016/j.scitotenv.2018.07.152</t>
  </si>
  <si>
    <t>WOS:000445164800092</t>
  </si>
  <si>
    <t>Pape, J; Mezger, K; Bouvier, AS; Baumgartner, LP</t>
  </si>
  <si>
    <t>Pape, J.; Mezger, K.; Bouvier, A. -S.; Baumgartner, L. P.</t>
  </si>
  <si>
    <t>Time and duration of chondrule formation: Constraints from 26Al-26 Mg ages of individual chondrules</t>
  </si>
  <si>
    <t>GEOCHIMICA ET COSMOCHIMICA ACTA</t>
  </si>
  <si>
    <t>Chondrule formation; Al-26-Mg-26 chronology; Initial(26)Al/(27) Al; SIMS; Early solar system chronology; Unequilibrated ordinary chondrites</t>
  </si>
  <si>
    <t>SOLAR-SYSTEM; CONTEMPORANEOUS FORMATION; AL-26-MG-26 SYSTEMATICS; ISOTOPIC COMPOSITION; INITIAL AL-26/AL-27; MELTING EVENTS; CV CHONDRITES; II CHONDRULES; ACCRETION; ORIGIN</t>
  </si>
  <si>
    <t>Chondrules from unequilibrated ordinary and carbonaceous chondrites belong to the oldest and most primitive materials from the early solar system and record chemical and isotopic signatures relating to their formation and evolution. These signatures allow tracing protoplanetary disk processes that eventually led to the formation of planetary building blocks and rocky planets. Al-26-Mg-26 ages based on mineral-mesostasis isochrons of 31 porphyritic ferromagnesian chondrules, that belong mainly to type-II, constrain the time of chondrule melting prior to incorporation into the respective chondrite parent bodies. For this study chondrules from the unequilibrated L, L(LL) and LL ordinary chondrites (UOCs) NWA 5206, NWA 8276, MET 96503, MET 00452, MET 00526, NWA 7936 and QUE 97008 were selected, which are of petrologic types 3.003.15 and were thus least metamorphosed after formation. Magnesium and Al isotopes were measured in-situ by Secondary Ion Mass Spectrometry (SIMS) using a CAMECA 1280 ims. Mg-26 excess from in-situ decay of Al-26 correlating with Al-27/Mg-24 has been detected in the mesostasis of all but one chondrule. The initial Al isotopic compositions (Al-26/Al-27)(0) and Mg-26/Mg-24 ratios (delta Mg-26*(0)) deduced from internal mineral isochron regressions range from (9.5 +/- 2.8) x 10(-6) to (3.1 +/- 1.2) x 10(-6) and -0.020 +/- 0.028 parts per thousand to 0.011 +/- 0.039 parts per thousand, respectively. The corresponding chondrule ages (Delta t(CAI)), calculated relative to calcium-aluminum-rich inclusions (CAIs) using the canonical Al-26/Al-27 = (5.23 +/- 0.13) x 10(-5), are between 1.76(-0.27)(+0.36) and 2.92(-0.34)(+0.51) Ma and date the melt formation and thus primary chondrule formation from dust-like precursors or reprocessing of older chondrules. The age range agrees with those acquired with different short-lived chronometers and with published Al-26-Mg-26 ages, the majority of which were obtained for chondrules from the Bishunpur and Semarkona meteorites, although no chondrule with (Al-26/Al-27)(0) &gt; 10(-5) was found. Chondrules in single chondrite samples or between different chondrite groups show no distinct age distributions. The initial Al-26/(27) Al of the oldest chondrules in the L(LL)/LL and L chondrite samples are identical within their 1 sigma uncertainties and yield a mean age of 1.99(-0.08)(+0.08) Ma and 1.81(-0.10)(+0.11) Ma, respectively. The oldest chondrules from six of the seven studied samples record a mean age of 1.94(-0.06)(+0.07) Ma. Since heating events in the protoplanetary disk could have partially reset the Al-Mg systematics in pre-existing chondrules and this would have shifted recorded Al-26-Mg-26 ages toward younger dates, the oldest mean age of 1.81(-0.10)(+0.11) Ma recorded in L chondrite chondrules is interpreted to date the rapid and punctuated onset of chondrule formation. The density distribution of chondrule ages from this study, which comprises the largest single dataset of OC chondrule ages, combined with published ages for chondrules from ordinary and carbonaceous chondrites reveals major age peaks for OC chondrules at 2.0 and 2.3 Ma. Chondrules in ordinary and carbonaceous chondrites formed almost contemporaneously (with a possible distinction between CC groups) in two chemically distinct reservoirs, probably in density-enriched regions at the edges of Jupiter's orbit. The young formation ages of chondrules suggest that they do not represent precursors but rather by-products of planetesimal accretion. (C) 2018 Elsevier Ltd. All rights reserved.</t>
  </si>
  <si>
    <t>[Pape, J.; Mezger, K.] Univ Bern, Inst Geol Sci, Baltzerstr 1 3, CH-3012 Bern, Switzerland; [Bouvier, A. -S.; Baumgartner, L. P.] Univ Lausanne, Inst Earth Sci, UNIL Mouline, CH-1015 Lausanne, Switzerland</t>
  </si>
  <si>
    <t>University of Bern; University of Lausanne</t>
  </si>
  <si>
    <t>Pape, J (corresponding author), Univ Bern, Inst Geol Sci, Baltzerstr 1 3, CH-3012 Bern, Switzerland.</t>
  </si>
  <si>
    <t>jonas.pape@geo.unibe.ch</t>
  </si>
  <si>
    <t>Mezger, Klaus/D-9502-2011; Pape, Jonas/S-2302-2016</t>
  </si>
  <si>
    <t>Baumgartner, Lukas P./0000-0003-2304-1772; Pape, Jonas/0000-0001-9729-695X; Bouvier, Anne-Sophie/0000-0002-5202-603X</t>
  </si>
  <si>
    <t>Swiss National Science Foundation [51NF40-141881]; SNSF; Swiss National Science Foundation (SNF) [51NF40_141881] Funding Source: Swiss National Science Foundation (SNF)</t>
  </si>
  <si>
    <t>Swiss National Science Foundation(Swiss National Science Foundation (SNSF)); SNSF(Swiss National Science Foundation (SNSF)); Swiss National Science Foundation (SNF)(Swiss National Science Foundation (SNSF))</t>
  </si>
  <si>
    <t>We would like to thank the ANSMET meteorite working group (MWG) for providing the samples MET 96503, MET 00452, MET 00526 and QUE 97008 from the NASA Collection of Antarctic Meteorites. We also thank the Natural History Museum, Vienna; Dept. of Mineralogy and Petrography for providing a piece of Eagle Station pallasite olivine. B. Hofmann from the Natural History Museum Bern is acknowledged for providing San Carlos olivine and for discussion on Rn emanation from meteorites. We also thank F. Plane and G. Siron from the SwissSIMS laboratory for their support and helpful discussions during SIMS work. Peter Ulmer is thanked for his help with glass synthesis experiments. A. V. Rosen is acknowledged for constructive discussion throughout the work on the manuscript.; This work has been carried out in the framework of the NCCR PlanetS supported by the Swiss National Science Foundation grant nr. 51NF40-141881. The authors acknowledge the financial support of the SNSF.</t>
  </si>
  <si>
    <t>0016-7037</t>
  </si>
  <si>
    <t>1872-9533</t>
  </si>
  <si>
    <t>GEOCHIM COSMOCHIM AC</t>
  </si>
  <si>
    <t>Geochim. Cosmochim. Acta</t>
  </si>
  <si>
    <t>10.1016/j.gca.2018.10.017</t>
  </si>
  <si>
    <t>HB4ZL</t>
  </si>
  <si>
    <t>WOS:000451066300026</t>
  </si>
  <si>
    <t>Hu, Y; Hu, KL; Shang, ZH; Ashley, MCB; Ma, B; Du, FJ; Li, ZY; Liu, Q; Wang, W; Yang, SH; Yu, C; Zeng, Z</t>
  </si>
  <si>
    <t>Hu, Yi; Hu, Keliang; Shang, Zhaohui; Ashley, Michael C. B.; Ma, Bin; Du, Fujia; Li, Zhengyang; Liu, Qiang; Wang, Wei; Yang, Shihai; Yu, Ce; Zeng, Zhen</t>
  </si>
  <si>
    <t>Meteorological Data from KLAWS-2G for an Astronomical Site Survey of Dome A, Antarctica</t>
  </si>
  <si>
    <t>PUBLICATIONS OF THE ASTRONOMICAL SOCIETY OF THE PACIFIC</t>
  </si>
  <si>
    <t>site testing; atmospheric effects; methods: data analysis</t>
  </si>
  <si>
    <t>BOUNDARY-LAYER; SURFACE-LAYER</t>
  </si>
  <si>
    <t>We present an analysis of meteorological data from the second generation of the Kunlun Automated Weather Station (KLAWS-2G) at Dome A, Antarctica during 2015 and 2016. We find that a strong temperature inversion exists for all the elevations up to 14 m that KLAWS-2G can reach, and lasts for more than 10 hours for 50% or more of the time when temperature inversion occurs. The average wind speeds at 4 m elevation are 4.2 m s(-1) and 3.8 m s(-1) during 2015 and 2016, respectively. The strong temperature inversion and moderate wind speed lead to a shallow turbulent boundary layer height at Dome A. By analyzing the temperature and wind shear profiles, we note telescopes should be elevated by at least 8 m above the ice. We also find that the duration of temperature inversions and the wind speed vary considerably from year to year. Therefore, long-term and continuous data are still needed for the site survey at Dome A.</t>
  </si>
  <si>
    <t>[Hu, Yi; Hu, Keliang; Shang, Zhaohui; Ma, Bin; Liu, Qiang; Wang, Wei; Zeng, Zhen] Chinese Acad Sci, Natl Astron Observ, Beijing 100101, Peoples R China; [Shang, Zhaohui] Tianjin Normal Univ, Tianjin 300387, Peoples R China; [Ashley, Michael C. B.] Univ New South Wales, Sch Phys, Sydney, NSW 2052, Australia; [Du, Fujia; Li, Zhengyang; Yang, Shihai] Chinese Acad Sci, Nanjing Inst Astron Opt &amp; Technol, Natl Astron Observ, Nanjing 210042, Jiangsu, Peoples R China; [Yu, Ce] Tianjin Univ, Coll Intelligence &amp; Comp, Tianjin 300072, Peoples R China</t>
  </si>
  <si>
    <t>Chinese Academy of Sciences; National Astronomical Observatory, CAS; Tianjin Normal University; University of New South Wales Sydney; Chinese Academy of Sciences; Nanjing Institute of Astronomical Optics &amp; Technology, NAOC, CAS; National Astronomical Observatory, CAS; Tianjin University</t>
  </si>
  <si>
    <t>Shang, ZH (corresponding author), Chinese Acad Sci, Natl Astron Observ, Beijing 100101, Peoples R China.;Shang, ZH (corresponding author), Tianjin Normal Univ, Tianjin 300387, Peoples R China.</t>
  </si>
  <si>
    <t>zshang@gmail.com</t>
  </si>
  <si>
    <t>Yang, Shihai/J-1593-2012; zeng, zhen/KGK-4217-2024</t>
  </si>
  <si>
    <t>hu, yi/0000-0003-3317-4771; Ashley, Michael/0000-0003-1412-2028</t>
  </si>
  <si>
    <t>National Natural Science Foundation of China [11403048, 11733007, 11673037]; Chinese Polar Environment Comprehensive Investigation &amp; Assessment Programmes [CHINARE2016-02-03]; National Basic Research Program of China (973 Program) [2013CB834900]; Australian Antarctic Division; Australian National Collaborative Research Infrastructure Strategy</t>
  </si>
  <si>
    <t>National Natural Science Foundation of China(National Natural Science Foundation of China (NSFC)); Chinese Polar Environment Comprehensive Investigation &amp; Assessment Programmes; National Basic Research Program of China (973 Program)(National Basic Research Program of China); Australian Antarctic Division; Australian National Collaborative Research Infrastructure Strategy(Australian GovernmentDepartment of Industry, Innovation and Science)</t>
  </si>
  <si>
    <t>The authors thank all members of the 31st, 32nd, and 33rd Chinese Antarctic Research Expedition teams for their effort in setting up the KLAWS-2G instruments and servicing the PLATO-A observatory. This research is supported by the National Natural Science Foundation of China under grant Nos. 11403048, 11733007, and 11673037, the Chinese Polar Environment Comprehensive Investigation &amp; Assessment Programmes under grant No. CHINARE2016-02-03, the lNational Basic Research Program of China (973 Program 2013CB834900), the Australian Antarctic Division, and the Australian National Collaborative Research Infrastructure Strategy administered by Astronomy Australia Limited.</t>
  </si>
  <si>
    <t>TEMPLE CIRCUS, TEMPLE WAY, BRISTOL BS1 6BE, ENGLAND</t>
  </si>
  <si>
    <t>0004-6280</t>
  </si>
  <si>
    <t>1538-3873</t>
  </si>
  <si>
    <t>PUBL ASTRON SOC PAC</t>
  </si>
  <si>
    <t>Publ. Astron. Soc. Pac.</t>
  </si>
  <si>
    <t>10.1088/1538-3873/aae916</t>
  </si>
  <si>
    <t>HB9PK</t>
  </si>
  <si>
    <t>WOS:000451423800001</t>
  </si>
  <si>
    <t>Godagnone, RE; de la Fuente, JC</t>
  </si>
  <si>
    <t>Rubio, G; Lavado, RS; Pereyra, FX</t>
  </si>
  <si>
    <t>Godagnone, Ruben E.; de la Fuente, Juan C.</t>
  </si>
  <si>
    <t>Soils of the Argentine Antarctica</t>
  </si>
  <si>
    <t>SOILS OF ARGENTINA</t>
  </si>
  <si>
    <t>World Soils Book Series</t>
  </si>
  <si>
    <t>Antarctic; Soils; Soil Taxonomy; Climate</t>
  </si>
  <si>
    <t>WILKES LAND; EAST ANTARCTICA; CASEY STATION</t>
  </si>
  <si>
    <t>Antarctic soils have been studied since the mid-twentieth century. The first studies were focused on the intense influence of seabirds in soil genesis, specially through the microbiological decomposition of guano, while other important pedogenetic processes were less studied. Subsequent studies showed that climate, vegetation and micro-organisms were also key factors in the formation of these soils. Significant differences were found in soil genesis in the different sites studied, which allowed to recognize the current pedogenetic processes and those developed under warmer climates. In the present chapter, we present a review of the edaphic studies carried out in the Argentine Antarctic. They were focused in the ice-free areas of the northern sector of the Antarctic Peninsula and the surrounding islands: Marambio Island (Trinidad Peninsula), Esperanza Bay (Tabarin Peninsula), Potter Peninsula (25 de Mayo Island), Harmony Point (Nelson Island), Cape Spring, Leopard and Penguin Islands (Coast of Danco). A complex landscape, involving soils with different properties, evolved mainly through the participation of the five soil-forming factors. The presence of permafrost, key to soil classification, was observed mainly in the Eastern sector of the northern Antarctic Peninsula. In the Western sector, the melting of the soils in the summer allowed the development of the horizons used for the description. The diagnostic features used were the presence of ochric, mollic, histic, cryoturbation, permafrost and glacic layers and the presence of gelic materials. Soils correspond to the orders Gelisols, Mollisols, Inceptisols, Histosols, Spodosols and Entisols.</t>
  </si>
  <si>
    <t>[Godagnone, Ruben E.; de la Fuente, Juan C.] INTA, Inst Suelos, Buenos Aires, DF, Argentina</t>
  </si>
  <si>
    <t>Instituto Nacional de Tecnologia Agropecuaria (INTA)</t>
  </si>
  <si>
    <t>Godagnone, RE (corresponding author), INTA, Inst Suelos, Buenos Aires, DF, Argentina.</t>
  </si>
  <si>
    <t>godagnone.ruben@inta.gob.ar</t>
  </si>
  <si>
    <t>2211-1255</t>
  </si>
  <si>
    <t>2211-1263</t>
  </si>
  <si>
    <t>978-3-319-76853-3; 978-3-319-76851-9</t>
  </si>
  <si>
    <t>WOR SOIL BOOK SER</t>
  </si>
  <si>
    <t>10.1007/978-3-319-76853-3_15</t>
  </si>
  <si>
    <t>10.1007/978-3-319-76853-3</t>
  </si>
  <si>
    <t>Geography, Physical; Soil Science</t>
  </si>
  <si>
    <t>Physical Geography; Agriculture</t>
  </si>
  <si>
    <t>BL3QG</t>
  </si>
  <si>
    <t>WOS:000449986200014</t>
  </si>
  <si>
    <t>Alborés, S; Sanguiñedo, P; Held, BH; Cerdeiras, MP; Blanchette, RA</t>
  </si>
  <si>
    <t>Albores, Silvana; Sanguinedo, Paula; Held, Benjamin H.; Cerdeiras, Maria Pia; Blanchette, Robert A.</t>
  </si>
  <si>
    <t>Biodiversity and antimicrobial activity of Antarctic fungi from the Fildes Peninsula, King George Island</t>
  </si>
  <si>
    <t>SYDOWIA</t>
  </si>
  <si>
    <t>antarctic fungi; biodiversity; antimicrobial activity</t>
  </si>
  <si>
    <t>DIVERSITY; IDENTIFICATION; SOILS; WOOD</t>
  </si>
  <si>
    <t>Despite adverse conditions in Antarctica for life, organic materials can be successfully colonized by extremophilic microorganisms. This work describes the isolation of filamentous fungi from terrestrial and maritime habitats of King George Island, Antarctica, and the screening of their ability to produce antimicrobial compounds. A total of 44 samples were collected during the Antarctic expeditions from soil, sediments, terrestrial and marine waters and pieces of wood that had been brought into Antarctica. One hundred thirty-seven psychrotrophic fungi were isolated. Thirty-three strains selected from different samples and with different morphological characteristics were used in molecular identification and antimicrobial activity assays. The ability of all isolations to inhibit growth of different bacteria in vitro was tested using the agar plug diffusion method. Most of the fungi identified were Ascomycota with only a few Zygomycota and no Basidiomycota isolated. Twenty-six cultures corresponded to known species. Penicillium was the most represented genus of identified fungal isolations (24 %) followed by species of Cadophora, Mortierella, Pseudogymnoascus and Neurospora. This is the first report of the presence of Aspergillus pseudodeflectus in this region. Of the isolates under study, eighteen were able to inhibit growth of at least one of the bacterial strains used.</t>
  </si>
  <si>
    <t>[Albores, Silvana; Sanguinedo, Paula; Cerdeiras, Maria Pia] Univ Republica, Fac Quim, Dept Biociencias, Area Microbiol, Montevideo, Uruguay; [Held, Benjamin H.; Blanchette, Robert A.] Univ Minnesota, Dept Plant Pathol, St Paul, MN 55108 USA</t>
  </si>
  <si>
    <t>Universidad de la Republica, Uruguay; University of Minnesota System; University of Minnesota Twin Cities</t>
  </si>
  <si>
    <t>Alborés, S (corresponding author), Univ Republica, Fac Quim, Dept Biociencias, Area Microbiol, Montevideo, Uruguay.</t>
  </si>
  <si>
    <t>salbores@fq.edu.uy</t>
  </si>
  <si>
    <t>Albores, Silvana/AAZ-1990-2020</t>
  </si>
  <si>
    <t>Albores, Silvana/0000-0003-3200-3057; Blanchette, Robert A./0000-0003-2819-6511</t>
  </si>
  <si>
    <t>Comision Sectorial de Investigacion Cientifica (CSIC, Universidad de la Republica), Uruguay; Program for the Development of Basic Sciences (PEDECIBA-Quimica), Uruguay; Instituto Antartico Uruguayo (IAU), Uruguay</t>
  </si>
  <si>
    <t>This work was supported by the Comision Sectorial de Investigacion Cientifica (CSIC, Universidad de la Republica), Program for the Development of Basic Sciences (PEDECIBA-Quimica) and Instituto Antartico Uruguayo (IAU), Uruguay.</t>
  </si>
  <si>
    <t>VERLAG FERDINAND BERGER SOHNE GESELLSCHAFT MBH</t>
  </si>
  <si>
    <t>HORN</t>
  </si>
  <si>
    <t>WIENER STRASSE 21-23, 3580 HORN, AUSTRIA</t>
  </si>
  <si>
    <t>0082-0598</t>
  </si>
  <si>
    <t>Sydowia</t>
  </si>
  <si>
    <t>DEC 31</t>
  </si>
  <si>
    <t>10.12905/0380.sydowia70-2018-0185</t>
  </si>
  <si>
    <t>Mycology</t>
  </si>
  <si>
    <t>HJ1EZ</t>
  </si>
  <si>
    <t>WOS:000456906000018</t>
  </si>
  <si>
    <t>Liu, LN; Razaq, A; Atri, NS; Bau, T; Belbahri, L; Bouket, AC; Chen, LP; Deng, C; Ilyas, S; Khalid, AN; Kitaura, MJ; Kobayashi, T; Li, Y; Lorenz, AP; Ma, YH; Malysheva, E; Malysheva, V; Nuytinck, J; Qiao, M; Saini, MK; Scur, MC; Sharma, S; Shu, LL; Spirin, V; Tanaka, Y; Tojo, M; Uzuhashi, S; Valerio, C; Verbeken, A; Verma, B; Wu, RH; Xu, JP; Yu, ZF; Zeng, H; Zhang, B; Banerjee, A; Beddiar, A; Bordallo, JJ; Dafri, A; Dima, B; Krisai-Greilhuber, I; Lorenzini, M; Mandal, R; Morte, A; Nath, PS; Papp, V; Pavlík, J; Rodríguez, A; Sevcíkova, H; Urban, A; Voglmayr, H; Zapparoli, G</t>
  </si>
  <si>
    <t>Liu, Li-Na; Razaq, Abdul; Atri, Narender Singh; Bau, Tolgor; Belbahri, Lassaad; Bouket, Ali Chenari; Chen, Lai-Ping; Deng, Chu; Ilyas, Sobia; Khalid, Abdul Nasir; Kitaura, Marcos Junji; Kobayashi, Takahito; Li, Yu; Lorenz, Aline Pedroso; Ma, Yuan-Hao; Malysheva, Ekaterina; Malysheva, Vera; Nuytinck, Jorinde; Qiao, Min; Saini, Munruchi Kaur; Scur, Mayara Camila; Sharma, Samidha; Shu, Li-Li; Spirin, Viacheslav; Tanaka, Yoshikazu; Tojo, Motoaki; Uzuhashi, Shihomi; Valerio-Junior, Claudio; Verbeken, Annemieke; Verma, Balwant; Wu, Ri-Han; Xu, Jian-Ping; Yu, Ze-Fen; Zeng, Hui; Zhang, Bo; Banerjee, Arghya; Beddiar, Arifa; Bordallo, Juan-Julian; Dafri, Ahlem; Dima, Balint; Krisai-Greilhuber, Irmgard; Lorenzini, Marilinda; Mandal, Raghunath; Morte, Asuncion; Nath, Partha Sarathi; Papp, Viktor; Pavlik, Jozef; Rodriguez, Antonio; Sevcikova, Hana; Urban, Alexander; Voglmayr, Hermann; Zapparoli, Giacomo</t>
  </si>
  <si>
    <t>Fungal Systematics and Evolution: FUSE 4</t>
  </si>
  <si>
    <t>Agarico?nycetes; Ambicystidiati; Bolbitiaceae; Boletales; Didymosphaeriaceae; Herpotrichiellaceae Inocybaceae; Marasmiaceae; Pezizaceae; Pluteaceae; aquatic hyphomycetes; barcoding; Carpaticum; cyanolichens; desert truffle; ectomycorrhizal fungi; ITS; morphology; phylogeny; taxonomy; type studies; 8 new species; 1 new combination; 1 validation</t>
  </si>
  <si>
    <t>MULTIPLE SEQUENCE ALIGNMENT; SUBUNIT RIBOSOMAL DNA; INTERNAL TRANSCRIBED SPACER; PHYLOGENETIC-RELATIONSHIPS; MOLECULAR PHYLOGENY; DESERT TRUFFLES; SECTION RIMOSAE; GENUS INOCYBE; CRINIPELLIS BASIDIOMYCOTA; CYANOBACTERIAL LICHENS</t>
  </si>
  <si>
    <t>Eight new species presented are Calostoma areolatum collected in Wuyishan National Park (China), Crinipellis bidens from Hubei Province (China), Lactifluus sainii from Himalayan India, Inocybe elata from Yunnan (China), Inocybe himalayensis from Pakistan. Specimens previously identified as Massalongia carnosa represent a new species, namely M. patagonica restricted to southern South America. Saprolegnia maragheica is a new oomycete species of fresh water in Maraghe (Iran). Uncispora wuzhishanensis is a new aquatic hyphomycete species. A type specimen of Raddetes turkestanicus was studied and based on this the new combination Conocybe turkestanica, is proposed. Argyranthemum frutescens is a new host for Alternaria alternata and Syzygium cumini for Phyllosticta capitalensis in India. Crepidotus ehrendorferi is confirmed for Hungary and Pluteus leucoborealis for Central Europe, and for the phytogeographical region of Carpaticum. Pseudopithomyces palmicola is shown to occur on grapevine and it is validated by adding a unique identifier. Terfezia fanfani is reported first from Algeria.</t>
  </si>
  <si>
    <t>[Liu, Li-Na; Bau, Tolgor; Li, Yu; Ma, Yuan-Hao; Wu, Ri-Han; Zeng, Hui; Zhang, Bo] Jilin Agr Univ, Engn Res Ctr, Chinese Minist Educ Edible &amp; Med Fungi, Changchun 130118, Jilin, Peoples R China; [Razaq, Abdul] Univ Vet &amp; Anim Sci, Fac Fisheries &amp; Wildlife, Discipline Bot, Ravi Campus, Pattoki, Pakistan; [Atri, Narender Singh; Saini, Munruchi Kaur; Sharma, Samidha] Punjabi Univ, Dept Bot, Patiala 147002, Punjab, India; [Belbahri, Lassaad; Bouket, Ali Chenari] Next Biotech, 98 Rue Ali Belhouane, Agareb 3030, Tunisia; [Belbahri, Lassaad] Univ Neuchatel, Lab Soil Biodivers, Neuchatel, Switzerland; [Chen, Lai-Ping; Deng, Chu; Qiao, Min; Xu, Jian-Ping; Yu, Ze-Fen] Yunnan Univ, Lab Conservat &amp; Utilizat Bioresources, Key Lab Microbial Resources, Minist Educ, Kunming 650091, Yunnan, Peoples R China; [Ilyas, Sobia] Lahore Coll Women Univ, Dept Bot, Lahore, Pakistan; [Khalid, Abdul Nasir] Univ Punjab, Dept Bot, Lahore 54590, Pakistan; [Kitaura, Marcos Junji; Lorenz, Aline Pedroso; Scur, Mayara Camila; Valerio-Junior, Claudio] Univ Fed Mato Grosso do Sul, INBio, Lab Ecol &amp; Biol Evolut, Cidade Univ S-N, BR-79070900 Campo Grande, MS, Brazil; [Kobayashi, Takahito] Hokkaido Univ Museum, Sapporo, Hokkaido 0600810, Japan; [Malysheva, Ekaterina; Malysheva, Vera] Russian Acad Sci, Komarov Bot Inst, Prof Popov Str 2, St Petersburg 197376, Russia; [Nuytinck, Jorinde] Naturalis Biodivers Ctr, POB 9517, NL-2300 RA Leiden, Netherlands; [Shu, Li-Li] Shenyang Agr Univ, Hort Dept, Shenyang 110866, Liaoning, Peoples R China; [Spirin, Viacheslav] Univ Helsinki, Bot Unit Mycol, Finnish Museum Nat Hist, POB 7, FI-00014 Helsinki, Finland; [Tanaka, Yoshikazu; Tojo, Motoaki] Osaka Prefecture Univ, Grad Sch Life &amp; Environm Sci, Sakai, Osaka, Japan; [Uzuhashi, Shihomi] Natl Agr &amp; Food Res Org, Genet Resources Ctr, 2-1-2 Kannondai, Tsukuba, Ibaraki 3058602, Japan; [Verbeken, Annemieke] Univ Ghent, Dept Biol, Res Grp Mycol, KL Ledeganckstr 35, B-9000 Ghent, Belgium; [Verma, Balwant] Directorate Mushroom Res, Solan 173213, Himachal Prades, India; [Banerjee, Arghya; Mandal, Raghunath; Nath, Partha Sarathi] Bidhan Chandra Krishi Viswavidyalaya, Dept Plant Pathol, Nadia 741252, W Bengal, India; [Beddiar, Arifa; Dafri, Ahlem] Badji Mokhtar Univ, Lab Plant Biol &amp; Environm, Annaba 23005, Algeria; [Bordallo, Juan-Julian; Morte, Asuncion; Rodriguez, Antonio] Univ Murcia, Fac Biol, Dept Biol Vegetal Bot, E-30100 Murcia, Spain; [Dima, Balint] Eotvos Lorand Univ, Inst Biol, Dept Plant Anat, Pazmany Peter Setany 1-C, H-1117 Budapest, Hungary; [Krisai-Greilhuber, Irmgard; Urban, Alexander; Voglmayr, Hermann] Univ Vienna, Dept Bot &amp; Biodivers Res, Rennweg 14, A-1030 Vienna, Austria; [Lorenzini, Marilinda; Zapparoli, Giacomo] Univ Verona, Dipartimento Biotecnol, I-37134 Verona, Italy; [Papp, Viktor] Szent Istvan Univ, Dept Bot, H-1518 Budapest, Hungary; [Pavlik, Jozef] Strojarska 1831-92, Snina 06901, Slovakia; [Sevcikova, Hana] Moravian Museum, Dept Bot, Zelny Trh 6, CZ-65937 Brno, Czech Republic; [Zeng, Hui] Fujian Acad Agr Sci, Inst Edible Fungi, Fuzhou 350014, Fujian, Peoples R China; [Zeng, Hui] Natl &amp; Local Joint Engn Res Ctr Breeding &amp; Cultiv, Fuzhou 350014, Fujian, Peoples R China</t>
  </si>
  <si>
    <t>Jilin Agricultural University; Punjabi University; University of Neuchatel; Yunnan University; University of Punjab; Universidade Federal de Mato Grosso do Sul; Hokkaido University; Russian Academy of Sciences; Komarov Botanical Institute, Russian Academy of Sciences; Naturalis Biodiversity Center; Shenyang Agricultural University; University of Helsinki; Osaka Metropolitan University; National Agriculture &amp; Food Research Organization - Japan; Ghent University; Indian Council of Agricultural Research (ICAR); ICAR - Directorate of Mushroom Research; Bidhan Chandra Agricultural University; Universite Badji Mokhtar - Annaba; University of Murcia; Eotvos Lorand University; University of Vienna; University of Verona; Hungarian University of Agriculture &amp; Life Sciences; Moravian Museum; Fujian Academy of Agricultural Sciences</t>
  </si>
  <si>
    <t>Krisai-Greilhuber, I (corresponding author), Univ Vienna, Dept Bot &amp; Biodivers Res, Rennweg 14, A-1030 Vienna, Austria.</t>
  </si>
  <si>
    <t>Irmgard.greilhuber@univie.ac.at</t>
  </si>
  <si>
    <t>Lorenz, Aline Pedroso/I-1743-2012; Lassaad, Belbahri/E-1648-2015; Urban, Alexander/H-1499-2012; Krisai-Greilhuber, Irmgard/B-5023-2013; Malysheva, Vera F./H-6242-2013; Mandal, Raghunath/AAG-1298-2022; Mandal, Raghunath/AFK-2927-2022; Dima, Balint/AAL-8898-2020; Malysheva, Ekaterina F./H-5582-2013; Chenari Bouket, Ali/C-9971-2017; Lin, Fan/JZT-1441-2024; Beddiar, Arifa/AAD-3702-2019; liu, li/HGC-0900-2022; Morte, Asunción/L-4536-2014; Belbahri, Lassaad/S-2791-2019; Khalid, Abdul Nasir/AAD-9325-2020; Voglmayr, Hermann/B-1484-2013</t>
  </si>
  <si>
    <t>Lorenz, Aline Pedroso/0000-0002-2810-2282; Krisai-Greilhuber, Irmgard/0000-0003-1078-3080; Chenari Bouket, Ali/0000-0002-8421-1758; Lin, Fan/0000-0002-7330-3833; Belbahri, Lassaad/0000-0001-7040-4500; Khalid, Abdul Nasir/0000-0002-5635-8031; Voglmayr, Hermann/0000-0001-7666-993X; Dima, Balint/0000-0003-2099-3903; Spirin, Viacheslav/0000-0001-5436-6997</t>
  </si>
  <si>
    <t>China Agriculture Research System [CARS20]; National Natural Science Foundation Program of the PR China [31770026, 31570023]; National Natural Science Foundation of China [31270063, 31770010]; 111 Project [D17014]; Program for Changjiang Scholars and Innovative Research Team in University of Ministry of Education of China [IRT-15R25]; DST, New Delhi; project Evolution and Dispersal of Antarctic Bipolar Species of Mosses and Lichens (MCTI/CNPq/FNDCT) [64/2013]; CNPq; CAPES; project of the Komarov Botanical Institute Biodiversity and spatial structure of fungi and myxomycetes communities in natural and anthropogenic ecosystems [AAAA-A18-118031290108-6]; AEI/FEDER, UE [CGL2016-78946-R]; FEDER/Fundacion Seneca-Agencia de Ciencia y Tecnologia de la Region de Murcia, Spain [19484/PI/14]; University of Tabriz; Brazilian Antarctic Expedition (OPERANAR); PROANTAR (Programa Antartico Brasileiro); Ministry of Culture of the Czech Republic (DKRVO) [MK000094862]</t>
  </si>
  <si>
    <t>China Agriculture Research System; National Natural Science Foundation Program of the PR China(National Natural Science Foundation of China (NSFC)); National Natural Science Foundation of China(National Natural Science Foundation of China (NSFC)); 111 Project(Ministry of Education, China - 111 Project); Program for Changjiang Scholars and Innovative Research Team in University of Ministry of Education of China; DST, New Delhi(Department of Science &amp; Technology (India)); project Evolution and Dispersal of Antarctic Bipolar Species of Mosses and Lichens (MCTI/CNPq/FNDCT); CNPq(Conselho Nacional de Desenvolvimento Cientifico e Tecnologico (CNPQ)); CAPES(Coordenacao de Aperfeicoamento de Pessoal de Nivel Superior (CAPES)); project of the Komarov Botanical Institute Biodiversity and spatial structure of fungi and myxomycetes communities in natural and anthropogenic ecosystems; AEI/FEDER, UE; FEDER/Fundacion Seneca-Agencia de Ciencia y Tecnologia de la Region de Murcia, Spain; University of Tabriz; Brazilian Antarctic Expedition (OPERANAR); PROANTAR (Programa Antartico Brasileiro); Ministry of Culture of the Czech Republic (DKRVO)</t>
  </si>
  <si>
    <t>The Calostoma authors are grateful to Xu Hui (Wuyishan Biological Institute of Fujian Province) and the officers of the Wuyishan National Park for their kind help during the field investigations. The study was supported by China Agriculture Research System(CARS20). The Uncispora study was financed by the National Natural Science Foundation Program of the PR China (Grant no. 31770026 and no. 31570023). The Crinipellis study was supported by the National Natural Science Foundation of China (No. 31770010) and the 111 Project (No. D17014). Prof. Ping Zhang is sincerely thanked for improving the manuscript. The Inocybe elata study was supported by the National Natural Science Foundation of China (No. 31270063) and the Program for Changjiang Scholars and Innovative Research Team in University of Ministry of Education of China (No. IRT-15R25). The Inocybe himalayensis authors are thankful to Genevieve Gates, Honorary Associate, Mycology and Forest Ecology, Tasmanian Institute of Agriculture, Australia for improving the manuscript, and to Ellen Larsson, University of Goteborg, for providing literature. The Lactifluus authors thank Head, Department of Botany, Punjabi University, Patiala, for providing research facilities and are indebted to UGC &amp; DST, New Delhi for financial assistance. The Massalongia study was financially supported by the project Evolution and Dispersal of Antarctic Bipolar Species of Mosses and Lichens (MCTI/CNPq/FNDCT - Acao Transversal no 64/2013). The collections were made during the Brazilian Antarctic Expedition (OPERANAR), and PROANTAR (Programa Antartico Brasileiro) is thanked for support during work. MJK, MCS and CVJr. thank CNPq and CAPES for providing PNPD and PhD scholarships. The Saprolegnia authors are grateful to Professor (Emeritus) Asadollah Babaei-Ahari (University of Tabriz) for his valuable scientific comments and his kindness for providing financial support. The Raddetes research was supported by the project of the Komarov Botanical Institute Biodiversity and spatial structure of fungi and myxomycetes communities in natural and anthropogenic ecosystems AAAA-A18-118031290108-6 (the authors EM and VM). EM,VM and VS are deeply indebted to the curators of herbarium, Finnish Museum of Natural History (H) for their permission to sequence the type material of Raddetes turkestanicus. The Phyllosticta authors would like to thank Mr. Abhijit Roy, USIC, Department of Fluorescent microscopy unit, Burdwan University, West Bengal, India, for his kind help and technical assistance. The Pluteus authors thank M. Sochor for sequencing the Slovak collection of P. leucoborealis. We also thank J.W. Jongepier who helped improve the overall language of the manuscript. The studies of the HS were enabled by support provided to the Moravian Museum by the Ministry of Culture of the Czech Republic as part of its long-term conceptual development programme for research institutions (DKRVO, ref. MK000094862). The Pseudopithomyces authors thank Andrea Sbarbati and Paolo Bernardi of the Dipartimento di Scienze Neurologiche e del Movimento (University degli Studi di Verona, Italy) for their help performing the analysis by scanning electron microscopy. The Terfezia authors are grateful to the geologist Mr. Lotfi Abdelli for work in field searching and for financial support from the Projects CGL2016-78946-R (AEI/FEDER, UE), 19484/PI/14 (FEDER/Fundacion Seneca-Agencia de Ciencia y Tecnologia de la Region de Murcia, Spain).</t>
  </si>
  <si>
    <t>10.12905/0380.sydowia70-2018-0211</t>
  </si>
  <si>
    <t>WOS:000456906000021</t>
  </si>
  <si>
    <t>Farías, L; Bello, E; Arancibia, G; Fernandez, J</t>
  </si>
  <si>
    <t>Farias, Laura; Bello, Estrella; Arancibia, Gresel; Fernandez, Josseline</t>
  </si>
  <si>
    <t>Distribution of dissolved methane and nitrous oxide in Chilean coastal systems of the Magellanic Sub-Antarctit region (50°-55°S)</t>
  </si>
  <si>
    <t>ESTUARINE COASTAL AND SHELF SCIENCE</t>
  </si>
  <si>
    <t>Methane; Nitrous oxide; Chilean fjords; Magellanic sub-antarctic region</t>
  </si>
  <si>
    <t>SURFACE-WATER; SOUTHERN-OCEAN; GAS-EXCHANGE; EMISSIONS; OXYGEN; PACIFIC; N2O; CONSUMPTION; ENRICHMENT; LATITUDE</t>
  </si>
  <si>
    <t>Nitrous oxide (H2O) and methane (CH4()) are greenhouse gases and active in the depletion of the ozone layer. These gases, originating from both anthropogenic and natural sources, are mainly released to the atmosphere from coastal areas, including continental shelves, estuaries and cords. Surface distribution of dissolved N2O and CH4 during the austral spring were described within the Magellanic Sub -Antarctic region (50-55 degrees S, Chile) with a coastal area that has a complex system of Cords, channels, gulf and, bays. A narrow range of N2O concentrations were observed from under-saturations (similar to 65%), as result of freshwater/glacial flow into fjord heads, to slight super-saturations (similar to 120-150%) in cord mouths and adjacent marine zones. One exception was Otway Sound, where a penguin colony is situated, with N2O levels of up to 218%. In contrast, CH4 concentrations presented a wide range of saturations between 47.9% and 483%, with a spatial distribution that mainly corresponded to the type of hydrographic/geomorphologic basin; in the southern Patagonian Andes (mostly covered by the southern Ice Fields) CH4 levels varied between 65 and 80% in the marine area, and 180% saturation in the channels and Cords; whereas in the southern Patagonian tableland (Magellan Strait) higher CH4 concentrations, up to 483% saturation, were observed apparently associated with continental inputs (peatland and tundra vegetation). N2O concentrations were positively correlated with salinity and nutrients, indicating that the majority of N2O and nutrients (except silicate) originated from the Sub-Antarctic Water Mass (SAAW), which mixes with N2O-de-pleated freshwater. However, CH4 concentrations did not correlate with any oceanographic variables, suggesting that they originate from local marine/terrestrial interactions, The Magellanic Sub -Antarctic region acts as a modest source of N2O and CH4, to the atmosphere with effluxes of 6.20 +/- 10.13 and 16.88 +/- 27.04 mu mol m(-2) d(-1) respectively. Due to climate change and a growth in anthropogenic activities such as salmon farming, future emissions of N2O and CH4 within this remote region remain uncertain.</t>
  </si>
  <si>
    <t>[Farias, Laura; Bello, Estrella] Univ Concepcion, Fac Ciencias Nat &amp; Oceanog, Dept Oceanog, Concepcion, Chile; [Farias, Laura] Ctr Ciencia Clima &amp; Resiliencia CR2, Santiago, Chile; [Arancibia, Gresel; Fernandez, Josseline] Pontificia Univ Catolica Chile, Escuela Ciencias Mar, Santiago, Chile; [Arancibia, Gresel] Serv Nacl Pesca, Castro, Chile</t>
  </si>
  <si>
    <t>Universidad de Concepcion; Pontificia Universidad Catolica de Chile</t>
  </si>
  <si>
    <t>Farías, L (corresponding author), Univ Concepcion, Fac Ciencias Nat &amp; Oceanog, Dept Oceanog, Concepcion, Chile.</t>
  </si>
  <si>
    <t>laura.farias@udec.cl</t>
  </si>
  <si>
    <t>National Oceanographic Committee (Comite Oceanografico Nacional) (CONA); Chilean Navy, as part of the multidisciplinary project CIMAR 15; FONDECYT [1161138]; Comision Nacional de Investigacion Cientifica y Tecnologica(CONICYT)/FONDAP program [1511009]; Chilean Navy, as part of the multidisciplinary project CIMAR 16</t>
  </si>
  <si>
    <t>National Oceanographic Committee (Comite Oceanografico Nacional) (CONA); Chilean Navy, as part of the multidisciplinary project CIMAR 15; FONDECYT(Comision Nacional de Investigacion Cientifica y Tecnologica (CONICYT)CONICYT FONDECYT); Comision Nacional de Investigacion Cientifica y Tecnologica(CONICYT)/FONDAP program(Comision Nacional de Investigacion Cientifica y Tecnologica (CONICYT)); Chilean Navy, as part of the multidisciplinary project CIMAR 16</t>
  </si>
  <si>
    <t>This research was funded by National Oceanographic Committee (Comite Oceanografico Nacional) (CONA) and the Chilean Navy, as part of the multidisciplinary project CIMAR 15 and 16. Support was provided by FONDECYT # 1161138 (Laura Farias) and Comision Nacional de Investigacion Cientifica y Tecnologica(CONICYT)/FONDAP program no. 1511009 (CR2). We thank the staff at Silva's lab (PUCV) for their invaluable collaboration during sampling. We also appreciate the critical revision by Josefa Verdugo and Armando Sepulveda-Jaugueri.</t>
  </si>
  <si>
    <t>ACADEMIC PRESS LTD- ELSEVIER SCIENCE LTD</t>
  </si>
  <si>
    <t>24-28 OVAL RD, LONDON NW1 7DX, ENGLAND</t>
  </si>
  <si>
    <t>0272-7714</t>
  </si>
  <si>
    <t>1096-0015</t>
  </si>
  <si>
    <t>ESTUAR COAST SHELF S</t>
  </si>
  <si>
    <t>Estuar. Coast. Shelf Sci.</t>
  </si>
  <si>
    <t>10.1016/j.ecss.2018.10.020</t>
  </si>
  <si>
    <t>HE0FV</t>
  </si>
  <si>
    <t>WOS:000452943100024</t>
  </si>
  <si>
    <t>Masuda, S; Osafune, S; Hemmi, T</t>
  </si>
  <si>
    <t>Masuda, Shuhei; Osafune, Satoshi; Hemmi, Tadashi</t>
  </si>
  <si>
    <t>Deep-float salinity data synthesis for deep ocean state estimation: method and impact</t>
  </si>
  <si>
    <t>PROGRESS IN EARTH AND PLANETARY SCIENCE</t>
  </si>
  <si>
    <t>ANTARCTIC BOTTOM WATER; SEA-LEVEL RISE; GLOBAL HEAT; ABYSSAL; PROFILES</t>
  </si>
  <si>
    <t>The importance of deep ocean observations has been recognized with regard to changes in the deep ocean such as global bottom-water warming. Therefore, sustainable deep ocean monitoring networks that use autonomous profiling floats have been widely proposed, and a number of deep-float deployment initiatives have begun around the world. Deployed floats promise to provide unprecedented deep ocean information. However, present deep-float data are known to have biases. In particular, a depth-dependent bias in salinity data is a major issue that prevents us from constructing global deep ocean monitoring networks. This paper proposes a new approach to utilize ongoing deep-float salinity data to reduce the bias in estimates of the global full-depth ocean state. It reports results from comparative experiments with and without deep-float data by using the proposed approach to examine the impact of data from currently operating deep floats on ocean state estimates. The results demonstrate that available float data possibly contribute local corrections to the modeled climate ocean state. Furthermore, we clarify how interannual basin-scale estimations are controlled by available deep-float salinity data in two specific regions of the Southern and Indian Oceans.</t>
  </si>
  <si>
    <t>[Masuda, Shuhei; Osafune, Satoshi; Hemmi, Tadashi] Japan Agcy Marine Earth Sci &amp; Technol JAMSTEC, Res &amp; Dev Ctr Global Change, Yokosuka, Kanagawa, Japan</t>
  </si>
  <si>
    <t>Japan Agency for Marine-Earth Science &amp; Technology (JAMSTEC)</t>
  </si>
  <si>
    <t>Masuda, S (corresponding author), Japan Agcy Marine Earth Sci &amp; Technol JAMSTEC, Res &amp; Dev Ctr Global Change, Yokosuka, Kanagawa, Japan.</t>
  </si>
  <si>
    <t>smasuda@jamstec.go.jp</t>
  </si>
  <si>
    <t>JSPS KAKENHI [17H04579]; MEXT [KAKENHI-JP15H05817/JP15H05819]; management expenses grants for Japan Agency for Marine-Earth Science and Technology (JAMSTEC); Grants-in-Aid for Scientific Research [17H04579] Funding Source: KAKEN</t>
  </si>
  <si>
    <t>JSPS KAKENHI(Ministry of Education, Culture, Sports, Science and Technology, Japan (MEXT)Japan Society for the Promotion of ScienceGrants-in-Aid for Scientific Research (KAKENHI)); MEXT(Ministry of Education, Culture, Sports, Science and Technology, Japan (MEXT)); management expenses grants for Japan Agency for Marine-Earth Science and Technology (JAMSTEC); Grants-in-Aid for Scientific Research(Ministry of Education, Culture, Sports, Science and Technology, Japan (MEXT)Japan Society for the Promotion of ScienceGrants-in-Aid for Scientific Research (KAKENHI))</t>
  </si>
  <si>
    <t>This work was done by management expenses grants for Japan Agency for Marine-Earth Science and Technology (JAMSTEC), and was partly supported by a Grant-in-Aid for Scientific Research on Innovative Areas (MEXT KAKENHI-JP15H05817/JP15H05819) and JSPS KAKENHI Grant 17H04579.</t>
  </si>
  <si>
    <t>SPRINGEROPEN</t>
  </si>
  <si>
    <t>CAMPUS, 4 CRINAN ST, LONDON, N1 9XW, ENGLAND</t>
  </si>
  <si>
    <t>2197-4284</t>
  </si>
  <si>
    <t>PROG EARTH PLANET SC</t>
  </si>
  <si>
    <t>Prog. Earth Planet. Sci.</t>
  </si>
  <si>
    <t>DEC 29</t>
  </si>
  <si>
    <t>10.1186/s40645-018-0247-9</t>
  </si>
  <si>
    <t>HF9IM</t>
  </si>
  <si>
    <t>WOS:000454555700001</t>
  </si>
  <si>
    <t>Wlostowski, AN; Gooseff, MN; McKnight, DM; Lyons, WB</t>
  </si>
  <si>
    <t>Wlostowski, A. N.; Gooseff, M. N.; McKnight, D. M.; Lyons, W. B.</t>
  </si>
  <si>
    <t>Transit Times and Rapid Chemical Equilibrium Explain Chemostasis in Glacial Meltwater Streams in the McMurdo Dry Valleys, Antarctica</t>
  </si>
  <si>
    <t>GEOPHYSICAL RESEARCH LETTERS</t>
  </si>
  <si>
    <t>chemostasis; residence time; Antarctica; hydrology; water quality; hyporheic zone</t>
  </si>
  <si>
    <t>TAYLOR VALLEY; DISCHARGE RELATIONSHIPS; HYPORHEIC ZONE; SILICATE; PATTERNS; BASIN; LAKES; FLOW; GEOCHEMISTRY; CHEMISTRY</t>
  </si>
  <si>
    <t>Fluid transit time is understood to be an important control on the shape of concentration-discharge (C-q) relationships, yet empirical evidence supporting this linkage is limited. We investigated C-q relationships for weathering-derived solutes across seven Antarctic glacial meltwater streams. We hypothesized that (H1) solute fluxes in McMurdo Dry Valley streams are reaction limited so that C-q relationships are characterized by dilution and that (H2) transit time explains between-stream variability in the degree of C-q dilution. Results show that C-q relationships are chemostatic because solute equilibrium times are shorter than stream corridor fluid transit times. Between-stream variability in the efficiency of solute production is positively correlated with transit time, suggesting that transit time is an important control on the solute export regime. These results provide empirical evidence for the controls on weathering-derived C-q relationships and have important implications for Antarctic ecosystems and solute export regimes of watersheds worldwide. Plain Language Summary Relationships between solute concentration and stream discharge (i.e., streamflow) rates in rivers contain important information regarding how water moves through a watershed. In this research, we use a combination of observations and mathematical modeling to show that the shape of concentration-discharge relationships is related to hydrologic transit time, the duration of time a parcel of water spends moving through the watershed. Because the time scales of chemical reactions are shorter than hydrologic transit times, solute concentration is invariant with discharge. Results of this work empirically corroborate previous theoretical work regarding the physical controls on concentration-discharge relationships, and have important implications for understanding chemical concentration patterns in rivers worldwide.</t>
  </si>
  <si>
    <t>[Wlostowski, A. N.; Gooseff, M. N.; McKnight, D. M.] Univ Colorado Boulder, Inst Arctic &amp; Alpine Res, Boulder, CO 80309 USA; [Gooseff, M. N.; McKnight, D. M.] Univ Colorado Boulder, Dept Civil Environm &amp; Architectural Engn, Boulder, CO USA; [Lyons, W. B.] Ohio State Univ, Sch Earth Sci, Columbus, OH 43210 USA; [Lyons, W. B.] Ohio State Univ, Byrd Polar &amp; Climate Res Ctr, Columbus, OH 43210 USA</t>
  </si>
  <si>
    <t>University of Colorado System; University of Colorado Boulder; University of Colorado System; University of Colorado Boulder; University System of Ohio; Ohio State University; University System of Ohio; Ohio State University</t>
  </si>
  <si>
    <t>Wlostowski, AN (corresponding author), Univ Colorado Boulder, Inst Arctic &amp; Alpine Res, Boulder, CO 80309 USA.</t>
  </si>
  <si>
    <t>adam.wlostowski@colorado.edu</t>
  </si>
  <si>
    <t>Gooseff, Michael N/N-6087-2015</t>
  </si>
  <si>
    <t>Gooseff, Michael N/0000-0003-4322-8315; Wlostowski, Adam/0000-0001-5703-9916; MCKNIGHT, DIANE/0000-0002-4171-1533</t>
  </si>
  <si>
    <t>U.S. National Science Foundation [1115245]; NSF OPP [1043681, 1559691]</t>
  </si>
  <si>
    <t>U.S. National Science Foundation(National Science Foundation (NSF)); NSF OPP(National Science Foundation (NSF)NSF - Directorate for Geosciences (GEO))</t>
  </si>
  <si>
    <t>This work was funded by a U.S. National Science Foundation grant to the McMurdo Long Term Ecological Research project (grant 1115245). Geospatial support for this work was provided by the Polar Geospatial Center under NSF OPP awards 1043681 and 1559691. Any opinions, findings, conclusions, or recommendations expressed in the material are those of the authors and do not necessarily reflect the views of the National Science Foundation. The authors would also like to thank Kathy Welch for her excellent analytical chemistry work, data management, and logistical support. Constructive comments from two from two anonymous reviewers and the editor greatly improved the original version of this manuscript. Hydrologic and geochemical data used in this work may be accessed through the McMurdo Dry Long-Term Ecological Research website (https://www.mcmlter.org/).</t>
  </si>
  <si>
    <t>0094-8276</t>
  </si>
  <si>
    <t>1944-8007</t>
  </si>
  <si>
    <t>GEOPHYS RES LETT</t>
  </si>
  <si>
    <t>Geophys. Res. Lett.</t>
  </si>
  <si>
    <t>DEC 28</t>
  </si>
  <si>
    <t>10.1029/2018GL080369</t>
  </si>
  <si>
    <t>HI4ET</t>
  </si>
  <si>
    <t>WOS:000456404600017</t>
  </si>
  <si>
    <t>Evans, DG; Zika, JD; Naveira Garabato, AC; Nurser, AJG</t>
  </si>
  <si>
    <t>Evans, Dafydd Gwyn; Zika, Jan D.; Naveira Garabato, Alberto C.; Nurser, A. J. George</t>
  </si>
  <si>
    <t>The Cold Transit of Southern Ocean Upwelling</t>
  </si>
  <si>
    <t>WATER-MASS TRANSFORMATION; OVERTURNING CIRCULATION; SEA-ICE; VARIABILITY; TEMPERATURE; CONVECTION; ABYSSAL; CLOSURE; DRIVEN; HEAT</t>
  </si>
  <si>
    <t>The upwelling of deep waters in the Southern Ocean is a critical component of the climate system. The time and zonal mean dynamics of this circulation describe the upwelling of Circumpolar Deep Water and the downwelling of Antarctic Intermediate Water. The thermodynamic drivers of the circulation and their seasonal cycle play a potentially key regulatory role. Here an observationally constrained ocean model and an observation-based seasonal climatology are analyzed from a thermodynamic perspective, to assess the diabatic processes controlling overturning in the Southern Ocean. This reveals a seasonal two-stage cold transit in the formation of intermediate water from upwelled deep water. First, relatively warm and saline deep water is transformed into colder and fresher near-surface winter water via wintertime mixing. Second, winter water warms to form intermediate water through summertime surface heat fluxes. The mixing-driven pathway from deep water to winter water follows mixing lines in thermohaline coordinates indicative of nonlinear processes. Plain Language Summary Deep, cold and salty water is drawn to the surface ocean around Antarctica. This is controlled by the combined action of winds blowing over the sea surface and the stirring by large 100-km eddies. Studying the ocean around Antarctica is notoriously challenging. We therefore have sparse ocean measurements in this region. This limits our understanding of some of the processes involved in the circulation of deep water, notably, a stage involving the warming and freshening of deep water to form intermediate water. Intermediate water plays a key role in drawing excess anthropogenic heat and carbon dioxide from the sea surface into the interior ocean. Our results show that the conversion of deep to intermediate water involves a two-stage cold transit that takes place over the course of the austral season. First, during the winter, deep water sits below the very cold and fresh surface water. Ice formation around Antarctica makes this surface water slightly saltier, decreasing the density difference between the deep and surface water. This drives a mixing which cools and freshens the deep water while drawing it to the surface. Second, during summer surface warming and melting sea ice warm and freshen this deep/surface water mixture forming intermediate water.</t>
  </si>
  <si>
    <t>[Evans, Dafydd Gwyn; Naveira Garabato, Alberto C.] Univ Southampton, Natl Oceanog Ctr Southampton, Ocean &amp; Earth Sci, Southampton, Hants, England; [Zika, Jan D.] Univ New South Wales, Sch Math &amp; Stat, Sydney, NSW, Australia; [Nurser, A. J. George] Natl Oceanog Ctr, Southampton, Hants, England</t>
  </si>
  <si>
    <t>University of Southampton; NERC National Oceanography Centre; University of New South Wales Sydney; NERC National Oceanography Centre</t>
  </si>
  <si>
    <t>Evans, DG (corresponding author), Univ Southampton, Natl Oceanog Ctr Southampton, Ocean &amp; Earth Sci, Southampton, Hants, England.</t>
  </si>
  <si>
    <t>dafydd.evans@noc.soton.ac.uk</t>
  </si>
  <si>
    <t>Garabato, Alberto Naveira/AAQ-1114-2020</t>
  </si>
  <si>
    <t>Garabato, Alberto Naveira/0000-0001-6071-605X; Zika, Jan/0000-0003-3462-3559; Evans, Dafydd Gwyn/0000-0002-6328-4093</t>
  </si>
  <si>
    <t>Natural Environment Research Council studentship award at the University of Southampton; Australian Research Council [DP160103130]; Leverhulme Trust; Royal Society; Wolfson Foundation; NERC grant Ocean Regulation of Climate by Heat and Carbon Sequestration and Transports (ORCHESTRA) [NE/N018095/1]; NERC [NE/N018095/1, NE/K011499/1, noc010010] Funding Source: UKRI</t>
  </si>
  <si>
    <t>Natural Environment Research Council studentship award at the University of Southampton; Australian Research Council(Australian Research Council); Leverhulme Trust(Leverhulme Trust); Royal Society(Royal Society); Wolfson Foundation; NERC grant Ocean Regulation of Climate by Heat and Carbon Sequestration and Transports (ORCHESTRA); NERC(UK Research &amp; Innovation (UKRI)Natural Environment Research Council (NERC))</t>
  </si>
  <si>
    <t>D. G. E. was supported by a Natural Environment Research Council studentship award at the University of Southampton. J. D. Z. was supported by the Australian Research Council (grant DP160103130). A. C. N. G. gratefully acknowledges support from the Leverhulme Trust, the Royal Society, and the Wolfson Foundation. The contribution of A. J. G. N. was supported by the NERC grant Ocean Regulation of Climate by Heat and Carbon Sequestration and Transports (ORCHESTRA) (NE/N018095/1). ECCO data are available for download here: https://ecco.jpl.nasa.gov/.CARS data are available for download here: http://www.marine.csiro.au/similar todunn/cars2009/. We also thank Sjoerd Groeskamp and an anonymous reviewer for their helpful and constructive comments on this manuscript.</t>
  </si>
  <si>
    <t>10.1029/2018GL079986</t>
  </si>
  <si>
    <t>WOS:000456404600024</t>
  </si>
  <si>
    <t>Tachibana, Y; Inoue, Y; Komatsu, KK; Nakamura, T; Honda, M; Ogata, K; Yamazaki, K</t>
  </si>
  <si>
    <t>Tachibana, Y.; Inoue, Y.; Komatsu, K. K.; Nakamura, T.; Honda, M.; Ogata, K.; Yamazaki, K.</t>
  </si>
  <si>
    <t>Interhemispheric Synchronization Between the AO and the AAO</t>
  </si>
  <si>
    <t>Arctic Oscillation; Antarctic Oscillation; synchronicity between AO and AAO</t>
  </si>
  <si>
    <t>ARCTIC SEA-ICE; ATLANTIC OSCILLATION NAO; PACIFIC WP PATTERN; SOUTHERN-HEMISPHERE; SURFACE TEMPERATURE; WINTER; ENSO; CIRCULATION; NORTHERN; HEIGHT</t>
  </si>
  <si>
    <t>Teleconnections between lower and higher latitude regions are widely known in both the Northern and Southern Hemispheres. To broaden our view of these teleconnections, we searched a reanalysis data set for evidence of a teleconnection between the Arctic Oscillation (AO) and the Antarctic Oscillation (AAO), two widely separated circumpolar phenomena. Statistical analysis of the Japanese 55-year reanalysis data set showed significant in-phase synchronization between the AO and AAO, particularly in October and February, with a vertical structure extending from the troposphere to the stratosphere. This vertical structure may suggest a stratospheric control, and we did not find a significant signature indicating a tropical ocean control. We also observed decadal-scale modulation of the synchronicity. Observational evidence implies that the stratospheric meridional circulation may be responsible for AO-AAO synchronization. Plain Language Summary The Arctic Oscillation (AO) and the Antarctic Oscillation (AAO) are dominant atmospheric variability patterns in the Northern and Southern Hemispheres, respectively. Each is a pressure seesaw between the pole and the midlatitudes that remotely affects weather, climate, and environment around the world. We showed interhemispheric in-phase synchronization between the AO and AAO in October and February, and we also found decadal-scale variation of the synchronicity. Because the vertical structure of the AO-AAO synchronization extends from the troposphere to the stratosphere, stratospheric variations may be responsible for the synchronization. This finding of AO-AAO synchronization points the way to a better understanding of past, present, and future pole-to-pole climatic relationships and improvements in long-term weather forecasts.</t>
  </si>
  <si>
    <t>[Tachibana, Y.; Inoue, Y.; Komatsu, K. K.; Ogata, K.; Yamazaki, K.] Mie Univ, Fac Bioresources, Tsu, Mie, Japan; [Nakamura, T.; Yamazaki, K.] Hokkaido Univ, Fac Environm Earth Sci, Sapporo, Hokkaido, Japan; [Honda, M.] Niigata Univ, Fac Sci, Niigata, Japan; [Ogata, K.] Japan Meteorol Agcy, Tsukuba, Ibaraki, Japan</t>
  </si>
  <si>
    <t>Mie University; Hokkaido University; Niigata University; Japan Meteorological Agency</t>
  </si>
  <si>
    <t>Tachibana, Y (corresponding author), Mie Univ, Fac Bioresources, Tsu, Mie, Japan.</t>
  </si>
  <si>
    <t>tachi@bio.mie-u.ac.jp</t>
  </si>
  <si>
    <t>; Nakamura, Tetsu/M-7914-2015</t>
  </si>
  <si>
    <t>Honda, Meiji/0000-0001-7059-4746; Nakamura, Tetsu/0000-0002-2056-7392</t>
  </si>
  <si>
    <t>Ministry of Education, Culture, Sports, Science and Technology [16K13880, 17H02958]; Arctic Challenge for Sustainability Project; Belmont Forum InterDec Project; Grants-in-Aid for Scientific Research [17H02958, 16K13880] Funding Source: KAKEN</t>
  </si>
  <si>
    <t>Ministry of Education, Culture, Sports, Science and Technology(Ministry of Education, Culture, Sports, Science and Technology, Japan (MEXT)); Arctic Challenge for Sustainability Project; Belmont Forum InterDec Project; Grants-in-Aid for Scientific Research(Ministry of Education, Culture, Sports, Science and Technology, Japan (MEXT)Japan Society for the Promotion of ScienceGrants-in-Aid for Scientific Research (KAKENHI))</t>
  </si>
  <si>
    <t>The authors acknowledge K. Kodera for encouraging us to develop our idea. Comments from anonymous reviewers were also helpful. This study was partly supported by the Ministry of Education, Culture, Sports, Science and Technology through a Grant-in-Aid for Scientific Research on Innovative Areas (Grant 16K13880 and 17H02958) and by the Arctic Challenge for Sustainability Project and Belmont Forum InterDec Project. All figures were compiled by using GrADS and Generic Mapping Tools software. The analyzed data sets along with the initial and boundary conditions of the numerical experiments are available to the public as indicated in section 2 and the supporting information. The authors declare no competing financial interests in relation to the work described. The authors declare no competing nonfinancial interests as well.</t>
  </si>
  <si>
    <t>10.1029/2018GL081002</t>
  </si>
  <si>
    <t>WOS:000456404600033</t>
  </si>
  <si>
    <t>Jones, G; Curran, M; Deschaseaux, E; Omori, Y; Tanimoto, H; Swan, H; Eyre, B; Ivey, J; McParland, E; Gabric, A; Cropp, R</t>
  </si>
  <si>
    <t>Jones, Graham; Curran, Mark; Deschaseaux, Elisabeth; Omori, Yuko; Tanimoto, Hiroshi; Swan, Hilton; Eyre, Bradley; Ivey, John; McParland, Erin; Gabric, Albert; Cropp, Roger</t>
  </si>
  <si>
    <t>The Flux and Emission of Dimethylsulfide From the Great Barrier Reef Region and Potential Influence on the Climate of NE Australia</t>
  </si>
  <si>
    <t>JOURNAL OF GEOPHYSICAL RESEARCH-ATMOSPHERES</t>
  </si>
  <si>
    <t>DMS flux; DMS emission estimate; coral reefs; Great Barrier Reef (GBR); coral sea; Great Barrier Reef Lagoon (GBRL)</t>
  </si>
  <si>
    <t>CORAL-REEFS; ATMOSPHERIC DIMETHYLSULFIDE; OCEANIC PHYTOPLANKTON; SOLAR-RADIATION; GAS-EXCHANGE; SEA; AIR; SULFIDE; SULFUR; DMSP</t>
  </si>
  <si>
    <t>Concentrations of dimethylsulfoniopropionate (DMSP), dimethylsulfide (DMS), and DMS flux are reported for the Great Barrier Reef (GBR), Great Barrier Reef Lagoon (GBRL), and Coral Sea. Generally higher concentrations of dimethylsulfoniopropionate and DMS occurred in coral reef waters, compared with GBRL concentrations. DMS flux from GBR coral reefs in summer ranged from nondetectable to 153molm(-2) d(-1) (mean 6.4), while winter fluxes ranged from 0.02 to 15molm(-2) d(-1) (mean 2.4). No significant seasonal difference in DMS flux occurred for the GBRL. High DMSw concentrations and DMS fluxes periodically occur at coral reefs during very low tides and elevated sea surface temperatures (SSTs). For the GBRL and GBR coral reefs there was a significant correlation between seawater DMSw concentrations and SST (p&lt;0.001), up to temperatures of 30 degrees C. During coral bleaching DMS flux from reefs almost completely shuts down when SSTs are &gt;30 degrees C. The GBRL and associated coral reefs emit 439 and 32MmolS per year, respectively. Cyclones on average produce 170MmolS to the GBR atmosphere in summer. This amount can markedly increase during severe cyclones such as severe tropical Cyclone Debbie in March 2017. Overall, the annual DMS emission estimate from the GBRL and coral reefs in the GBR is 0.64GmolS, with cyclones contributing 27% or greater of the annual emission estimate, depending on the cyclone intensity. Oxidation of atmospheric DMS can potentially affect solar radiation, SSTs, low-level cloud cover, and rainfall causing cooling and warming of the climate in the GBR region as recent modeling predicts. Plain Language Summary This study reports the first detailed measurements of the flux and emission of dimethylsulfide (DMS, a trace sulfur gas thought to be involved in climate regulation), from the Great Barrier Reef Lagoon, Coral Sea, and coral reefs that form the Great Barrier Reef (GBR). Concentrations of DMS and its main precursor dimethylsulphoniopropionate are greatest at fringing and microatoll reefs, followed by midshelf and barrier reefs on the continental shelf. Seawater DMS and DMS flux are significantly correlated with SST up to temperatures of 30 degrees C, when production of DMS markedly decreases during coral bleaching. Very low tides increase seawater DMS and dimethylsulphoniopropionate concentrations and can significantly increase the flux of DMS to the atmosphere. There is now increasing evidence that coral reef production of DMS to the atmosphere of the GBR and its effect on the aerosol optical depth could have a significant effect on the climate of NE Australia.</t>
  </si>
  <si>
    <t>[Jones, Graham; Swan, Hilton; Ivey, John] Southern Cross Univ, Sch Environm Sci &amp; Engn, Lismore, NSW, Australia; [Curran, Mark] Antarctic Climate &amp; Ecosyst Cooperat Res Ctr, Hobart, Tas, Australia; [Deschaseaux, Elisabeth; Eyre, Bradley] Southern Cross Univ, Ctr Coastal Biogeochem, Lismore, NSW, Australia; [Omori, Yuko] Univ Tsukuba, Fac Life &amp; Environm Sci, Tsukuba, Ibaraki, Japan; [Tanimoto, Hiroshi] Natl Inst Environm Studies, Global Atmospher Chem Sect, Tsukuba, Ibaraki, Japan; [McParland, Erin] Univ Southern Calif, Dept Biol Sci, Los Angeles, CA 90089 USA; [Gabric, Albert; Cropp, Roger] Griffith Univ, Sch Environm, Nathan, Qld, Australia</t>
  </si>
  <si>
    <t>Southern Cross University; Antarctic Climate &amp; Ecosystems Cooperative Research Centre (ACE CRC); Southern Cross University; University of Tsukuba; National Institute for Environmental Studies - Japan; University of Southern California; Griffith University</t>
  </si>
  <si>
    <t>Jones, G (corresponding author), Southern Cross Univ, Sch Environm Sci &amp; Engn, Lismore, NSW, Australia.</t>
  </si>
  <si>
    <t>graham.jones@scu.edu.au</t>
  </si>
  <si>
    <t>Cropp, Roger/C-1019-2008; Gabric, Albert J/S-1551-2017; SWAN, Hilton B/B-1426-2013; Eyre, Bradley/C-2527-2013; Tanimoto, Hiroshi/E-6779-2010; Omori, Yuko/B-9962-2017</t>
  </si>
  <si>
    <t>SWAN, Hilton B/0000-0002-1608-3977; Eyre, Bradley/0000-0001-5502-0680; Tanimoto, Hiroshi/0000-0002-5424-9923; Deschaseaux, Elisabeth/0000-0002-9871-7338; Omori, Yuko/0000-0002-8025-446X; Jones, Graham/0000-0002-2815-6395; McParland, Erin/0000-0003-1734-8938</t>
  </si>
  <si>
    <t>James Cook University; Southern Cross University; Federal Government National Ecotourism grant, Canberra; ARC Discovery Project grant (ARCDP) [DP150101649]; ARCDP [DP150102092]; Australian Research Council</t>
  </si>
  <si>
    <t>James Cook University; Southern Cross University; Federal Government National Ecotourism grant, Canberra; ARC Discovery Project grant (ARCDP); ARCDP(Australian Research Council); Australian Research Council(Australian Research Council)</t>
  </si>
  <si>
    <t>Graham Jones and Yuko Omori thank CSIRO Marine, the crew of the CSIRO RV Investigator, and Chief Scientist, Zoran Ristovski from the Queensland University of Technology (QUT) for their help during voyage 5 through the Great Barrier Reef in October 2016. Matt Boyd (CSIRO) is thanked for Figure 1. Justin Seymour (University Technology Sydney) is thanked for the use of a gas chromatograph in the early part of the voyage. Graham Jones (GJ), Yuko Omori, Elisabeth Deschaseaux, Mark Curran, Hilton Swan, Erin McParland, and John Ivey participated in fieldwork. G. J. would like to acknowledge Andrew Broadbent (A. B.) for his assistance and help in the coral reef research, and the staff at the Orpheus Island Research Station (James Cook University) for their help during visits to the island. Pure Pleasure cruises are thanked for their help in transporting A. B. and G. J. to Kelso Reef. All authors read and made comments on the manuscript. This research was supported by grants from James Cook University, Southern Cross University, a Federal Government National Ecotourism grant, Canberra, to G. J., and an ARC Discovery Project grant (ARCDP) DP150101649 awarded to Professor Zoran Ristovski (QUT), Associate Professor Graham Jones (SCU), and nine other Chief Investigators. (ARCDP) DP150102092 awarded to Professor Bradley Eyre (SCU) who also helped the research. This is a contribution to the project The Great Barrier Reef as a source of climatically active aerosol particles, supported by the Australian Research Council. We would like to thank two reviewers for their helpful comments that have improved the paper. All authors declare no conflict of interest. All data, with the exception of Investigator data, are available in published references (see footnote in Tables 2 and 3). Data from voyage 5 on CSIRO RV Investigator are publically available at www.marlin.csiro.au.</t>
  </si>
  <si>
    <t>2169-897X</t>
  </si>
  <si>
    <t>2169-8996</t>
  </si>
  <si>
    <t>J GEOPHYS RES-ATMOS</t>
  </si>
  <si>
    <t>J. Geophys. Res.-Atmos.</t>
  </si>
  <si>
    <t>DEC 27</t>
  </si>
  <si>
    <t>10.1029/2018JD029210</t>
  </si>
  <si>
    <t>HH6YC</t>
  </si>
  <si>
    <t>WOS:000455876300013</t>
  </si>
  <si>
    <t>Blake, JA</t>
  </si>
  <si>
    <t>Blake, James A.</t>
  </si>
  <si>
    <t>Bitentaculate Cirratulidae (Annelida, Polychaeta) collected chiefly during cruises of the R/V Anton Bruun, USNS Eltanin, USCG Glacier, R/V Hero, RVIB Nathaniel B. Palmer, and R/V Polarstern from the Southern Ocean, Antarctica, and off Western South America</t>
  </si>
  <si>
    <t>ZOOTAXA</t>
  </si>
  <si>
    <t>Annelida; benthos; new species; Aphelochaeta; Caulleriella; Chaetocirratulus; Chaetozone; Tharyx; Ecuador; Peru; Chile; Patagonia</t>
  </si>
  <si>
    <t>CHAETOZONE-SETOSA MALMGREN; SHALLOW SOFT-BOTTOMS; KING-GEORGE ISLAND; BAY ROSS SEA; WEDDELL SEA; ADMIRALTY BAY; SPATIOTEMPORAL DISTRIBUTIONS; MEDITERRANEAN SEA; PACIFIC COAST; COSTA-RICA</t>
  </si>
  <si>
    <t>Forty-one species in five genera of bitentaculate cirratulids are reported from new collections from South America, the Southern Ocean, and seas around Antarctica. Twenty-seven species are new to science; one new genus is described to deal with some species formerly identified as Chaetozone. New records, synonymies, and new combinations are reported. Previous records are reviewed with type specimens of most species reexamined and redescribed. The sub-Antarctic species Aphelochaeta cincinnata (Ehlers, 1908) does not occur in Antarctica: the numerous published records of this species instead belong to several new species. The types of Tharyx epitocus Monro, 1930, and Tharyx fusiformis Monro, 1939, have spines in posterior setigers and are referred to other genera. Among the 41 species treated in this study, 11 belong to Aphelochaeta, eight are new; eight species belong to Caulleriella, six are new; six species belong to Chaetocirratulus n. gen., three are new; 12 species belong to Chaetozone, seven are new; and four species belong to Tharyx, three are new. Numerous samples come from slope and abyssal depths, expanding our knowledge of the distribution of Southern hemisphere deep-sea cirratulids.</t>
  </si>
  <si>
    <t>[Blake, James A.] Aquat Res &amp; Consulting, 24 Hitty Tom Rd, Duxbury, MA 02332 USA</t>
  </si>
  <si>
    <t>Blake, JA (corresponding author), Aquat Res &amp; Consulting, 24 Hitty Tom Rd, Duxbury, MA 02332 USA.</t>
  </si>
  <si>
    <t>jablake9@gmail.com</t>
  </si>
  <si>
    <t>National Science Foundation (NSF) [OPP-98114383]; NSF [OPP-0086665]; NSF through the University of Massachusetts, Boston [DEB-0118693]</t>
  </si>
  <si>
    <t>National Science Foundation (NSF)(National Science Foundation (NSF)); NSF(National Science Foundation (NSF)); NSF through the University of Massachusetts, Boston</t>
  </si>
  <si>
    <t>Initial support for this study was arranged by Ms. Betty Landrum through a contract with the SOSC. In 1998, the late Dr. Kristian Fauchald, then Chairman of the Department of Invertebrate Zoology, National Museum of Natural History, arranged for an additional contract to help move this study and others along. My participation on the Larsen Ice Shelf survey was arranged by Dr. Pat Reynolds and Dr. Eugene Domack under National Science Foundation (NSF) grant No. OPP-98114383. Field logistics and laboratory support for the ANDEEP cruises was provided by NSF Grant No. OPP-0086665 through the University of Massachusetts, Boston. More recently, support for the completion of this manuscript and SEMs was provided by the NSF Grant No. DEB-0118693 (PEET) also through the University of Massachusetts, Boston.</t>
  </si>
  <si>
    <t>MAGNOLIA PRESS</t>
  </si>
  <si>
    <t>AUCKLAND</t>
  </si>
  <si>
    <t>PO BOX 41383, AUCKLAND, ST LUKES 1030, NEW ZEALAND</t>
  </si>
  <si>
    <t>1175-5326</t>
  </si>
  <si>
    <t>1175-5334</t>
  </si>
  <si>
    <t>Zootaxa</t>
  </si>
  <si>
    <t>DEC 21</t>
  </si>
  <si>
    <t>10.11646/zootaxa.4537.1.1</t>
  </si>
  <si>
    <t>HF0LA</t>
  </si>
  <si>
    <t>WOS:000453851400001</t>
  </si>
  <si>
    <t>Hall, ES; Piedrahita, LR; Kendziorski, G; Waddle, E; Doak, DF; Peterson, ML</t>
  </si>
  <si>
    <t>Hall, Elijah S.; Piedrahita, Lucas R.; Kendziorski, Grace; Waddle, Ellen; Doak, Daniel F.; Peterson, Megan L.</t>
  </si>
  <si>
    <t>Climate and synchrony with conspecifics determine the effects of flowering phenology on reproductive success in Silene acaulis</t>
  </si>
  <si>
    <t>Phenology; pollination; climate change; flowering synchrony; Silene acaulis</t>
  </si>
  <si>
    <t>FRUIT-SET; SEXUAL SELECTION; LIFE-HISTORY; PLANT SIZE; ALPINE; ABUNDANCE; TIME; CARYOPHYLLACEAE; POLLINATORS; DENSITY</t>
  </si>
  <si>
    <t>Changes in flowering phenology resulting from climate change could impact individual plant fitness and population viability. Flowering phenology can mediate plant reproductive success in several ways, including pollinator interactions, flowering synchrony with conspecifics, and timing of suitable abiotic conditions. We explored factors that control phenology and reproductive success for an alpine cushion plant, Silene acaulis, across two years and four sites, totaling 1,123 plants, in Colorado, USA. We investigated relationships between flowering time, flowering synchrony, and reproductive success with local abiotic conditions and pollinator behavior. Mean flowering phenology was strongly correlated with the timing of snowmelt across sites and years. Relative to mean flowering times, earlier flowering plants generally produced more flowers and experienced greater soil moisture during flowering but reduced synchrony with conspecifics. Fruit set tended to increase with greater soil moisture, synchrony during flowering, and earlier flowering times. Pollinator visitation increased with local Silene flower density. Earlier snowmelt and drier conditions later in the season favor earlier flowering, but these effects are partially counteracted by the positive effects of synchrony, perhaps because of changes in pollinator visitation. Overall, while both biotic and abiotic effects influence reproductive success, late-season drought may outweigh the benefits of flowering synchrony to increasingly favor earlier flowering.</t>
  </si>
  <si>
    <t>[Hall, Elijah S.] Juniata Coll, Biol Dept, Huntingdon, PA 16652 USA; [Piedrahita, Lucas R.] Appalachian State Univ, Biol Dept, Boone, NC 28608 USA; [Kendziorski, Grace; Waddle, Ellen; Doak, Daniel F.; Peterson, Megan L.] Univ Colorado, Environm Sci Program, Boulder, CO 80309 USA</t>
  </si>
  <si>
    <t>University of North Carolina; Appalachian State University; University of Colorado System; University of Colorado Boulder</t>
  </si>
  <si>
    <t>Hall, ES (corresponding author), Juniata Coll, Biol Dept, Huntingdon, PA 16652 USA.</t>
  </si>
  <si>
    <t>elijahall96@gmail.com</t>
  </si>
  <si>
    <t>Piedrahita, Lucas/0000-0002-2751-1973; DeMarche, Megan/0000-0002-5010-2721; Kendziorski, Grace/0000-0003-3711-5736; Waddle, Ellen/0000-0001-7084-9040; Hall, Elijah/0000-0003-4144-6423</t>
  </si>
  <si>
    <t>National Science Foundation [DBI-1460906]; NSF [DEB-13005955, DEB-13003746]; LABEX/Tulip</t>
  </si>
  <si>
    <t>National Science Foundation(National Science Foundation (NSF)); NSF(National Science Foundation (NSF)); LABEX/Tulip</t>
  </si>
  <si>
    <t>This work was supported by the National Science Foundation [DBI-1460906] program and NSF DEB-13003746 and NSF DEB-13005955. DFD was additionally supported by LABEX/Tulip in fall 2017.</t>
  </si>
  <si>
    <t>e1548866</t>
  </si>
  <si>
    <t>10.1080/15230430.2018.1548866</t>
  </si>
  <si>
    <t>HF7BR</t>
  </si>
  <si>
    <t>WOS:000454393800001</t>
  </si>
  <si>
    <t>Barth, AM; Clark, PU; Bill, NS; He, F; Pisias, NG</t>
  </si>
  <si>
    <t>Barth, Aaron M.; Clark, Peter U.; Bill, Nicholas S.; He, Feng; Pisias, Nicklas G.</t>
  </si>
  <si>
    <t>Climate evolution across the Mid-Brunhes Transition</t>
  </si>
  <si>
    <t>CLIMATE OF THE PAST</t>
  </si>
  <si>
    <t>ATLANTIC OVERTURNING RESPONSES; EASTERN EQUATORIAL PACIFIC; ANTARCTIC SEA-ICE; LONG-TERM CHANGES; SOUTHERN-OCEAN; MIDPLEISTOCENE TRANSITION; PLEISTOCENE CLIMATE; WESTERN PACIFIC; ATMOSPHERIC CO2; GLACIAL CYCLES</t>
  </si>
  <si>
    <t>The Mid-Brunhes Transition (MBT) began similar to 430 ka with an increase in the amplitude of the 100 kyr climate cycles of the past 800 000 years. The MBT has been identified in ice-core records, which indicate interglaciations became warmer with higher atmospheric CO2 levels after the MBT, and benthic oxygen isotope (delta O-18) records, which suggest that post-MBT interglaciations had higher sea levels and warmer temperatures than pre-MBT interglaciations. It remains unclear, however, whether the MBT was a globally synchronous phenomenon that included other components of the climate system. Here, we further characterize changes in the climate system across the MBT through statistical analyses of ice-core and delta O-18 records as well as sea-surface temperature, benthic carbon isotope, and dust accumulation records. Our results demonstrate that the MBT was a global event with a significant increase in climate variance in most components of the climate system assessed here. However, our results indicate that the onset of high-amplitude variability in temperature, atmospheric CO2, and sea level at similar to 430 ka was preceded by changes in the carbon cycle, ice sheets, and monsoon strength during Marine Isotope Stage (MIS) 14 and MIS 13.</t>
  </si>
  <si>
    <t>[Barth, Aaron M.] Emory &amp; Henry Coll, Dept Geog &amp; Earth &amp; Environm Sci, Emory, VA 24327 USA; [Barth, Aaron M.; Clark, Peter U.; Bill, Nicholas S.; Pisias, Nicklas G.] Oregon State Univ, Coll Earth Ocean &amp; Atmospher Sci, Corvallis, OR 97331 USA; [He, Feng] Univ Wisconsin, Dept Geosci, Madison, WI 53706 USA; [He, Feng] Univ Wisconsin, Nelson Inst Environm Studies, Ctr Climat Res, Madison, WI 53706 USA</t>
  </si>
  <si>
    <t>Oregon State University; University of Wisconsin System; University of Wisconsin Madison; University of Wisconsin System; University of Wisconsin Madison</t>
  </si>
  <si>
    <t>Barth, AM (corresponding author), Emory &amp; Henry Coll, Dept Geog &amp; Earth &amp; Environm Sci, Emory, VA 24327 USA.;Barth, AM (corresponding author), Oregon State Univ, Coll Earth Ocean &amp; Atmospher Sci, Corvallis, OR 97331 USA.</t>
  </si>
  <si>
    <t>abarth@ehc.edu</t>
  </si>
  <si>
    <t>Barth, Aaron M/AFQ-5625-2022; he, feng/HOF-1989-2023; He, Feng/B-3583-2008; IPO, PAGES/JXY-7546-2024</t>
  </si>
  <si>
    <t>Barth, Aaron M/0000-0003-2042-6095; He, Feng/0000-0002-3355-6406; Bill, Nicholas/0000-0002-6473-4092</t>
  </si>
  <si>
    <t>COPERNICUS GESELLSCHAFT MBH</t>
  </si>
  <si>
    <t>GOTTINGEN</t>
  </si>
  <si>
    <t>BAHNHOFSALLEE 1E, GOTTINGEN, 37081, GERMANY</t>
  </si>
  <si>
    <t>1814-9324</t>
  </si>
  <si>
    <t>1814-9332</t>
  </si>
  <si>
    <t>CLIM PAST</t>
  </si>
  <si>
    <t>Clim. Past.</t>
  </si>
  <si>
    <t>10.5194/cp-14-2071-2018</t>
  </si>
  <si>
    <t>Geosciences, Multidisciplinary; Meteorology &amp; Atmospheric Sciences</t>
  </si>
  <si>
    <t>Geology; Meteorology &amp; Atmospheric Sciences</t>
  </si>
  <si>
    <t>HF3PF</t>
  </si>
  <si>
    <t>WOS:000454146300001</t>
  </si>
  <si>
    <t>Szapiro, N; Cavallo, S</t>
  </si>
  <si>
    <t>Szapiro, Nicholas; Cavallo, Steven</t>
  </si>
  <si>
    <t>TPVTrack v1.0: a watershed segmentation and overlap correspondence method for tracking tropopause polar vortices</t>
  </si>
  <si>
    <t>GEOSCIENTIFIC MODEL DEVELOPMENT</t>
  </si>
  <si>
    <t>OBJECTIVE IDENTIFICATION; CYCLONES; STRATOSPHERE; CLIMATOLOGY; PERFORMANCE; FEATURES; IMPACT; MODEL</t>
  </si>
  <si>
    <t>A new free modular software package is described for tracking tropopause polar vortices (TPVs) natively on structured or unstructured grids. Motivated by limitations in spatial characterization and time tracking within existing approaches, TPVTrack mimics the expected dynamics of TPVs to represent their (1) spatial structure, with variable shapes and intensities, and (2) time evolution, with mergers and splits. TPVs are segmented from the gridded flow field into spatial objects as restricted regional watershed basins on the tropopause, described by geometric metrics, associated over time by overlap similarity into major and minor correspondences, and tracked along major correspondences. Simplified segmentation and correspondence test cases illustrate some of the appeal, sensitivities, and limitations of TPVTrack, including effective representation of spatial shape and reduced false positive associations in time. Tracked TPVs in more realistic historical conditions are consistent in bulk with expectations of life cycle and mean structure. Individual tracks are less reliable when discriminating among multiple overlaps. Modifications to track other physical features are possible, with each application requiring evaluation.</t>
  </si>
  <si>
    <t>[Szapiro, Nicholas; Cavallo, Steven] Univ Oklahoma, Sch Meteorol, Norman, OK 73019 USA</t>
  </si>
  <si>
    <t>University of Oklahoma System; University of Oklahoma - Norman</t>
  </si>
  <si>
    <t>Szapiro, N (corresponding author), Univ Oklahoma, Sch Meteorol, Norman, OK 73019 USA.</t>
  </si>
  <si>
    <t>nick.szapiro@ou.edu</t>
  </si>
  <si>
    <t>Cavallo, Steven/O-5890-2019</t>
  </si>
  <si>
    <t>Cavallo, Steven/0000-0002-9032-2542; Szapiro, Nicholas/0000-0002-4391-6049</t>
  </si>
  <si>
    <t>Office of Naval Research [N00015-1-2220]</t>
  </si>
  <si>
    <t>Office of Naval Research(Office of Naval Research)</t>
  </si>
  <si>
    <t>The authors thank the members of the University of Oklahoma Arctic and Antarctic Research Group for discussion, especially Christopher Riedel for running the WRF simulations. The authors thank topical editor Juan Antonio Anel and reviews from Baird Langenbrunner and the anonymous referee for providing constructive comments. This work has been supported by the Office of Naval Research award N00015-1-2220.</t>
  </si>
  <si>
    <t>1991-959X</t>
  </si>
  <si>
    <t>1991-9603</t>
  </si>
  <si>
    <t>GEOSCI MODEL DEV</t>
  </si>
  <si>
    <t>Geosci. Model Dev.</t>
  </si>
  <si>
    <t>10.5194/gmd-11-5173-2018</t>
  </si>
  <si>
    <t>HF3CU</t>
  </si>
  <si>
    <t>WOS:000454113900001</t>
  </si>
  <si>
    <t>Organelli, E; Dall'Olmo, G; Brewin, RJW; Tarran, GA; Boss, E; Bricaud, A</t>
  </si>
  <si>
    <t>Organelli, Emanuele; Dall'Olmo, Giorgio; Brewin, Robert J. W.; Tarran, Glen A.; Boss, Emmanuel; Bricaud, Annick</t>
  </si>
  <si>
    <t>The open-ocean missing backscattering is in the structural complexity of particles</t>
  </si>
  <si>
    <t>NATURE COMMUNICATIONS</t>
  </si>
  <si>
    <t>INHERENT OPTICAL-PROPERTIES; HIGH-RESOLUTION OBSERVATIONS; PARTICULATE ORGANIC-CARBON; LIGHT-SCATTERING; BEAM ATTENUATION; PHYTOPLANKTON CARBON; DIEL VARIABILITY; REFRACTIVE-INDEX; COEFFICIENTS; ABSORPTION</t>
  </si>
  <si>
    <t>Marine microscopic particles profoundly impact global biogeochemical cycles, but our understanding of their dynamics is hindered by lack of observations. To fill this gap, optical backscattering measured by satellite sensors and in-situ autonomous platforms can be exploited. Unfortunately, these observations remain critically limited by an incomplete mechanistic understanding of what particles generate the backscattering signal. To achieve this understanding, optical models are employed. The simplest of these models-the homogeneous sphere-severely underestimates the measured backscattering and the missing signal has been attributed to submicron particles. This issue is known as the missing backscattering enigma. Here we show that a slightly more complex optical model-the coated sphere-can predict the measured backscattering and suggests that most of the signal comes from particles &gt;1 mu m. These findings were confirmed by independent size-fractionation experiments. Our results demonstrate that the structural complexity of particles is critical to understand open-ocean backscattering and contribute to solving the enigma.</t>
  </si>
  <si>
    <t>[Organelli, Emanuele; Dall'Olmo, Giorgio; Brewin, Robert J. W.; Tarran, Glen A.] Plymouth Marine Lab, Prospect Pl, Plymouth PL1 3DH, Devon, England; [Organelli, Emanuele; Bricaud, Annick] Sorbonne Univ, CNRS, LOV, F-06230 Villefranche Sur Mer, France; [Dall'Olmo, Giorgio; Brewin, Robert J. W.] Plymouth Marine Lab, Natl Ctr Earth Observat, Prospect Pl, Plymouth PL1 3DH, Devon, England; [Boss, Emmanuel] Univ Maine, Sch Marine Sci, Orono, ME 04469 USA</t>
  </si>
  <si>
    <t>Plymouth Marine Laboratory; Sorbonne Universite; Centre National de la Recherche Scientifique (CNRS); Plymouth Marine Laboratory; UK Research &amp; Innovation (UKRI); Natural Environment Research Council (NERC); NERC National Centre for Earth Observation; University of Maine System; University of Maine Orono</t>
  </si>
  <si>
    <t>Organelli, E (corresponding author), Plymouth Marine Lab, Prospect Pl, Plymouth PL1 3DH, Devon, England.;Organelli, E (corresponding author), Sorbonne Univ, CNRS, LOV, F-06230 Villefranche Sur Mer, France.</t>
  </si>
  <si>
    <t>emanuele.organelli@obs-vlfr.fr</t>
  </si>
  <si>
    <t>Boss, Emmanuel/C-5765-2009; Boss, Emmanuel/AAF-2336-2019; Organelli, Emanuele/AAZ-4144-2020</t>
  </si>
  <si>
    <t>Boss, Emmanuel/0000-0002-8334-9595; Organelli, Emanuele/0000-0001-8191-8179; Brewin, Robert/0000-0001-5134-8291</t>
  </si>
  <si>
    <t>European Union [706781]; UK Natural Environment Research Council National Capability funding; National Oceanography Centre, Southampton; AMT programme [326]; European Space Agency (ESA) [ESRIN/RFQ/3-14457/16/I-BG]; NASA [NNX10AT70G, NNX15AC08G]; Marie Curie Actions (MSCA) [706781] Funding Source: Marie Curie Actions (MSCA); NASA [NNX10AT70G, 122855] Funding Source: Federal RePORTER; NERC [pml010008, NE/R015953/1, NE/R016518/1, nceo020006, NE/P003443/1, pml010009, pml010007] Funding Source: UKRI</t>
  </si>
  <si>
    <t>European Union(European Union (EU)); UK Natural Environment Research Council National Capability funding(UK Research &amp; Innovation (UKRI)Natural Environment Research Council (NERC)); National Oceanography Centre, Southampton; AMT programme; European Space Agency (ESA)(European Space Agency); NASA(National Aeronautics &amp; Space Administration (NASA)); Marie Curie Actions (MSCA)(Marie Curie Actions); NASA(National Aeronautics &amp; Space Administration (NASA)); NERC(UK Research &amp; Innovation (UKRI)Natural Environment Research Council (NERC))</t>
  </si>
  <si>
    <t>The authors would like to thank the captains, chief scientists, officers and crew of the RRS James Cook (UK National Oceanography Centre) and the RRS James Clark Ross (British Antarctic Survey) for the help they provided during AMT22 and AMT26 field expeditions. We thank Kristen Reifel and Virginie van Dongen-Vogels for helping in data collection during AMT22. We thank Herve Claustre for insightful conversations. This study has been conducted in the frame of the REOPTIMIZE-REmineralisation, OPTIcs and Marine partIcle siZE project. This project has received funding from the European Union's Horizon 2020 research and innovation programme under the Marie Sklodowska-Curie grant agreement No 706781 (assigned to E. Organelli and the Plymouth Marine Laboratory). This study is a contribution to the international IMBeR project and was supported by the UK Natural Environment Research Council National Capability funding to Plymouth Marine Laboratory and the National Oceanography Centre, Southampton. This is contribution number 326 of the AMT programme. Optics data collection by G.D. and R.J.W.B. during AMT26 was supported by the European Space Agency (ESA) contract: Copernicus Sentinel Atlantic Meridional Transect Fiducial Reference Measurements Campaign (AMT4SentinelFRM; grant ESRIN/RFQ/3-14457/16/I-BG to Gavin Tilstone and the Plymouth Marine Laboratory). Data collection by G. D. during AMT22 was funded by NASA (grant NNX10AT70G to Mike Behrenfeld and the Oregon State University). E.B. was supported by NASA (Grant NNX15AC08G). We thank Steven Lohrenz, Kenneth Voss, and an anonymous reviewer for their constructive comments on a previous version of the manuscript.</t>
  </si>
  <si>
    <t>2041-1723</t>
  </si>
  <si>
    <t>NAT COMMUN</t>
  </si>
  <si>
    <t>Nat. Commun.</t>
  </si>
  <si>
    <t>10.1038/s41467-018-07814-6</t>
  </si>
  <si>
    <t>HF3LW</t>
  </si>
  <si>
    <t>Green Published, gold, Green Accepted</t>
  </si>
  <si>
    <t>WOS:000454137600020</t>
  </si>
  <si>
    <t>Voosen, P</t>
  </si>
  <si>
    <t>Voosen, Paul</t>
  </si>
  <si>
    <t>Antarctic ice melt 125,000 years ago offers warning</t>
  </si>
  <si>
    <t>SCIENCE</t>
  </si>
  <si>
    <t>AMER ASSOC ADVANCEMENT SCIENCE</t>
  </si>
  <si>
    <t>1200 NEW YORK AVE, NW, WASHINGTON, DC 20005 USA</t>
  </si>
  <si>
    <t>0036-8075</t>
  </si>
  <si>
    <t>1095-9203</t>
  </si>
  <si>
    <t>Science</t>
  </si>
  <si>
    <t>10.1126/science.362.6421.1339</t>
  </si>
  <si>
    <t>HF0IS</t>
  </si>
  <si>
    <t>WOS:000453845000018</t>
  </si>
  <si>
    <t>Thorat, L; Nath, BB</t>
  </si>
  <si>
    <t>Thorat, Leena; Nath, Bimalendu B.</t>
  </si>
  <si>
    <t>Insects With Survival Kits for Desiccation Tolerance Under Extreme Water Deficits</t>
  </si>
  <si>
    <t>FRONTIERS IN PHYSIOLOGY</t>
  </si>
  <si>
    <t>insect ecology; humidity; temperature; climate change; stress; desiccation tolerance; anhydrobiosis; adaptation</t>
  </si>
  <si>
    <t>DROSOPHILA-MELANOGASTER LARVAE; DRY-SEASON SURVIVAL; ANTARCTIC MIDGE; HEAT-SHOCK; POLYPEDILUM-VANDERPLANKI; FLESH FLY; ANHYDROBIOTIC INSECT; DROUGHT ACCLIMATION; GENE-EXPRESSION; CLIMATE-CHANGE</t>
  </si>
  <si>
    <t>The year 2002 marked the tercentenary of Antonie van Leeuwenhoek's discovery of desiccation tolerance in animals. This remarkable phenomenon to sustain ` life' in the absence of water can be revived upon return of hydrating conditions. Today, coping with climate change-related factors, especially temperature-humidity imbalance, is a global challenge. Under such adverse circumstances, desiccation tolerance remains a prime mechanism of several plants and a few animals to escape the hostile consequences of fluctuating hydroperiodicity patterns in their habitats. Among small animals, insects have demonstrated impressive resilience to dehydration and thrive under physiological water deficits without compromising on revival and survival upon rehydration. The focus of this review is to compile research insights on insect desiccation tolerance, gathered over the past several decades from numerous laboratories worldwide working on different insect groups. We provide a comparative overview of species-specific behavioral changes, adjustments in physiological biochemistry and cellular and molecular mechanisms as few of the noteworthy desiccation-responsive survival kits in insects. Finally, we highlight the role of insects as potential mechanistic models in tracking global warming which will form the basis for translational research to mitigate periods of climatic uncertainty predicted for the future.</t>
  </si>
  <si>
    <t>[Thorat, Leena; Nath, Bimalendu B.] Savitribai Phule Pune Univ, Dept Zool, Stress Biol Res Lab, Pune, Maharashtra, India</t>
  </si>
  <si>
    <t>Savitribai Phule Pune University</t>
  </si>
  <si>
    <t>Thorat, L; Nath, BB (corresponding author), Savitribai Phule Pune Univ, Dept Zool, Stress Biol Res Lab, Pune, Maharashtra, India.</t>
  </si>
  <si>
    <t>leenathorat@gmail.com; bbnath@gmail.com</t>
  </si>
  <si>
    <t>Nath, Bimalendu B./AAP-8450-2020</t>
  </si>
  <si>
    <t>UGC-ISF joint Indo-Israel Research Program [UGC-018 (191)]; UGC-CAS (Phase-III) grant</t>
  </si>
  <si>
    <t>UGC-ISF joint Indo-Israel Research Program; UGC-CAS (Phase-III) grant</t>
  </si>
  <si>
    <t>BN is thankful to partial funding received from UGC-ISF joint Indo-Israel Research Program [UGC-018 (191)] and UGC-CAS (Phase-III) grant. LT is grateful for logistic support received from the DBT Bio-CARe grant. The funders had no role in manuscript design, preparation or decision to publish.</t>
  </si>
  <si>
    <t>FRONTIERS MEDIA SA</t>
  </si>
  <si>
    <t>LAUSANNE</t>
  </si>
  <si>
    <t>AVENUE DU TRIBUNAL FEDERAL 34, LAUSANNE, CH-1015, SWITZERLAND</t>
  </si>
  <si>
    <t>1664-042X</t>
  </si>
  <si>
    <t>FRONT PHYSIOL</t>
  </si>
  <si>
    <t>Front. Physiol.</t>
  </si>
  <si>
    <t>10.3389/fphys.2018.01843</t>
  </si>
  <si>
    <t>Physiology</t>
  </si>
  <si>
    <t>HF3AG</t>
  </si>
  <si>
    <t>WOS:000454107300004</t>
  </si>
  <si>
    <t>Münch, T; Laepple, T</t>
  </si>
  <si>
    <t>Muench, Thomas; Laepple, Thomas</t>
  </si>
  <si>
    <t>What climate signal is contained in decadal- to centennial-scale isotope variations from Antarctic ice cores?</t>
  </si>
  <si>
    <t>DRONNING MAUD-LAND; WEST ANTARCTICA; KOHNEN STATION; SURFACE SNOW; STABLE-ISOTOPES; WATER ISOTOPES; TEMPERATURE; VARIABILITY; FIRN; PRECIPITATION</t>
  </si>
  <si>
    <t>Ice-core-based records of isotopic composition are a proxy for past temperatures and can thus provide information on polar climate variability over a large range of timescales. However, individual isotope records are affected by a multitude of processes that may mask the true temperature variability. The relative magnitude of climate and non-climate contributions is expected to vary as a function of timescale, and thus it is crucial to determine those temporal scales on which the actual signal dominates the noise. At present, there are no reliable estimates of this timescale dependence of the signal-to-noise ratio (SNR). Here, we present a simple method that applies spectral analyses to stable-isotope data from multiple cores to estimate the SNR, and the signal and noise variability, as a function of timescale. The method builds on separating the contributions from a common signal and from local variations and includes a correction for the effects of diffusion and time uncertainty. We apply our approach to firn-core arrays from Dronning Maud Land (DML) in East Antarctica and from the West Antarctic Ice Sheet (WAIS). For DML and decadal to multi-centennial timescales, we find an increase in the SNR by nearly 1 order of magnitude (similar to 0.2 at decadal and similar to 1.0 at multi-centennial scales). The estimated spectrum of climate variability also shows increasing variability towards longer timescales, contrary to what is traditionally inferred from single records in this region. In contrast, the inferred variability spectrum for WAIS stays close to constant over decadal to centennial timescales, and the results even suggest a decrease in SNR over this range of timescales. We speculate that these differences between DML and WAIS are related to differences in the spatial and temporal scales of the isotope signal, highlighting the potentially more homogeneous atmospheric conditions on the Antarctic Plateau in contrast to the marine-influenced conditions on WAIS. In general, our approach provides a methodological basis for separating local proxy variability from coherent climate variations, which is applicable to a large set of palaeoclimate records.</t>
  </si>
  <si>
    <t>[Muench, Thomas; Laepple, Thomas] Helmholtz Zentrum Polar &amp; Meeresforsch, Alfred Wegener Inst, Res Unit Potsdam, Telegrafenberg A45, D-14473 Potsdam, Germany; [Muench, Thomas] Univ Potsdam, Inst Phys &amp; Astron, Karl Liebknecht Str 24-25, D-14476 Golm, Germany</t>
  </si>
  <si>
    <t>Helmholtz Association; Alfred Wegener Institute, Helmholtz Centre for Polar &amp; Marine Research; University of Potsdam</t>
  </si>
  <si>
    <t>Münch, T (corresponding author), Helmholtz Zentrum Polar &amp; Meeresforsch, Alfred Wegener Inst, Res Unit Potsdam, Telegrafenberg A45, D-14473 Potsdam, Germany.;Münch, T (corresponding author), Univ Potsdam, Inst Phys &amp; Astron, Karl Liebknecht Str 24-25, D-14476 Golm, Germany.</t>
  </si>
  <si>
    <t>thomas.muench@awi.de</t>
  </si>
  <si>
    <t>Münch, Thomas/AAC-9281-2019; Laepple, Thomas/M-8783-2015</t>
  </si>
  <si>
    <t>Münch, Thomas/0000-0002-5492-7544; Laepple, Thomas/0000-0001-8108-7520</t>
  </si>
  <si>
    <t>Helmholtz funding through the Polar Regions and Coasts in the Changing Earth System (PACES) programme of the Alfred Wegener Institute; Initiative and Networking Fund of the Helmholtz Association [VG-NH900]; European Research Council (ERC) under the European Union's Horizon 2020 research and innovation programme [716092]</t>
  </si>
  <si>
    <t>Helmholtz funding through the Polar Regions and Coasts in the Changing Earth System (PACES) programme of the Alfred Wegener Institute; Initiative and Networking Fund of the Helmholtz Association; European Research Council (ERC) under the European Union's Horizon 2020 research and innovation programme(European Research Council (ERC))</t>
  </si>
  <si>
    <t>We thank all scientists, technicians and the logistic personnel who contributed to the sampling of the firn cores and the measurement of the used stable-isotope data, and we are grateful for making the data publicly available. We are thankful for valuable discussions with and comments by Torben Kunz, Jurgen Kurths, Johannes Freitag and Maria Horhold. All plots and numerical analyses were carried out using the open-source software R: A Language and Environment for Statistical Computing. This project was supported by Helmholtz funding through the Polar Regions and Coasts in the Changing Earth System (PACES) programme of the Alfred Wegener Institute, by the Initiative and Networking Fund of the Helmholtz Association Grant VG-NH900 and by the European Research Council (ERC) under the European Union's Horizon 2020 research and innovation programme (grant agreement no. 716092). It further contributes to the German BMBF project PalMod. We thank Lukas Jonkers for his kind handling of the manuscript as well as Dmitry Divine and one anonymous referee for their detailed review and helpful comments.</t>
  </si>
  <si>
    <t>DEC 20</t>
  </si>
  <si>
    <t>10.5194/cp-14-2053-2018</t>
  </si>
  <si>
    <t>HF2GH</t>
  </si>
  <si>
    <t>WOS:000454054500002</t>
  </si>
  <si>
    <t>Cimatti, AG; Martini, S; Munarini, A; Zioutas, M; Vitali, F; Aceti, A; Mantovani, V; Faldella, G; Corvaglia, L</t>
  </si>
  <si>
    <t>Cimatti, Anna Giulia; Martini, Silvia; Munarini, Alessandra; Zioutas, Maximilano; Vitali, Francesca; Aceti, Arianna; Mantovani, Vilma; Faldella, Giacomo; Corvaglia, Luigi</t>
  </si>
  <si>
    <t>Maternal Supplementation With Krill Oil During Breastfeeding and Long-Chain Polyunsaturated Fatty Acids (LCPUFAs) Composition of Human Milk: A Feasibility Study</t>
  </si>
  <si>
    <t>FRONTIERS IN PEDIATRICS</t>
  </si>
  <si>
    <t>LCPUFA; DHA; AA; EPA; breast milk; supplementation; krill oil; lactation</t>
  </si>
  <si>
    <t>DOCOSAHEXAENOIC ACID; FISH-OIL; PRETERM; INFANTS; AGE; LACTATION; NUTRIENTS; 22/6N-3; PLASMA; HEALTH</t>
  </si>
  <si>
    <t>Background: Docosahexaenoic acid (DHA) is amajor constituent of neuronal and retinal membranes and plays a crucial role in brain and visual development within the first months of life. Dietary intakes are fundamental to provide neonates with adequate DHA supply; hence, maternal supplementation might represent a useful strategy to implement DHA contents in breast milk (BM), with possible benefits on neonatal neurodevelopment. Antarctic krill is a small crustacean rich in highly available phospholipid-bound DHA. This pilot study aimed to evaluate whether maternal supplementation with krill oil during breastfeeding increases long-chain polyunsaturated fatty acids (LCPUFAs) BM contents. Methods: Mothers of infants admitted to the Neonatal Intensive Care Unit were enrolled in this open, randomized-controlled study between 4 and 6 weeks after delivery and randomly allocated in 2 groups. Group 1 received an oral krill oil-based supplement providing 250mg/day of DHA and 70mg/day of eicosapentaenoic acid (EPA) for 30 days; group 2 served as control. BM samples from both groups were collected at baseline (T0) and day 30 (T1) and underwent a qualitative analysis of LCPUFAs composition by gas chromatography/mass spectrometry. Results: Sixteen breastfeeding women were included. Of these, 8 received krill-oil supplementation and 8 were randomized to the control group. Baseline percentage values of DHA (% DHA), arachidonic acid (% AA), and EPA (% EPA) did not differ between groups. A significant increase in % DHA (T0: median 0.23% [IQR 0.19; 0.38], T1: 0.42%[0.32; 0.49], p 0.012) and% EPA (T0: median 0.10%[IQR 0.04; 0.11], T1: 0.11% [0.04; 0.15], p 0.036) and a significant reduction in % AA (T0: median 0.48% [IQR 0.42; 0.75], T1: 0.43% [0.38; 0.61], p 0.017) between T0 and T1 occurred in Group 1, whereas no difference was seen in Group 2. Consistently, a significant between-group difference was observed in percentage changes from baseline of DHA (Delta% DHA, group 1: median 64.2% [IQR 27.5; 134.6], group 2: -7.8% [-12.1;-3.13], p 0.025) and EPA (Delta% EPA, group 1: median 39% [IQR 15.7; 73.4]; group 2: -25.62% [-32.7;-3.4], p 0.035). Conclusions: Oral krill oil supplementation effectively increases DHA and EPA contents in BM. Potential benefits of this strategy on brain and visual development in breastfed preterm neonates deserve further evaluation in targeted studies.</t>
  </si>
  <si>
    <t>[Cimatti, Anna Giulia; Martini, Silvia; Vitali, Francesca; Aceti, Arianna; Faldella, Giacomo; Corvaglia, Luigi] S Orsola Malpighi Univ Hosp, Neonatal Intens Care Unit, Bologna, Italy; [Cimatti, Anna Giulia; Martini, Silvia; Munarini, Alessandra; Vitali, Francesca; Aceti, Arianna; Mantovani, Vilma; Faldella, Giacomo] Univ Bologna, Dept Med &amp; Surg Sci, Bologna, Italy; [Munarini, Alessandra; Mantovani, Vilma] S Orsola Malpighl Univ Hosp, Ctr Appl Biochem Res, Dept Clin Med, Bologna, Italy; [Zioutas, Maximilano] S Orsola Malpighi Univ Hosp, Dept Pediat, Pediat Endocrinol, Bologna, Italy</t>
  </si>
  <si>
    <t>IRCCS Azienda Ospedaliero-Universitaria di Bologna; University of Bologna; IRCCS Azienda Ospedaliero-Universitaria di Bologna; IRCCS Azienda Ospedaliero-Universitaria di Bologna</t>
  </si>
  <si>
    <t>Martini, S (corresponding author), S Orsola Malpighi Univ Hosp, Neonatal Intens Care Unit, Bologna, Italy.;Martini, S (corresponding author), Univ Bologna, Dept Med &amp; Surg Sci, Bologna, Italy.</t>
  </si>
  <si>
    <t>silvia.martini@gmail.com</t>
  </si>
  <si>
    <t>Aceti, Arianna/AAB-4007-2019; Martini, Silvia/J-5944-2018</t>
  </si>
  <si>
    <t>Aceti, Arianna/0000-0001-9274-985X; Martini, Silvia/0000-0003-2078-7114</t>
  </si>
  <si>
    <t>2296-2360</t>
  </si>
  <si>
    <t>FRONT PEDIATR</t>
  </si>
  <si>
    <t>Front. Pediatr.</t>
  </si>
  <si>
    <t>10.3389/fped.2018.00407</t>
  </si>
  <si>
    <t>Pediatrics</t>
  </si>
  <si>
    <t>HF0YE</t>
  </si>
  <si>
    <t>WOS:000453890300002</t>
  </si>
  <si>
    <t>Piccolin, F; Suberg, L; King, R; Kawaguchi, S; Meyer, B; Teschke, M</t>
  </si>
  <si>
    <t>Piccolin, Fabio; Suberg, Lavinia; King, Robert; Kawaguchi, So; Meyer, Bettina; Teschke, Mathias</t>
  </si>
  <si>
    <t>The Seasonal Metabolic Activity Cycle of Antarctic Krill (Euphausia superba): Evidence for a Role of Photoperiod in the Regulation of Endogenous Rhythmicity</t>
  </si>
  <si>
    <t>growth; oxygen consumption; enzyme activity; gene expression; clock genes; circannual clock</t>
  </si>
  <si>
    <t>SIMULATED LIGHT REGIMES; MICRONEKTONIC CRUSTACEA; MATURITY CYCLE; TIME; RESPIRATION; MODEL; TRANSCRIPTION; LIKELIHOOD; SHRINKAGE; LARVAL</t>
  </si>
  <si>
    <t>Antarctic krill (Euphausia superba), a key species in the Southern Ocean, reduce their metabolism as an energy saving mechanism in response to the harsh environmental conditions during the Antarctic winter. Although the adaptive significance of this seasonal metabolic shift seems obvious, the driving factors are still unclear. In particular, it is debated whether the seasonal metabolic cycle is driven by changes in food availability, or if an endogenous timing system entrained by photoperiod might be involved. In this study, we used different long-term photoperiodic simulations to examine the influence of light regime and endogenous rhythmicity on the regulation of krill seasonal metabolic cycle. Krill showed a seasonal cycle of growth characterized by null-to-negative growth rates during autumn-winter and positive growth rates during spring-summer, which was manifested also in constant darkness, indicating strong endogenous regulation. Similar endogenous cycles were observed for the activity of the key-metabolic enzyme malate dehydrogenase (MDH) and for the expression levels of a selection of metabolic-related genes, with higher values in spring-summer and lower values in autumn-winter. On the other side, a seasonal cycle of oxygen consumption was observed only when krill were exposed to simulated seasonal changes in photoperiod, indicating that light-related cues might play a major role in the regulation of krill oxygen consumption. The influence of light-regime on oxygen consumption was minimal during winter, when light-phase duration was below 8 h, and it was maximal during summer, when light-phase duration was above 16 h. Significant upregulation of the krill clock genes clk, cry2, and tim1, as well as of the circadian-related opsins rh1a and rrh, was observed after light-phase duration had started to decrease in early autumn, suggesting the presence of a signaling cascade linking specific seasonal changes in the Antarctic light regime with clock gene activity and the regulation of krill metabolic dormancy over the winter.</t>
  </si>
  <si>
    <t>[Piccolin, Fabio; Suberg, Lavinia; Meyer, Bettina; Teschke, Mathias] Helmholtz Ctr Polar &amp; Marine Res, Alfred Wegener Inst, Sect Polar Biol Oceanog, Bremerhaven, Germany; [Suberg, Lavinia; Meyer, Bettina] Carl von Ossietzky Univ Oldenburg, Inst Chem &amp; Biol Marine Environm, Oldenburg, Germany; [King, Robert; Kawaguchi, So] Australian Antarctic Div, Dept Environm &amp; Energy, Kingston, Tas, Australia; [Kawaguchi, So] Antarctic Climate &amp; Ecosyst Cooperat Res Ctr, Battery Point, Tas, Australia; [Meyer, Bettina] Carl von Ossietzky Univ Oldenburg, HIFMB, Oldenburg, Germany</t>
  </si>
  <si>
    <t>Helmholtz Association; Alfred Wegener Institute, Helmholtz Centre for Polar &amp; Marine Research; Carl von Ossietzky Universitat Oldenburg; Australian Antarctic Division; Antarctic Climate &amp; Ecosystems Cooperative Research Centre (ACE CRC); Carl von Ossietzky Universitat Oldenburg</t>
  </si>
  <si>
    <t>Piccolin, F; Meyer, B (corresponding author), Helmholtz Ctr Polar &amp; Marine Res, Alfred Wegener Inst, Sect Polar Biol Oceanog, Bremerhaven, Germany.;Meyer, B (corresponding author), Carl von Ossietzky Univ Oldenburg, Inst Chem &amp; Biol Marine Environm, Oldenburg, Germany.;Meyer, B (corresponding author), Carl von Ossietzky Univ Oldenburg, HIFMB, Oldenburg, Germany.</t>
  </si>
  <si>
    <t>fabiopiccolo@hotmail.com; bettina.meyer@awi.de</t>
  </si>
  <si>
    <t>Meyer, Bettina/ABB-5311-2020</t>
  </si>
  <si>
    <t>Meyer, Bettina/0000-0001-6804-9896; King, Robert/0000-0002-4650-2335; Piccolin, Fabio/0000-0001-5275-3416</t>
  </si>
  <si>
    <t>Helmholtz Virtual Institute PolarTime [VH-VI-500]; Alfred Wegener Institute Helmholtz Centre for Polar and Marine Research; Australian Antarctic Science Program [4037]</t>
  </si>
  <si>
    <t>Helmholtz Virtual Institute PolarTime; Alfred Wegener Institute Helmholtz Centre for Polar and Marine Research; Australian Antarctic Science Program</t>
  </si>
  <si>
    <t>This work was funded by the Helmholtz Virtual Institute PolarTime (VH-VI-500: Biological timing in a changing marine environment - clocks and rhythms in polar pelagic organisms) and contributes to the PACES (Polar Regions and Coasts in a Changing Earth System) program (Topic 1, WP 5) of the Alfred Wegener Institute Helmholtz Centre for Polar and Marine Research, and Australian Antarctic Science Program Project no. 4037 (Experimental krill biology: Response of krill to environmental change).</t>
  </si>
  <si>
    <t>10.3389/fphys.2018.01715</t>
  </si>
  <si>
    <t>HF0ZK</t>
  </si>
  <si>
    <t>WOS:000453894300001</t>
  </si>
  <si>
    <t>Pollard, D; DeConto, RM; Alley, RB</t>
  </si>
  <si>
    <t>Pollard, David; DeConto, Robert M.; Alley, Richard B.</t>
  </si>
  <si>
    <t>A continuum model (PSUMEL1) of ice melange and its role during retreat of the Antarctic Ice Sheet</t>
  </si>
  <si>
    <t>JAKOBSHAVN ISBRAE; SEA-ICE; HELHEIM GLACIER; GREENLAND; SHELF; TERMINUS; DYNAMICS; SIMULATIONS; VARIABILITY; COLLAPSE</t>
  </si>
  <si>
    <t>Rapidly retreating thick ice fronts can generate large amounts of melange (floating ice debris), which may affect episodes of rapid retreat of Antarctic marine ice. In modern Greenland fjords, melange provides substantial back pressure on calving ice faces, which slows ice front calving rates. On the much larger scales of West Antarctica, it is unknown if melange could clog seaways and provide enough back pressure to act as a negative feedback slowing retreat. Here we describe a new melange model, using a continuum-mechanical formulation that is computationally feasible for long-term continental Antarctic applications. It is tested in an idealized rectangular channel and calibrated very basically using observed modern conditions in Jakobshavn fjord, West Greenland. The model is then applied to drastic retreat of Antarctic ice in response to warm mid-Pliocene climate. With melange parameter values that yield reasonable modern Jakobshavn results, Antarctic marine ice still retreats drastically in the Pliocene simulations, with little slowdown despite the huge amounts of melange generated. This holds both for the rapid early collapse of West Antarctica and for later retreat into major East Antarctic basins. If parameter values are changed to make the melange much more resistive to flow, far outside the range for reasonable Jakobshavn results, West Antarctica still collapses and retreat is slowed or prevented only in a few East Antarctic basins.</t>
  </si>
  <si>
    <t>[Pollard, David; Alley, Richard B.] Penn State Univ, Earth &amp; Environm Syst Inst, University Pk, PA 16802 USA; [DeConto, Robert M.] Univ Massachusetts, Dept Geosci, Amherst, MA 01003 USA; [Alley, Richard B.] Penn State Univ, Dept Geosci, University Pk, PA 16802 USA</t>
  </si>
  <si>
    <t>Pennsylvania Commonwealth System of Higher Education (PCSHE); Pennsylvania State University; Pennsylvania State University - University Park; University of Massachusetts System; University of Massachusetts Amherst; Pennsylvania Commonwealth System of Higher Education (PCSHE); Pennsylvania State University; Pennsylvania State University - University Park</t>
  </si>
  <si>
    <t>Pollard, D (corresponding author), Penn State Univ, Earth &amp; Environm Syst Inst, University Pk, PA 16802 USA.</t>
  </si>
  <si>
    <t>pollard@essc.psu.edu</t>
  </si>
  <si>
    <t>Alley, Richard/0000-0003-1833-0115</t>
  </si>
  <si>
    <t>National Science Foundation [OCE-1202632, GEO-1240507, ANT-1341394, PLR-1443190, ANT-1542778, ICER-1663693]; Office of Polar Programs (OPP); Directorate For Geosciences [1443394] Funding Source: National Science Foundation</t>
  </si>
  <si>
    <t>National Science Foundation(National Science Foundation (NSF)); Office of Polar Programs (OPP); Directorate For Geosciences(National Science Foundation (NSF)NSF - Directorate for Geosciences (GEO))</t>
  </si>
  <si>
    <t>We thank Jason Amundson and Nicholas Golledge for their careful and helpful reviews. This work was supported by National Science Foundation grants OCE-1202632, GEO-1240507, ANT-1341394, PLR-1443190, ANT-1542778, and ICER-1663693.</t>
  </si>
  <si>
    <t>10.5194/gmd-11-5149-2018</t>
  </si>
  <si>
    <t>HF1LZ</t>
  </si>
  <si>
    <t>WOS:000453929100001</t>
  </si>
  <si>
    <t>Spiekman, SNF</t>
  </si>
  <si>
    <t>Spiekman, Stephan N. F.</t>
  </si>
  <si>
    <t>A new specimen of Prolacerta broomi from the lower Fremouw Formation (Early Triassic) of Antarctica, its biogeographical implications and a taxonomic revision</t>
  </si>
  <si>
    <t>SCIENTIFIC REPORTS</t>
  </si>
  <si>
    <t>KAROO BASIN; ARCHOSAUROMORPH; PROTEROSUCHUS; RHYNCHOSAUR; TETRAPODS; REPTILIA; ANATOMY; SKULL</t>
  </si>
  <si>
    <t>Prolacerta broomi is an Early Triassic archosauromorph of particular importance to the early evolution of archosaurs. It is well known from many specimens from South Africa and a few relatively small specimens from Antarctica. Here, a new articulated specimen from the Fremouw Formation of Antarctica is described in detail. It represents the largest specimen of Prolacerta described to date with a nearly fully articulated and complete postcranium in addition to four skull elements. The study of this specimen and the re-evaluation of other Prolacerta specimens from both Antarctica and South Africa reveal several important new insights into its morphology, most notably regarding the premaxilla, manus, and pelvic girdle. Although well-preserved skull material from Antarctica is still lacking for Prolacerta, a detailed comparison of Prolacerta specimens from Antarctica and South Africa corroborates previous findings that there are no characters clearly distinguishing the specimens from these different regions and therefore the Antarctic material is assigned to Prolacerta broomi. The biogeographical implications of these new findings are discussed. Finally, some osteological characters for Prolacerta are revised and an updated diagnosis and phylogenetic analysis are provided.</t>
  </si>
  <si>
    <t>[Spiekman, Stephan N. F.] Univ Zurich, Palaontol Inst &amp; Museum, Karl Schmid Str 4, CH-8006 Zurich, Switzerland</t>
  </si>
  <si>
    <t>University of Zurich</t>
  </si>
  <si>
    <t>Spiekman, SNF (corresponding author), Univ Zurich, Palaontol Inst &amp; Museum, Karl Schmid Str 4, CH-8006 Zurich, Switzerland.</t>
  </si>
  <si>
    <t>stephanspiekman@gmail.com</t>
  </si>
  <si>
    <t>Spiekman, Stephan/0000-0002-3197-8752</t>
  </si>
  <si>
    <t>NSF [ANT-1146399, ANT-1341304]; Swiss National Science Foundation [205321_162775]; Swiss National Science Foundation (SNF) [205321_162775] Funding Source: Swiss National Science Foundation (SNF)</t>
  </si>
  <si>
    <t>NSF(National Science Foundation (NSF)); Swiss National Science Foundation(Swiss National Science Foundation (SNSF)); Swiss National Science Foundation (SNF)(Swiss National Science Foundation (SNSF))</t>
  </si>
  <si>
    <t>M. Norell and C. Mehling (AMNH), K. Padian and P. Holroyd (UCMP), C. Browning, Z. Skosan and R. Smith (SAM-PK), and J. Choiniere, B. Zipfel, and S. Jirah (BP) are thanked for access to specimens. C. Sidor and M. Rivin (UWBM) are thanked in particular for providing access to UWBM 95529. B. Peecook, O. Rieppel (both Field Museum of Natural History, USA), C. Sidor, N. Fraser (National Museums of Scotland, UK), and T. Scheyer (PIMUZ) are thanked for very helpful discussions. J. Botha-Brink (NMQR) is thanked for discussing the maximum size known for Prolacerta and in providing the measurements of NMQR 3763. M. Rivin is thanked for her help in taking pictures of UWBM 95529. T. Argyriou (PIMUZ) is thanked for discussing phylogenetic methodologies and the use of TNT. The scientific editor and two reviewers are thanked for comments and suggestions that improved the manuscript. The Willi Hennig Society is acknowledged for making TNT available free of charge. UWBM 95529 was collected in the 2010-2011 field season funded by NSF ANT-1146399 and ANT-1341304 granted to C. Sidor. The author was funded through the Swiss National Science Foundation (grant no. 205321_162775 to T. Scheyer).</t>
  </si>
  <si>
    <t>NATURE PORTFOLIO</t>
  </si>
  <si>
    <t>2045-2322</t>
  </si>
  <si>
    <t>SCI REP-UK</t>
  </si>
  <si>
    <t>Sci Rep</t>
  </si>
  <si>
    <t>10.1038/s41598-018-36499-6</t>
  </si>
  <si>
    <t>HF0FX</t>
  </si>
  <si>
    <t>WOS:000453836200002</t>
  </si>
  <si>
    <t>Bowman, JS</t>
  </si>
  <si>
    <t>Bowman, Jeff S.</t>
  </si>
  <si>
    <t>Identification of Microbial Dark Matter in Antarctic Environments</t>
  </si>
  <si>
    <t>FRONTIERS IN MICROBIOLOGY</t>
  </si>
  <si>
    <t>Antarctica; 16S rRNA; glacier; sea ice; cryoconite; sediment; permafrost; snow</t>
  </si>
  <si>
    <t>BACTERIAL COMMUNITY; ICE; DIVERSITY; BENEATH; RARE; SEA</t>
  </si>
  <si>
    <t>Numerous studies have applied molecular techniques to understand the diversity, evolution, and ecological function of Antarctic bacteria and archaea. One common technique is sequencing of the 16S rRNA gene, which produces a nearly quantitative profile of community membership. However, the utility of this and similar approaches is limited by what is known about the evolution, physiology, and ecology of surveyed taxa. When representative genomes are available in public databases some of this information can be gleaned from genomic studies, and automated pipelines exist to carry out this task. Here the paprica metabolic inference pipeline was used to assess how well Antarctic microbial communities are represented by the available completed genomes. The NCBI's Sequence Read Archive (SRA) was searched for Antarctic datasets that used one of the Illumine platforms to sequence the 16S rRNA gene. These data were quality controlled and denoised to identify unique reads, then analyzed with paprica to determine the degree of overlap with the closest phylogenetic neighbor with a completely sequenced genome. While some unique reads had perfect mapping to 16S rRNA genes from completed genomes, the mean percent overlap for all mapped reads was 86.6%. When samples were grouped by environment, some environments appeared more or less well represented by the available genomes. For the domain Bacteria, seawater was particularly poorly represented with a mean overlap of 80.2%, while for the domain Archaea glacial ice was particularly poorly represented with an overlap of only 48.0% for a single sample. These findings suggest that a considerable effort is needed to improve the representation of Antarctic microbes in genome sequence databases.</t>
  </si>
  <si>
    <t>[Bowman, Jeff S.] Univ Calif San Diego, Scripps Inst Oceanog, La Jolla, CA 92093 USA; [Bowman, Jeff S.] Univ Calif San Diego, Ctr Microbiome Innovat, La Jolla, CA 92093 USA</t>
  </si>
  <si>
    <t>University of California System; University of California San Diego; Scripps Institution of Oceanography; University of California System; University of California San Diego</t>
  </si>
  <si>
    <t>Bowman, JS (corresponding author), Univ Calif San Diego, Scripps Inst Oceanog, La Jolla, CA 92093 USA.;Bowman, JS (corresponding author), Univ Calif San Diego, Ctr Microbiome Innovat, La Jolla, CA 92093 USA.</t>
  </si>
  <si>
    <t>jsbowman@ucsd.edu</t>
  </si>
  <si>
    <t>NASA [80NSSC18M010S]; Simons Foundation Early Career Marine Microbial Investigator Fellowship [NSF-OPP 1641019, NSF-OPP 1821911]</t>
  </si>
  <si>
    <t>NASA(National Aeronautics &amp; Space Administration (NASA)); Simons Foundation Early Career Marine Microbial Investigator Fellowship</t>
  </si>
  <si>
    <t>This study was supported by NASA 80NSSC18M010S, a Simons Foundation Early Career Marine Microbial Investigator Fellowship, NSF-OPP 1641019, and NSF-OPP 1821911.</t>
  </si>
  <si>
    <t>1664-302X</t>
  </si>
  <si>
    <t>FRONT MICROBIOL</t>
  </si>
  <si>
    <t>Front. Microbiol.</t>
  </si>
  <si>
    <t>DEC 19</t>
  </si>
  <si>
    <t>10.3389/fmicb.2018.03165</t>
  </si>
  <si>
    <t>HF0MH</t>
  </si>
  <si>
    <t>WOS:000453855200002</t>
  </si>
  <si>
    <t>Hoffmann, R; Pasotti, F; Vázquez, S; Lefaible, N; Torstensson, A; MacCormack, W; Wenzhöfer, F; Braeckman, U</t>
  </si>
  <si>
    <t>Hoffmann, Ralf; Pasotti, Francesca; Vazquez, Susana; Lefaible, Nene; Torstensson, Anders; MacCormack, Walter; Wenzhoefer, Frank; Braeckman, Ulrike</t>
  </si>
  <si>
    <t>Spatial variability of biogeochemistry in shallow coastal benthic communities of Potter Cove (Antarctica) and the impact of a melting glacier</t>
  </si>
  <si>
    <t>PLOS ONE</t>
  </si>
  <si>
    <t>KING-GEORGE-ISLAND; SEA-ICE; MARINE; SEDIMENT; WATER; CARBON; DYNAMICS; BACTERIA; SHELF; MICROSENSOR</t>
  </si>
  <si>
    <t>Measurements of biogeochemical fluxes at the sediment-water interface are essential to investigate organic matter mineralization processes but are rarely performed in shallow coastal areas of the Antarctic. We investigated biogeochemical fluxes across the sediment-water interface in Potter Cove (King George Island/Isla 25 de Mayo) at water depths between 6-9 m. Total fluxes of oxygen and inorganic nutrients were quantified in situ. Diffusive oxygen fluxes were also quantified in situ, while diffusive inorganic nutrient fluxes were calculated from pore water profiles. Biogenic sediment compounds (concentration of pigments, total organic and inorganic carbon and total nitrogen), and benthic prokaryotic, meio-, and macrofauna density and biomass were determined along with abiotic parameters (sediment granulometry and porosity). The measurements were performed at three locations in Potter Cove, which differ in terms of sedimentary influence due to glacial melt. In this study, we aim to assess secondary effects of glacial melting such as ice scouring and particle release on the benthic community and the biogeochemical cycles they mediate. Furthermore, we discuss small-scale spatial variability of biogeochemical fluxes in shallow water depth and the required food supply to cover the carbon demand of Potter Cove's shallow benthic communities. We found enhanced mineralization in soft sediments at one location intermediately affected by glacial melt-related effects, while a reduced mineralization was observed at a location influenced by glacial melting. The benthic macrofauna assemblage constituted the major benthic carbon stock (&gt;87% of total benthic biomass) and was responsible for most benthic organic matter mineralization. However, biomass of the dominant Antarctic bivalve Latemula elliptica, which contributed 39-69% to the total macrofauna biomass, increased with enhanced glacial melt-related influence. This is contrary to the pattern observed for the remaining macrofauna. Our results further indicated that pelagic primary production is able to fully supply Potter Cove's benthic carbon demand. Therefore, Potter Cove seems to be an autotrophic ecosystem in the summer season.</t>
  </si>
  <si>
    <t>[Hoffmann, Ralf; Wenzhoefer, Frank] Helmholtz Zentrum Polar &amp; Meeresforsch, Alfred Wegener Inst, HGF MPG Join Res Grp Deep Sea Ecol &amp; Technol, Bremen, Germany; [Pasotti, Francesca; Lefaible, Nene; Braeckman, Ulrike] Univ Ghent, Marine Biol Res Grp, Ghent, Belgium; [Vazquez, Susana; MacCormack, Walter] Univ Buenos Aires, Catedra Biotecnol, Fac Farm &amp; Bioquim, Buenos Aires, DF, Argentina; [Vazquez, Susana; MacCormack, Walter] Nanobiotec UBA Conicet, Buenos Aires, DF, Argentina; [Torstensson, Anders] Univ Gothenburg, Dept Biol &amp; Environm Sci, Gothenburg, Sweden; [MacCormack, Walter] Inst Antarctico Argentino, San Martin, Buenos Aires, Argentina; [Wenzhoefer, Frank; Braeckman, Ulrike] Max Planck Inst Marine Microbiol, HGF MPG Join Res Grp Deep Sea Ecol &amp; Technol, Bremen, Germany; [Torstensson, Anders] Univ Washington, Sch Oceanog, Seattle, WA 98195 USA</t>
  </si>
  <si>
    <t>Helmholtz Association; Alfred Wegener Institute, Helmholtz Centre for Polar &amp; Marine Research; Ghent University; University of Buenos Aires; University of Gothenburg; Max Planck Society; University of Washington; University of Washington Seattle</t>
  </si>
  <si>
    <t>Hoffmann, R (corresponding author), Helmholtz Zentrum Polar &amp; Meeresforsch, Alfred Wegener Inst, HGF MPG Join Res Grp Deep Sea Ecol &amp; Technol, Bremen, Germany.</t>
  </si>
  <si>
    <t>ralf.hoffmann@awi.de</t>
  </si>
  <si>
    <t>Braeckman, Ulrike/AAJ-4801-2021; Vazquez, Susana/AEP-5214-2022</t>
  </si>
  <si>
    <t>Vazquez, Susana/0000-0002-0760-6254; Mac Cormack, Walter/0000-0002-5280-5463; Braeckman, Ulrike/0000-0002-7558-6363; Hoffmann, Ralf/0000-0001-9799-5662; Torstensson, Anders/0000-0002-8283-656X</t>
  </si>
  <si>
    <t>European Union FP7 Project SenseOCEAN Marine Sensors for the 21st century [614141]; European Union FP7 Project IMCONet [319718]; Alfred-Wegener-Institut, Helmholtz Zentrum fur Polar-und Meeresforschung (PACES); Max-Planck Institute for Marine Microbiology; Research Foundation Flanders (FWO) [1201716N]; vERSO project (Belgian Science Policy Office) [BR/132/A1/vERSO]</t>
  </si>
  <si>
    <t>European Union FP7 Project SenseOCEAN Marine Sensors for the 21st century; European Union FP7 Project IMCONet; Alfred-Wegener-Institut, Helmholtz Zentrum fur Polar-und Meeresforschung (PACES); Max-Planck Institute for Marine Microbiology; Research Foundation Flanders (FWO)(FWO); vERSO project (Belgian Science Policy Office)</t>
  </si>
  <si>
    <t>This research was funded by European Union FP7 Project SenseOCEAN Marine Sensors for the 21st century (Grant agreement no 614141, www.senseocean.eu), by European Union FP7 Project IMCONet (Grant agreement no 319718), by institutional funds of the Alfred-Wegener-Institut, Helmholtz Zentrum fur Polar-und Meeresforschung (PACES), and the Max-Planck Institute for Marine Microbiology. UB is financed by a postdoctoral fellow from the Research Foundation Flanders (FWO; grant no 1201716N). FP is financed by the vERSO project (Belgian Science Policy Office, grant number BR/132/A1/vERSO).</t>
  </si>
  <si>
    <t>PUBLIC LIBRARY SCIENCE</t>
  </si>
  <si>
    <t>SAN FRANCISCO</t>
  </si>
  <si>
    <t>1160 BATTERY STREET, STE 100, SAN FRANCISCO, CA 94111 USA</t>
  </si>
  <si>
    <t>1932-6203</t>
  </si>
  <si>
    <t>PLoS One</t>
  </si>
  <si>
    <t>e0207917</t>
  </si>
  <si>
    <t>10.1371/journal.pone.0207917</t>
  </si>
  <si>
    <t>HE9NT</t>
  </si>
  <si>
    <t>WOS:000453779300020</t>
  </si>
  <si>
    <t>Hill, EA; Gudmundsson, GH; Carr, JR; Stokes, CR</t>
  </si>
  <si>
    <t>Hill, Emily A.; Gudmundsson, G. Hilmar; Carr, J. Rachel; Stokes, Chris R.</t>
  </si>
  <si>
    <t>Velocity response of Petermann Glacier, northwest Greenland, to past and future calving events</t>
  </si>
  <si>
    <t>CRYOSPHERE</t>
  </si>
  <si>
    <t>ICE-SHEET; SEA-ICE; RETREAT; STABILITY; SHELF; GLETSCHER; ACCELERATION; DYNAMICS; MARGINS; BALANCE</t>
  </si>
  <si>
    <t>Dynamic ice discharge from outlet glaciers across the Greenland Ice Sheet has increased since the beginning of the 21st century. Calving from floating ice tongues that buttress these outlets can accelerate ice flow and discharge of grounded ice. However, little is known about the dynamic impact of ice tongue loss in Greenland compared to ice shelf collapse in Antarctica. The rapidly flowing (similar to 1000 m a(-1)) Petermann Glacier in northwest Greenland has one of the ice sheet's last remaining ice tongues, but it lost similar to 50 %-60% (similar to 40 km in length) of this tongue via two large calving events in 2010 and 2012. The glacier showed a limited velocity response to these calving events, but it is unclear how sensitive it is to future ice tongue loss. Here, we use an ice flow model (Ua) to assess the instantaneous velocity response of Petermann Glacier to past and future calving events. Our results confirm that the glacier was dynamically insensitive to large calving events in 2010 and 2012 (&lt; 10% annual acceleration). We then simulate the future loss of similarly sized sections to the 2012 calving event (similar to 8 km long) of the ice tongue back to the grounding line. We conclude that thin, soft sections of the ice tongue &gt; 12 km away from the grounding line provide little frontal buttressing, and removing them is unlikely to significantly increase ice velocity or discharge. However, once calving removes ice within 12 km of the grounding line, loss of these thicker and stiffer sections of ice tongue could perturb stresses at the grounding line enough to substantially increase inland flow speeds (similar to 900 m a(-1)), grounded ice discharge, and Petermann Glacier's contribution to global sea level rise.</t>
  </si>
  <si>
    <t>[Hill, Emily A.; Carr, J. Rachel] Newcastle Univ, Sch Geog Polit &amp; Sociol, Newcastle Upon Tyne NE1 7RU, Tyne &amp; Wear, England; [Gudmundsson, G. Hilmar] Northumbria Univ, Dept Geog &amp; Environm Sci, Newcastle Upon Tyne NE1 8ST, Tyne &amp; Wear, England; [Stokes, Chris R.] Univ Durham, Dept Geog, Durham DH1 3LE, England</t>
  </si>
  <si>
    <t>Newcastle University - UK; Northumbria University; Durham University</t>
  </si>
  <si>
    <t>Hill, EA (corresponding author), Newcastle Univ, Sch Geog Polit &amp; Sociol, Newcastle Upon Tyne NE1 7RU, Tyne &amp; Wear, England.</t>
  </si>
  <si>
    <t>e.hill3@newcastle.ac.uk</t>
  </si>
  <si>
    <t>Gudmundsson, Gudmundur Hilmar/AAU-5987-2020; Stokes, Chris R/A-1957-2011</t>
  </si>
  <si>
    <t>Gudmundsson, Gudmundur Hilmar/0000-0003-4236-5369; Hill, Emily/0000-0003-3175-3163</t>
  </si>
  <si>
    <t>IAPETUS Natural Environment Research Council Doctoral Training Partnership [NE/L002590/1]; CASE partnership from the British Antarctic Survey</t>
  </si>
  <si>
    <t>IAPETUS Natural Environment Research Council Doctoral Training Partnership; CASE partnership from the British Antarctic Survey</t>
  </si>
  <si>
    <t>We acknowledge several freely available datasets used in this work. These are the IceBridge BedMachine v3 (Morlighem et al., 2017) and MEaSUREs InSAR ice velocities (Joughin et al., 2010) both from the National Snow and Ice Data Center (NSIDC), and PALSAR derived velocities from the ESA Greenland Ice Sheet Climate Change Initiative (Nagler et al., 2015). This work was supported by a doctoral studentship award to Emily A. Hill at Newcastle University, UK, from the IAPETUS Natural Environment Research Council Doctoral Training Partnership (grant number NE/L002590/1). Emily A. Hill was also additionally supported by a CASE partnership from the British Antarctic Survey. We thank Ellyn Enderlin and the one anonymous reviewer for their helpful comments on the paper.</t>
  </si>
  <si>
    <t>1994-0416</t>
  </si>
  <si>
    <t>1994-0424</t>
  </si>
  <si>
    <t>Cryosphere</t>
  </si>
  <si>
    <t>DEC 18</t>
  </si>
  <si>
    <t>10.5194/tc-12-3907-2018</t>
  </si>
  <si>
    <t>HE7CL</t>
  </si>
  <si>
    <t>gold, Green Accepted, Green Submitted, Green Published</t>
  </si>
  <si>
    <t>WOS:000453582500001</t>
  </si>
  <si>
    <t>Romaniuk, K; Golec, P; Dziewit, L</t>
  </si>
  <si>
    <t>Romaniuk, Krzysztof; Golec, Piotr; Dziewit, Lukasz</t>
  </si>
  <si>
    <t>Insight Into the Diversity and Possible Role of Plasmids in the Adaptation of Psychrotolerant and Metalotolerant Arthrobacter spp. to Extreme Antarctic Environments</t>
  </si>
  <si>
    <t>Arthrobacter spp.; plasmid; Antarctica; psychrotolerant; metalotolerant; adaptation</t>
  </si>
  <si>
    <t>COMPLETE GENOME SEQUENCE; RESTRICTION-MODIFICATION SYSTEMS; KING GEORGE ISLAND; ESCHERICHIA-COLI; SP NOV.; TRANSCRIPTIONAL ANALYSIS; TELLURITE-RESISTANT; CATABOLIC PATHWAY; MARINE-BACTERIA; ECOLOGY GLACIER</t>
  </si>
  <si>
    <t>Arthrobacter spp. are coryneform Gram-positive aerobic bacteria, belonging to the class Actinobacteria. Representatives of this genus have mainly been isolated from soil, mud, sludge or sewage, and are usually mesophiles. In recent years, the presence of Arthrobacter spp. was also confirmed in various extreme, including permanently cold, environments. In this study, 36 psychrotolerant and metalotolerant Arthrobacter strains isolated from petroleum-contaminated soil from the King George Island (Antarctica), were screened for the presence of plasmids. The identified replicons were thoroughly characterized in order to assess their diversity and role in the adaptation of Arthrobacter spp. to harsh Antarctic conditions. The screening process identified 11 different plasmids, ranging in size from 8.4 to 90.6 kb. A thorough genomic analysis of these replicons detected the presence of numerous genes encoding proteins that potentially perform roles in adaptive processes such as (i) protection against ultraviolet (UV) radiation, (ii) resistance to heavy metals, (iii) transport and metabolism of organic compounds, (iv) sulfur metabolism, and (v) protection against exogenous DNA. Moreover, 10 of the plasmids carry genetic modules enabling conjugal transfer, which may facilitate their spread among bacteria in Antarctic soil. In addition, transposable elements were identified within the analyzed plasmids. Some of these elements carry passenger genes, which suggests that these replicons may be actively changing, and novel genetic modules of adaptive value could be acquired by transposition events. A comparative genomic analysis of plasmids identified in this study and other available Arthrobacter plasmids was performed. This showed only limited similarities between plasmids of Antarctic Arthrobacter strains and replicons of other, mostly mesophilic, isolates. This indicates that the plasmids identified in this study are novel and unique replicons. In addition, a thorough meta-analysis of 247 plasmids of psychrotolerant bacteria was performed, revealing the important role of these replicons in the adaptation of their hosts to extreme environments.</t>
  </si>
  <si>
    <t>[Romaniuk, Krzysztof; Golec, Piotr; Dziewit, Lukasz] Univ Warsaw, Fac Biol, Inst Microbiol, Dept Bacterial Genet, Warsaw, Poland</t>
  </si>
  <si>
    <t>University of Warsaw</t>
  </si>
  <si>
    <t>Dziewit, L (corresponding author), Univ Warsaw, Fac Biol, Inst Microbiol, Dept Bacterial Genet, Warsaw, Poland.</t>
  </si>
  <si>
    <t>ldziewit@bioi.uw.edu.pl</t>
  </si>
  <si>
    <t>Golec, Piotr/M-4922-2019; Dziewit, Lukasz/L-1131-2016; Golec, Piotr/AFN-9875-2022</t>
  </si>
  <si>
    <t>Golec, Piotr/0000-0001-7232-4440; Dziewit, Lukasz/0000-0002-5057-2811; Golec, Piotr/0000-0001-7232-4440</t>
  </si>
  <si>
    <t>National Science Centre, Poland [2013/09/D/NZ8/03046, 2016/23/B/NZ9/02909]</t>
  </si>
  <si>
    <t>National Science Centre, Poland(National Science Centre, Poland)</t>
  </si>
  <si>
    <t>This work was financed by the National Science Centre, Poland (grants no. 2013/09/D/NZ8/03046 and partially 2016/23/B/NZ9/02909).</t>
  </si>
  <si>
    <t>10.3389/fmicb.2018.03144</t>
  </si>
  <si>
    <t>HE7YF</t>
  </si>
  <si>
    <t>WOS:000453657000001</t>
  </si>
  <si>
    <t>Ruvindy, R; Bolch, CJ; MacKenzie, L; Smith, KF; Murray, SA</t>
  </si>
  <si>
    <t>Ruvindy, Rendy; Bolch, Christopher J.; MacKenzie, Lincoln; Smith, Kirsty F.; Murray, Shauna A.</t>
  </si>
  <si>
    <t>qPCR Assays for the Detection and Quantification of Multiple Paralytic Shellfish Toxin-Producing Species of Alexandrium</t>
  </si>
  <si>
    <t>paralytic shellfish toxin; Alexandrium; qPCR; ribosomal DNA; Dinoflagellate cysts</t>
  </si>
  <si>
    <t>REAL-TIME PCR; NEW-SOUTH-WALES; DINOFLAGELLATE GENUS ALEXANDRIUM; HARMFUL ALGAL BLOOMS; OSTENFELDII DINOPHYCEAE; MINUTUM DINOPHYCEAE; MOLECULAR-DETECTION; COASTAL WATERS; GLOBAL CLADE; TAMARENSE</t>
  </si>
  <si>
    <t>Paralytic shellfish toxin producing dinoflagellates have negatively impacted the shellfish aquaculture industry worldwide, including in Australia and New Zealand. Morphologically identical cryptic species of dinoflagellates that may differ in toxicity, in particular, species of the former Alexandrium tamarense species complex, co-occur in Australia, as they do in multiple regions in Asia and Europe. To understand the dynamics and the ecological drivers of the growth of each species in the field, accurate quantification at the species level is crucial. We have developed the first quantitative polymerase chain reaction (qPCR) primers for A. australiense, and new primers targeting A. ostenfeldii, A. catenella, and A. pacificum. We showed that our new primers for A. pacificum are more specific than previously published primer pairs. These assays can be used to quantify planktonic cells and cysts in the water column and in sediment samples with limits of detection of 2 cells/L for the A. catenella and A. australiense assays, 2 cells/L and 1 cyst/mg sediment for the A. pacificum assay, and 1 cells/L for the A. ostenfeldii assay, and efficiencies of &gt;90%. We utilized these assays to discriminate and quantify co-occurring A. catenella, A. pacificum, and A. australiense in samples from the east coast of Tasmania, Australia.</t>
  </si>
  <si>
    <t>[Ruvindy, Rendy; Murray, Shauna A.] Univ Technol Sydney, Climate Change Cluster, Sydney, NSW, Australia; [Bolch, Christopher J.] Univ Tasmania, Inst Marine &amp; Antarctic Studies, Launceston, Tas, Australia; [MacKenzie, Lincoln; Smith, Kirsty F.] Cawthron Inst, Nelson, New Zealand</t>
  </si>
  <si>
    <t>University of Technology Sydney; University of Tasmania; Cawthron Institute</t>
  </si>
  <si>
    <t>Ruvindy, R; Murray, SA (corresponding author), Univ Technol Sydney, Climate Change Cluster, Sydney, NSW, Australia.</t>
  </si>
  <si>
    <t>rendy.ruvindy@uts.edu.au; shauna.murray@uts.edu.au</t>
  </si>
  <si>
    <t>Bolch, Christopher J/J-7619-2014; Murray, Shauna A/K-5781-2015</t>
  </si>
  <si>
    <t>Murray, Shauna A/0000-0001-7096-1307</t>
  </si>
  <si>
    <t>National Science Challenge, Sustainable Seas Innovation Fund [C01X1515, CAWX1801]</t>
  </si>
  <si>
    <t>National Science Challenge, Sustainable Seas Innovation Fund</t>
  </si>
  <si>
    <t>The provision of A. pacificum plankton and cyst data from the Marlborough Sounds was made possible through funding from the National Science Challenge, Sustainable Seas Innovation Fund (contract C01X1515) and the Seafood Safety Platform (MBIE contract #CAWX1801).</t>
  </si>
  <si>
    <t>10.3389/fmicb.2018.03153</t>
  </si>
  <si>
    <t>HE7YM</t>
  </si>
  <si>
    <t>Green Accepted, gold, Green Published</t>
  </si>
  <si>
    <t>WOS:000453658000001</t>
  </si>
  <si>
    <t>Fontana, PG</t>
  </si>
  <si>
    <t>Gabriel Fontana, Pablo</t>
  </si>
  <si>
    <t>A hut too far: history of the Argentine Ventimiglia shelter on Peter I empty sety</t>
  </si>
  <si>
    <t>POLAR RESEARCH</t>
  </si>
  <si>
    <t>Instituto Antartico Argentino; Argentine Antarctic Institute; Antarctica; General San Martin icebreaker; Peter I Island</t>
  </si>
  <si>
    <t>This paper addresses the barely known history of an Argentine Antarctic hut: the Teniente Luis Ventimiglia hut, installed by the Argentine Antarctic Institute on Peter I Oy (Peter I Island) in March 1971. In examining the history of the only Argentine Antarctic facility outside of the Argentine Antarctic Sector, this article describes the reasons behind the establishment of the hut and the scientific work that took place there as well as previous Argentine expeditions to Peter I.</t>
  </si>
  <si>
    <t>[Gabriel Fontana, Pablo] Inst Antartico Argentino, 25 Mayo 1147,PC 1650 San Martin, Buenos Aires, DF, Argentina</t>
  </si>
  <si>
    <t>Instituto Antartico Argentino</t>
  </si>
  <si>
    <t>Fontana, PG (corresponding author), Inst Antartico Argentino, 25 Mayo 1147,PC 1650 San Martin, Buenos Aires, DF, Argentina.</t>
  </si>
  <si>
    <t>fontana.pablo@gmail.com</t>
  </si>
  <si>
    <t>Direccion Naciona de Antartico, Instituto Antartico Argentino</t>
  </si>
  <si>
    <t>I thank the Direccion Naciona de Antartico, Instituto Antartico Argentino.</t>
  </si>
  <si>
    <t>0800-0395</t>
  </si>
  <si>
    <t>1751-8369</t>
  </si>
  <si>
    <t>POLAR RES</t>
  </si>
  <si>
    <t>Polar Res.</t>
  </si>
  <si>
    <t>DEC 17</t>
  </si>
  <si>
    <t>10.1080/17518369.2018.1547043</t>
  </si>
  <si>
    <t>Ecology; Geosciences, Multidisciplinary; Oceanography</t>
  </si>
  <si>
    <t>Environmental Sciences &amp; Ecology; Geology; Oceanography</t>
  </si>
  <si>
    <t>HE6VP</t>
  </si>
  <si>
    <t>WOS:000453555500001</t>
  </si>
  <si>
    <t>Dimdore-Miles, OB; Palmer, PI; Bruhwiler, LP</t>
  </si>
  <si>
    <t>Dimdore-Miles, Oscar B.; Palmer, Paul I.; Bruhwiler, Lori P.</t>
  </si>
  <si>
    <t>Detecting changes in Arctic methane emissions: limitations of the inter-polar difference of atmospheric mole fractions</t>
  </si>
  <si>
    <t>ATMOSPHERIC CHEMISTRY AND PHYSICS</t>
  </si>
  <si>
    <t>CH4 EMISSIONS; FOSSIL-FUEL; BUDGET</t>
  </si>
  <si>
    <t>We consider the utility of the annual inter-polar difference (IPD) as a metric for changes in Arctic emissions of methane (CH4). The IPD has been previously defined as the difference between weighted annual means of CH4 mole fraction data collected at stations from the two polar regions (defined as latitudes poleward of 53 degrees N and 53 degrees S, respectively). This subtraction approach (IPD) implicitly assumes that extra-polar CH4 emissions arrive within the same calendar year at both poles. We show using a continuous version of the IPD that the metric includes not only changes in Arctic emissions but also terms that represent atmospheric transport of air masses from lower latitudes to the polar regions. We show the importance of these atmospheric transport terms in understanding the IPD using idealized numerical experiments with the TM5 global 3-D atmospheric chemistry transport model that is run from 1980 to 2010. A northern mid-latitude pulse in January 1990, which increases prior emission distributions, arrives at the Arctic with a higher mole fraction and similar or equal to 12 months earlier than at the Antarctic. The perturbation at the poles subsequently decays with an e-folding lifetime of similar or equal to 4 years. A similarly timed pulse emitted from the tropics arrives with a higher value at the Antarctic similar or equal to 11 months earlier than at the Arctic. This perturbation decays with an e-folding lifetime of similar or equal to 7 years. These simulations demonstrate that the assumption of symmetric transport of extra-polar emissions to the poles is not realistic, resulting in considerable IPD variations due to variations in emissions and atmospheric transport. We assess how well the annual IPD can detect a constant annual growth rate of Arctic emissions for three scenarios, 0.5 %, 1 %, and 2 %, superimposed on signals from lower latitudes, including random noise. We find that it can take up to 16 years to detect the smallest prescribed trend in Arctic emissions at the 95% confidence level. Scenarios with higher, but likely unrealistic, growth in Arctic emissions are detected in less than a decade. We argue that a more reliable measurement-driven approach would require data collected from all latitudes, emphasizing the importance of maintaining a global monitoring network to observe decadal changes in atmospheric greenhouse gases.</t>
  </si>
  <si>
    <t>[Dimdore-Miles, Oscar B.; Palmer, Paul I.] Univ Edinburgh, Sch GeoSci, Edinburgh, Midlothian, Scotland; [Bruhwiler, Lori P.] NOAA, Earth Syst Res Lab, Boulder, CO USA</t>
  </si>
  <si>
    <t>University of Edinburgh; National Oceanic Atmospheric Admin (NOAA) - USA</t>
  </si>
  <si>
    <t>Palmer, PI (corresponding author), Univ Edinburgh, Sch GeoSci, Edinburgh, Midlothian, Scotland.</t>
  </si>
  <si>
    <t>paul.palmer@ed.ac.uk</t>
  </si>
  <si>
    <t>Bruhwiler, Lori/AAQ-8502-2020; Palmer, Paul I/F-7008-2010</t>
  </si>
  <si>
    <t>Bruhwiler, Lori/0000-0002-3554-9250; Palmer, Paul I/0000-0002-1487-0969</t>
  </si>
  <si>
    <t>NERC Greenhouse gAs Uk and Global Emissions (GAUGE) project [NE/K002449/1]; Royal Society Wolfson Research Merit Award; NERC [NE/K002449/1] Funding Source: UKRI</t>
  </si>
  <si>
    <t>NERC Greenhouse gAs Uk and Global Emissions (GAUGE) project; Royal Society Wolfson Research Merit Award(Royal Society); NERC(UK Research &amp; Innovation (UKRI)Natural Environment Research Council (NERC))</t>
  </si>
  <si>
    <t>Oscar B. Dimdore-Miles was funded by a summer undergraduate project via the NERC Greenhouse gAs Uk and Global Emissions (GAUGE) project (grant NE/K002449/1). Paul I. Palmer gratefully acknowledges his Royal Society Wolfson Research Merit Award. We thank NOAA/ESRL for the CH4 surface mole fraction data which is provided by NOAA/ESRL PSD, Boulder, Colorado, USA, from their website http://www.esrl.noaa.gov/psd/.</t>
  </si>
  <si>
    <t>1680-7316</t>
  </si>
  <si>
    <t>1680-7324</t>
  </si>
  <si>
    <t>ATMOS CHEM PHYS</t>
  </si>
  <si>
    <t>Atmos. Chem. Phys.</t>
  </si>
  <si>
    <t>10.5194/acp-18-17895-2018</t>
  </si>
  <si>
    <t>HE5NS</t>
  </si>
  <si>
    <t>WOS:000453427000003</t>
  </si>
  <si>
    <t>Potter, ER; Orr, A; Willis, IC; Bannister, D; Salerno, F</t>
  </si>
  <si>
    <t>Potter, Emily R.; Orr, Andrew; Willis, Ian C.; Bannister, Daniel; Salerno, Franco</t>
  </si>
  <si>
    <t>Dynamical Drivers of the Local Wind Regime in a Himalayan Valley</t>
  </si>
  <si>
    <t>wind acceleration; valley winds; Himalayan winds; momentum budget; diurnal cycle; pressure gradient</t>
  </si>
  <si>
    <t>KALI-GANDAKI VALLEY; CLOUD MICROPHYSICS; DIURNAL WINDS; PRECIPITATION; EVEREST; SIMULATIONS; GLACIERS; ALTITUDE; SLOPE</t>
  </si>
  <si>
    <t>Understanding the local valley wind regimes in the Hindu-Kush Karakoram Himalaya is vital for future predictions of the glacio-hydro-meteorological system. Here the Weather Research and Forecasting model is employed at a resolution of 1km to investigate the forces driving the local valley wind regime in a river basin in the Nepalese Himalaya, during July 2013 and January 2014. Comparing with observations shows that the model represents the diurnal cycle of the winds well, with strong daytime up-valley winds and weak nighttime winds in both months. A momentum budget analysis of the model output shows that in the summer run the physical drivers of the near-surface valley wind also have a clear diurnal cycle, and are dominated by the pressure gradient, advection, and turbulent vertical mixing, as well as a nonphysical numerical diffusion term. By contrast, the drivers in the winter run have a less consistent diurnal cycle. In both months, the pressure gradient, advection, numerical diffusion, and Coriolis terms dominate up to 5,000m above the ground. The drivers are extremely variable over the valley, and also influenced by the presence of glaciers. When glaciers are removed from the model in the summer run, the wind continues further up the valley, indicating how the local valley winds might respond to future glacier shrinkage. The spatial variability of the drivers over both months is consistent with the complex topography in the basin, which must therefore be well represented in weather and regional climate models to generate accurate outputs. Plain Language Summary The rain and snow in Himalayan valleys, and the formation and melting of glaciers, are affected by the wind in the valleys. Exactly what drives this wind is not fully understood. Around the world, wind in valleys generally travels up the valley, and up the sides of mountains, during the day. This is due to the sun heating different areas by different amounts, creating areas of low and high air pressure. Here we use a computer simulation to determine whether the difference in pressure is the main cause of the acceleration of the wind in a valley in the Himalayas, or whether there are other forces which also affect the wind. We compare the simulation to measurements taken in the valley. We find that the pressure difference is the main process affecting the acceleration of the wind. However, the winds in the valley are also driven by the effects of turbulence and affected by the shape of the valley. The forces are consistent over the month, accelerating the wind in the morning and decelerating the wind in the afternoon every day.</t>
  </si>
  <si>
    <t>[Potter, Emily R.; Orr, Andrew; Bannister, Daniel] British Antarctic Survey, Cambridge, England; [Potter, Emily R.; Willis, Ian C.] Univ Cambridge, Scott Polar Res Inst, Cambridge, England; [Bannister, Daniel] Satavia Ltd, Cambridge, England; [Salerno, Franco] CNR, Water Res Inst IRSA CNR, Brugherio, MB, Italy</t>
  </si>
  <si>
    <t>UK Research &amp; Innovation (UKRI); Natural Environment Research Council (NERC); NERC British Antarctic Survey; University of Cambridge; Consiglio Nazionale delle Ricerche (CNR); Istituto di Ricerca sulle Acque (IRSA-CNR)</t>
  </si>
  <si>
    <t>Potter, ER (corresponding author), British Antarctic Survey, Cambridge, England.;Potter, ER (corresponding author), Univ Cambridge, Scott Polar Res Inst, Cambridge, England.</t>
  </si>
  <si>
    <t>empott15@bas.ac.uk</t>
  </si>
  <si>
    <t>salerno, franco/ABD-3319-2020</t>
  </si>
  <si>
    <t>Potter, Emily/0000-0001-5273-1292; Willis, Ian/0000-0002-0750-7088; Bannister, Daniel/0000-0002-2982-3751</t>
  </si>
  <si>
    <t>National Environmental Research Council [NE/L002507/1]; NERC [NE/R000107/1, bas0100032] Funding Source: UKRI</t>
  </si>
  <si>
    <t>National Environmental Research Council(UK Research &amp; Innovation (UKRI)Natural Environment Research Council (NERC)); NERC(UK Research &amp; Innovation (UKRI)Natural Environment Research Council (NERC))</t>
  </si>
  <si>
    <t>First, we would like to thank the three anonymous reviewers for their valuable contributions to the manuscript, which have hugely improved it. Many thanks to Pierre Chevallier for collating the observational data and also to Elisa Vuillermoz. The code for the bootstrap statistical significance test was provided by Christine McKenna. We would also like to thank John King, Alison Ming, Patrick Wagnon, and Francesca Pellicciotti for their advice with this study. The code used to alter the WRF model can be found at https://github.com/Empott/WRF-momentum-and-temperature-budget-variables, andwas based on the code and instructions provided by Nadejda Moisseeva at https://open.library.ubc.ca/media/download/pdf/33426/1.0107646/1.The model data can be accessed at https://doi.org/10.5285/4b825de1a86e42dbb7abe1f65dcd9abd and https://doi.org/10.5285/49ff98246c1f42d7bc0046ae4d0b7ea8. The funding for this project was provided by the National Environmental Research Council, grant NE/L002507/1.</t>
  </si>
  <si>
    <t>DEC 16</t>
  </si>
  <si>
    <t>10.1029/2018JD029427</t>
  </si>
  <si>
    <t>HG8WB</t>
  </si>
  <si>
    <t>Bronze, Green Submitted, Green Accepted</t>
  </si>
  <si>
    <t>WOS:000455285500009</t>
  </si>
  <si>
    <t>Yoo, JH; Choi, T; Chun, HY; Kim, YH; Song, IS; Song, BG</t>
  </si>
  <si>
    <t>Yoo, J. -H.; Choi, T.; Chun, H. -Y.; Kim, Y. -H.; Song, I. -S.; Song, B. -G.</t>
  </si>
  <si>
    <t>Inertia-Gravity Waves Revealed in Radiosonde Data at Jang Bogo Station, Antarctica (74°37′S, 164°13′E): 1. Characteristics, Energy, and Momentum Flux</t>
  </si>
  <si>
    <t>LOWER STRATOSPHERE; MOUNTAIN WAVES; CLIMATE; ATMOSPHERE; GENERATION; PARAMETERS; TURBULENCE; MOTIONS; MODELS; DRAG</t>
  </si>
  <si>
    <t>Characteristics of inertia-gravity waves (IGWs) at high latitude in Antarctica are investigated using radiosondes launched daily at Jang Bogo Station (74 degrees 37S, 164 degrees 13E), a new Antarctic station that has been operating since 2014, in the troposphere (z=2-7km) and lower stratosphere (z=15-22km) for 25months (December 2014 to December 2016). The vertical propagation of IGWs exhibits strong seasonal variations in the stratosphere, with an enhancement (reduction) in downward (upward)-propagating IGWs from May to mid-October. In the troposphere, both upward- and downward-propagating IGWs have similar occurrence rates without seasonal variations. The intrinsic phase velocity of IGWs mostly direct to the west (isotropic), while the ground-relative phase and group velocities are dominant in the east and southeast (northeast), respectively, in the stratosphere (troposphere). The intrinsic frequency, vertical wavelength, and horizontal wavelength of IGWs averaged in the troposphere (stratosphere) are 3.57f (1.93f; where f is the Coriolis parameter), 1.48 (1.48) km, and 63.06 (221.81) km, respectively. The wave energy in the stratosphere has clear seasonal variations with large values in autumn and spring, while that in the troposphere is smaller without obvious seasonal variations. Zonal and meridional momentum fluxes averaged in the stratosphere (troposphere) are -0.008 (-0.0018) and -0.0005 (0.001) m(2)/s(2), respectively. The momentum flux of downward-propagating IGWs in the stratosphere is mostly positive in both zonal and meridional directions, whereas the directional preference is not obvious in the troposphere. In Part 2, sources of the observed IGWs in the troposphere and stratosphere will be examined.</t>
  </si>
  <si>
    <t>[Yoo, J. -H.; Chun, H. -Y.; Song, B. -G.] Yonsei Univ, Dept Atmospher Sci, Seoul, South Korea; [Choi, T.; Song, I. -S.] Korea Polar Res Inst, Div Polar Climate Res, Incheon, South Korea; [Kim, Y. -H.] Goethe Univ Frankfurt, Inst Atmosphare &amp; Umwelt, Frankfurt, Germany</t>
  </si>
  <si>
    <t>Yonsei University; Korea Polar Research Institute (KOPRI); Goethe University Frankfurt</t>
  </si>
  <si>
    <t>Chun, HY (corresponding author), Yonsei Univ, Dept Atmospher Sci, Seoul, South Korea.</t>
  </si>
  <si>
    <t>chunhy@yonsei.ac.kr</t>
  </si>
  <si>
    <t>Chun, Hye-Yeong/AAA-6249-2019; Song, In-Sun/KCK-5485-2024; Kim, Young-Ha/Q-4542-2017</t>
  </si>
  <si>
    <t>Song, In-Sun/0000-0001-7211-6035; Kim, Young-Ha/0000-0003-4014-073X; Yoo, Ji-Hee/0000-0002-3335-6826; Song, Byeong-Gwon/0000-0003-1252-3231; Choi, Taejin/0000-0001-8559-1361</t>
  </si>
  <si>
    <t>Korea Polar Research Institute [PE18020]</t>
  </si>
  <si>
    <t>Korea Polar Research Institute(Korea Polar Research Institute of Marine Research Placement (KOPRI))</t>
  </si>
  <si>
    <t>The authors thank two anonymous reviewers for their careful reading of the manuscript and helpful comments. This study was conducted while the third author (H. Y. C.) was in her sabbatical leave. This work was supported by research fund PE18020 from Korea Polar Research Institute. The authors appreciate the support of the Korea Polar Research Institute for the radiosonde data. The authors would also like to thank for providing access to the reanalysis data sets ERA-Interim (http://apps.ecmwf.int/datasets/data/), CFSv2 (http://rda.ucar.edu), MERRA and MERRA2 (https://goldsmr5.gesdisc.eosdis.nasa.gov/), and NCEP/DOE R2 (http://www.cdc.noaa.gov/).Further thanks to the Antarctic Meteo-Climatological Observatory of the Programma Nazionale di Ricerche in Antartide for the provision of radiosonde data from Mario Zucchelli Station (http://www.climantaride.it).</t>
  </si>
  <si>
    <t>10.1029/2018JD029164</t>
  </si>
  <si>
    <t>WOS:000455285500016</t>
  </si>
  <si>
    <t>Lenaerts, JTM; Fyke, J; Medley, B</t>
  </si>
  <si>
    <t>Lenaerts, Jan T. M.; Fyke, Jeremy; Medley, Brooke</t>
  </si>
  <si>
    <t>The Signature of Ozone Depletion in Recent Antarctic Precipitation Change: A Study With the Community Earth System Model</t>
  </si>
  <si>
    <t>SURFACE MASS-BALANCE; ICE-SHEET; CLIMATE; IMPACT; HOLE; ACCUMULATION; ATTRIBUTION; CIRCULATION; SNOWFALL; TRENDS</t>
  </si>
  <si>
    <t>Although precipitation is a primary control on Antarctic ice sheet (AIS) mass balance, long-term historical AIS precipitation trends and their underlying external climate drivers remain inconclusive. In this study, we use a novel pair of climate model ensembles to identify a simulated spatial signature of ozone depletion-forced AIS precipitation change. Distinct areas of little change or precipitation decrease, arising from interaction between ozone depletion-forced atmospheric circulation changes and ice sheet topography, are outweighed by large-scale precipitation increases. This signature bears notable similarities to a new ice core-based reconstruction of AIS accumulation change and yields a significant increase in annual integrated precipitation (38 +/- 10 Gt/year over the 1986-2005 period or 51 +/- 11 Gt/year over the 1991-2005 period). Remarkably, this simulated ozone depletion-forced precipitation change is of a similar absolute magnitude to recent observed AIS mass loss trends and as a consequence, it may play a role in dampening recent AIS sea level rise contributions.</t>
  </si>
  <si>
    <t>[Lenaerts, Jan T. M.] Univ Colorado, Dept Atmospher &amp; Ocean Sci, Boulder, CO 80309 USA; [Fyke, Jeremy] Los Alamos Natl Lab, Los Alamos, NM USA; [Fyke, Jeremy] Associated Engn Grp Ltd, Edmonton, AB, Canada; [Medley, Brooke] NASA, Goddard Space Flight Ctr, Cryospher Sci Lab, Greenbelt, MD USA</t>
  </si>
  <si>
    <t>University of Colorado System; University of Colorado Boulder; United States Department of Energy (DOE); Los Alamos National Laboratory; National Aeronautics &amp; Space Administration (NASA); NASA Goddard Space Flight Center</t>
  </si>
  <si>
    <t>Lenaerts, JTM (corresponding author), Univ Colorado, Dept Atmospher &amp; Ocean Sci, Boulder, CO 80309 USA.</t>
  </si>
  <si>
    <t>Jan.Lenaerts@colorado.edu</t>
  </si>
  <si>
    <t>Lenaerts, Jan/D-9423-2012</t>
  </si>
  <si>
    <t>Lenaerts, Jan/0000-0003-4309-4011; Fyke, Jeremy/0000-0002-4522-3019</t>
  </si>
  <si>
    <t>NSF Frontiers in Earth System Dynamics grant [1338814]</t>
  </si>
  <si>
    <t>NSF Frontiers in Earth System Dynamics grant</t>
  </si>
  <si>
    <t>We thank Laura Landrum and Marika Holland (National Center for Atmospheric Research, Boulder, Colorado, USA) for performing the fixed ozone ensemble simulations under the NSF Frontiers in Earth System Dynamics grant 1338814 and the CESM Large Ensemble Project (Kay et al., 2015) for providing access to the dynamic ozone ensemble simulations. CESM Large Ensemble data (Kay et al., 2015) and fixed ozone ensemble data (England et al., 2016; Landrum et al., 2017) are available via the Earth System Grid Federation (ESGF; https://www.earthsystemgrid.org/dataset/ucar.cgd.ccsm4.CESM_CAM5BGC_LE.html and http://earthsystemgrid.org/dataset/ucar.cgd.ccsm4.b.e11.B20LE_fixedO3.html). AIS mass balance estimates are from the 2012 International ice sheet Mass Balance Intercomparison Exercise (IMBIE, Shepherd et al., 2012) and are available along with AIS basin delineations on the IMBIE website (http://imbie.org/data-downloads, Zwally et al. (2012)). All NCAR Command Language (NCL Version 6.4.0, 2017, https://doi.org/10.5065/D6WD3XH5) analysis scripts for this study are available (http://github.com/JeremyFyke/AIS_snowfall_analysis).</t>
  </si>
  <si>
    <t>10.1029/2018GL078608</t>
  </si>
  <si>
    <t>HF5TK</t>
  </si>
  <si>
    <t>WOS:000454296600032</t>
  </si>
  <si>
    <t>Dima, M; Lohmann, G; Knorr, G</t>
  </si>
  <si>
    <t>Dima, M.; Lohmann, G.; Knorr, G.</t>
  </si>
  <si>
    <t>North Atlantic Versus Global Control on Dansgaard-Oeschger Events</t>
  </si>
  <si>
    <t>GLACIAL CLIMATE; ATMOSPHERIC CO2; CIRCULATION; GREENLAND; OSCILLATIONS</t>
  </si>
  <si>
    <t>The classic scenario for the generation of Dansgaard-Oeschger (DO) events assumes a link to changes in the Atlantic Meridional Overturning Circulation (AMOC) induced by North Atlantic freshwater perturbations. Recent proxy data emphasize the existence of leads and lags between DO fingerprints in Greenland and Antarctic records, highlighting the potential of a Southern Hemisphere control on these events. Investigating this possibility, we provide a conceptual model resulting from phase space reconstructions based on the northern and southern ice core records. The resulting patterns closely resemble AMOC hysteresis, consistent with a northern abrupt warming linked to gradual global temperature changes. This suggests that rapid DO warmings associated with abrupt AMOC transitions from a relatively weak (cold stadial) state to a stronger (warm interstadial) state can be controlled by global forcing that can be linked to the Southern Hemisphere, rather than by the end of a local temporary forcing in the North Atlantic.</t>
  </si>
  <si>
    <t>[Dima, M.; Lohmann, G.; Knorr, G.] Alfred Wegener Inst Polar &amp; Marine Res, Bremerhaven, Germany; [Dima, M.] Univ Bucharest, Fac Phys, Bucharest, Romania</t>
  </si>
  <si>
    <t>Helmholtz Association; Alfred Wegener Institute, Helmholtz Centre for Polar &amp; Marine Research; University of Bucharest</t>
  </si>
  <si>
    <t>Dima, M (corresponding author), Alfred Wegener Inst Polar &amp; Marine Res, Bremerhaven, Germany.;Dima, M (corresponding author), Univ Bucharest, Fac Phys, Bucharest, Romania.</t>
  </si>
  <si>
    <t>mihai.dima@awi.de</t>
  </si>
  <si>
    <t>Dima, Mihai/G-1370-2010</t>
  </si>
  <si>
    <t>Polar Regions and Coasts in the Changing Earth System (PACES) program of the Alfred Wegener Institute; Helmholtz Climate Initiative REKLIM; BMBF project PalMod; Humboldt Foundation; Alfred Wegener Institute</t>
  </si>
  <si>
    <t>Polar Regions and Coasts in the Changing Earth System (PACES) program of the Alfred Wegener Institute; Helmholtz Climate Initiative REKLIM; BMBF project PalMod; Humboldt Foundation(Alexander von Humboldt Foundation); Alfred Wegener Institute</t>
  </si>
  <si>
    <t>This study is promoted by Helmholtz funding through the Polar Regions and Coasts in the Changing Earth System (PACES) program of the Alfred Wegener Institute. Funding by the Helmholtz Climate Initiative REKLIM and the BMBF project PalMod are gratefully acknowledged. Mihai Dima was funded by the Humboldt Foundation and the visiting program of the Alfred Wegener Institute. The data used are listed in the references, tables, and supplements.</t>
  </si>
  <si>
    <t>10.1029/2018GL080035</t>
  </si>
  <si>
    <t>WOS:000454296600039</t>
  </si>
  <si>
    <t>Koutsodendris, A; Sachse, D; Appel, E; Herb, C; Fischer, T; Fang, XM; Pross, J</t>
  </si>
  <si>
    <t>Koutsodendris, Andreas; Sachse, Dirk; Appel, Erwin; Herb, Christian; Fischer, Tobias; Fang, Xiaomin; Pross, Joerg</t>
  </si>
  <si>
    <t>Prolonged Monsoonal Moisture Availability Preconditioned Glaciation of the Tibetan Plateau During the Mid-Pleistocene Transition</t>
  </si>
  <si>
    <t>WESTERN QAIDAM BASIN; RESOLUTION POLLEN RECORD; DRILL CORE SG-1; CLIMATE-CHANGE; ANTARCTIC CLIMATE; HYDROGEN ISOTOPES; LAKE ELGYGYTGYN; CENTRAL-ASIA; ICE VOLUME; PLEISTOCENE</t>
  </si>
  <si>
    <t>Paleohydrological data comprising pollen assemblages and leaf-wax hydrogen isotopes (dDwax) from paleolake sediments in the Qaidam Basin (China) provide evidence for a link between increased moisture availability on the Tibetan Plateau and global cooling during the Mid-Pleistocene Transition. Notably, they document the persistence of humid and cold conditions during Marine Isotope Stages 24-22 (936-866 ka) suggesting that boundary conditions favorable for extended glaciation on the Tibetan Plateau first developed at similar to 900 ka. Our dDwax results indicate a strong influence of proximal (monsoonal) moisture sources during that glacial, in agreement with the intensification of the interhemispheric moisture transport resulting from Antarctic ice volume increase at similar to 900 ka. The consistency of our results with other marine and terrestrial climate data sets suggests that extended glaciation on the Tibetan Plateau may have initiated similar to 500 ka earlier than previously assumed, implying that midlatitude ice sheets actively contributed to global cooling during the Mid-Pleistocene Transition. Plain Language Summary The Mid-Pleistocene Transition (MPT) marks an intensification of global cooling associated with an expansion of Earth's ice sheets. The Tibetan Plateau-today the most extensively glaciated region outside the high latitudes-may have played a pivotal role in this process. However, because its glaciation history is yet poorly constrained, testing this hypothesis has remained difficult. Here we assess the climatic boundary conditions for glacier development on the Tibetan Plateau during the MPT using pollen and organic biomarker data from paleolake sediments (Qaidam Basin, China). Our results suggest a link between increased moisture availability on the Tibetan Plateau and global cooling during Marine Isotope Stages 24-22. We infer that favorable conditions for extended glaciation on the Tibetan Plateau first developed at similar to 900 ka, that is, similar to 500 ka earlier than previously assumed, suggesting that ice sheet formation on the Tibetan Plateau indeed played an active role in global cooling during the MPT.</t>
  </si>
  <si>
    <t>[Koutsodendris, Andreas; Fischer, Tobias; Pross, Joerg] Heidelberg Univ, Inst Earth Sci, Paleoenvironm Dynam Grp, Heidelberg, Germany; [Sachse, Dirk] GFZ German Res Ctr Geosci, Geomorphol, Potsdam, Germany; [Appel, Erwin; Herb, Christian] Univ Tubingen, Dept Geosci, Tubingen, Germany; [Fang, Xiaomin] Chinese Acad Sci, Inst Tibetan Plateau Res, Beijing, Peoples R China</t>
  </si>
  <si>
    <t>Ruprecht Karls University Heidelberg; Helmholtz Association; Helmholtz-Center Potsdam GFZ German Research Center for Geosciences; Eberhard Karls University of Tubingen; Chinese Academy of Sciences; Institute of Tibetan Plateau Research, CAS</t>
  </si>
  <si>
    <t>Koutsodendris, A (corresponding author), Heidelberg Univ, Inst Earth Sci, Paleoenvironm Dynam Grp, Heidelberg, Germany.</t>
  </si>
  <si>
    <t>andreas.koutsodendris@geow.uni-hei-delberg.de</t>
  </si>
  <si>
    <t>Koutsodendris, Andreas/G-8966-2013; Sachse, Dirk/D-3410-2012</t>
  </si>
  <si>
    <t>Koutsodendris, Andreas/0000-0003-4236-7508; Sachse, Dirk/0000-0003-4207-0309</t>
  </si>
  <si>
    <t>10.1029/2018GL079303</t>
  </si>
  <si>
    <t>WOS:000454296600042</t>
  </si>
  <si>
    <t>Singh, HA; Garuba, OA; Rasch, PJ</t>
  </si>
  <si>
    <t>Singh, H. A.; Garuba, O. A.; Rasch, P. J.</t>
  </si>
  <si>
    <t>How Asymmetries Between Arctic and Antarctic Climate Sensitivity Are Modified by the Ocean</t>
  </si>
  <si>
    <t>SEA-ICE; POLAR AMPLIFICATION; SOUTHERN-OCEAN; FEEDBACKS; SURFACE; SYSTEM</t>
  </si>
  <si>
    <t>We investigate how the ocean response to CO2 forcing affects hemispheric asymmetries in polar climate sensitivity. Intermodel comparison of Phase 5 of the Coupled Model Intercomparison Project CO2 quadrupling experiments shows that even in models where hemispheric ocean heat uptake differences are small, Arctic warming still exceeds Antarctic warming. The polar climate impact of this evolving ocean response to CO2 forcing is then isolated using slab ocean experiments in a state-of-the-art climate model. Overall, feedbacks over the Southern Hemisphere more effectively dissipate top-of-atmosphere anomalies than those over the Northern Hemisphere. Furthermore, a poleward shift in ocean heat convergence in both hemispheres amplifies destabilizing ice albedo and lapse rate feedbacks over the Arctic much more so than over the Antarctic. These results suggest that the Arctic is intrinsically more sensitive to both CO2 and oceanic forcings than the Antarctic and that ocean-driven climate sensitivity asymmetry arises from feedback destabilization over the Arctic rather than feedback stabilization over the Antarctic. Plain Language Summary Anthropogenic greenhouse gas emissions impact climate globally, but nowhere more so than over the Arctic, a phenomenon known as polar amplification. Surprisingly, the climate response over the Antarctic is much more muted than the climate response over the Arctic, which has been attributed to the large uptake of heat over the Southern Ocean which cools the Southern Hemisphere. Here we show that a weaker climate response over the Antarctic is due, in part, to weaker intrinsic sensitivity to both greenhouse gas forcing and the state of the ocean. Even climate models with similar amounts of heat uptake into the deep ocean in both hemispheres warm more over the Arctic than the Antarctic. Furthermore, similar increases in winter season heat transport into the polar oceans in both hemispheres trigger more destabilizing climate feedbacks over the Arctic than the Antarctic. Therefore, greater climate change over the Arctic than the Antarctic can be expected even if ocean heat uptake or ocean heat transport changes are similar in both hemispheres.</t>
  </si>
  <si>
    <t>[Singh, H. A.; Garuba, O. A.; Rasch, P. J.] US DOE, Off Sci, Atmospher Sci &amp; Global Change Div, Pacific Northwest Natl Lab, Richland, WA USA; [Singh, H. A.] Univ Victoria, Sch Earth &amp; Ocean Sci, Victoria, BC, Canada</t>
  </si>
  <si>
    <t>United States Department of Energy (DOE); Pacific Northwest National Laboratory; University of Victoria</t>
  </si>
  <si>
    <t>Singh, HA (corresponding author), US DOE, Off Sci, Atmospher Sci &amp; Global Change Div, Pacific Northwest Natl Lab, Richland, WA USA.;Singh, HA (corresponding author), Univ Victoria, Sch Earth &amp; Ocean Sci, Victoria, BC, Canada.</t>
  </si>
  <si>
    <t>hansi.singh@pnnl.gov</t>
  </si>
  <si>
    <t>Garuba, Oluwayemi/U-9688-2019; Singh, Hansi/P-9354-2019; Garuba, Oluwayemi/AAV-1938-2020; Rasch, Philip J/F-7978-2018</t>
  </si>
  <si>
    <t>Garuba, Oluwayemi/0000-0001-7931-7788; Garuba, Oluwayemi/0000-0001-7931-7788; Singh, Hansi/0000-0002-8651-9094</t>
  </si>
  <si>
    <t>Linus Pauling Distinguished Postdoctoral Fellowship - U.S. DOE Office of Science's Pacific Northwest National Laboratory; Regional and Global Climate Modeling Program; U.S. Department of Energy [DE-AC05-76RL01830]</t>
  </si>
  <si>
    <t>Linus Pauling Distinguished Postdoctoral Fellowship - U.S. DOE Office of Science's Pacific Northwest National Laboratory; Regional and Global Climate Modeling Program; U.S. Department of Energy(United States Department of Energy (DOE))</t>
  </si>
  <si>
    <t>H. A. S. is grateful to the Linus Pauling Distinguished Postdoctoral Fellowship, sponsored by the U.S. DOE Office of Science's Pacific Northwest National Laboratory for facilities and funding. Support for O. A. G. and P. J. R. was provided by the Regional and Global Climate Modeling Program as a contribution to the HiLAT project. The Pacific Northwest National Laboratory is operated for the U.S. Department of Energy by Battelle Memorial Institute under contract DE-AC05-76RL01830. All authors acknowledge the World Climate Research Program's Working Group on Coupled Modeling, which is responsible for CMIP and thank the climate modeling groups (listed in the SI and Table 1) for producing and making available their model output. For CMIP, the U.S. DOE's Program for Climate Model Diagnosis and Intercomparison provides coordinating support and led development of software infrastructure in partnership with the Global Organization for Earth System Science Portals. Model output data generated for this study have been published on the Zenodo data repository at https://doi.org/10.5281/zenodo.1283483.Finally, all authors thank Greg Flato and two anonymous reviewers for helpful critiques of the submitted manuscript.</t>
  </si>
  <si>
    <t>10.1029/2018GL079023</t>
  </si>
  <si>
    <t>WOS:000454296600043</t>
  </si>
  <si>
    <t>Schrader, DL; Fu, RR; Desch, SJ; Davidson, J</t>
  </si>
  <si>
    <t>Schrader, Devin L.; Fu, Roger R.; Desch, Steven J.; Davidson, Jemma</t>
  </si>
  <si>
    <t>The background temperature of the protoplanetary disk within the first four million years of the Solar System</t>
  </si>
  <si>
    <t>protoplanetary disk; background temperature; cooling rate; chondrule; sulfide; shock</t>
  </si>
  <si>
    <t>CHONDRULE FORMATION; COOLING RATES; I CHONDRULES; CHONDRITES; PENTLANDITE; CR; CHRONOLOGY; EXSOLUTION; NEBULA; AL-26</t>
  </si>
  <si>
    <t>The background temperature of the protoplanetary disk is a fundamental but poorly constrained parameter that strongly influences a wide range of conditions and processes in the early Solar System, including the widespread process(es) by which chondrules originate. Chondrules, mm-scale objects composed primarily of silicate minerals, were formed in the protoplanetary disk almost entirely during the first four million years of Solar System history but their formation mechanism(s) are poorly understood. Here we present new constraints on the sub-silicate solidus cooling rates of chondrules at &lt;873 K (600 degrees C) using the compositions of sulfide minerals. We show that chondrule cooling rates remained relatively rapid (similar to 10(0) to 10(1) K/hr) between 873 and 503 K, which implies a protoplanetary disk background temperature of &lt;503 K (230 degrees C) and is consistent with many models of chondrule formation by shocks in the solar nebula, potentially driven by the formation of Jupiter and/or planetary embryos, as the chondrule formation mechanism. This protoplanetary disk background temperature rules out current sheets and resulting short-circuit instabilities as the chondrule formation mechanism. More detailed modeling of chondrule cooling histories in impacts is required to fully evaluate impacts as a chondrule formation model. These results motivate further theoretical work to understand the expected thermal evolution of chondrules at &lt;= 873 K under a variety of chondrule formation scenarios. (C) 2018 Elsevier B.V. All rights reserved.</t>
  </si>
  <si>
    <t>[Schrader, Devin L.; Davidson, Jemma] Arizona State Univ, Sch Earth &amp; Space Explorat, Ctr Meteorite Studies, 781 East Terrace Rd, Tempe, AZ 85287 USA; [Fu, Roger R.] Harvard Univ, Dept Earth &amp; Planetary Sci, 20 Oxford St, Cambridge, MA 02138 USA; [Desch, Steven J.] Arizona State Univ, Sch Earth &amp; Space Explorat, POB 871404, Tempe, AZ 85287 USA</t>
  </si>
  <si>
    <t>Arizona State University; Arizona State University-Tempe; Harvard University; Arizona State University; Arizona State University-Tempe</t>
  </si>
  <si>
    <t>Schrader, DL (corresponding author), Arizona State Univ, Sch Earth &amp; Space Explorat, Ctr Meteorite Studies, 781 East Terrace Rd, Tempe, AZ 85287 USA.</t>
  </si>
  <si>
    <t>devin.schrader@asu.edu</t>
  </si>
  <si>
    <t>Davidson, Jemma/ABB-2655-2021; Schrader, Devin L/H-6293-2012</t>
  </si>
  <si>
    <t>Davidson, Jemma/0000-0002-3725-2960; Schrader, Devin/0000-0001-5282-232X; /0000-0003-3635-2676</t>
  </si>
  <si>
    <t>NSF; NASA [NNX17AE53G]; Center for Meteorite Studies, Arizona State University; NASA [NNX17AE53G, 1002623] Funding Source: Federal RePORTER</t>
  </si>
  <si>
    <t>NSF(National Science Foundation (NSF)); NASA(National Aeronautics &amp; Space Administration (NASA)); Center for Meteorite Studies, Arizona State University; NASA(National Aeronautics &amp; Space Administration (NASA))</t>
  </si>
  <si>
    <t>For supplying the samples that were necessary for this work, the authors would like to thank: the Smithsonian Institution, the members of the Smithsonian Institution, the Meteorite Working Group, Cecilia Satterwhite and Kevin Righter (NASA, Johnson Space Center), Japan's National Institute of Polar Research, and Michael Farmer.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authors thank Ken Domanik and Axel Wittmann for assistance with the electron microprobes at UA and ASU, respectively. We are also grateful to two anonymous reviewers and Editor Frederic Moynier, whose constructive comments improved the quality of the manuscript. This work was funded in part by NASA grant NNX17AE53G (PI: DLS) and the Center for Meteorite Studies, Arizona State University.</t>
  </si>
  <si>
    <t>DEC 15</t>
  </si>
  <si>
    <t>10.1016/j.epsl.2018.09.030</t>
  </si>
  <si>
    <t>HA6IT</t>
  </si>
  <si>
    <t>WOS:000450383900004</t>
  </si>
  <si>
    <t>Smith, AM; Woodward, J; Ross, N; Bentley, MJ; Hodgson, DA; Siegert, MJ; King, EC</t>
  </si>
  <si>
    <t>Smith, Andrew M.; Woodward, John; Ross, Neil; Bentley, Michael J.; Hodgson, Dominic A.; Siegert, Martin J.; King, Edward C.</t>
  </si>
  <si>
    <t>Evidence for the long-term sedimentary environment in an Antarctic subglacial lake</t>
  </si>
  <si>
    <t>Subglacial Lake Ellsworth; glaciology; active-source seismology; sedimentary environment; ice sheet; Antarctica</t>
  </si>
  <si>
    <t>WEST ANTARCTICA; ICE-SHEET; SEISMIC OBSERVATIONS; MARINE-SEDIMENTS; EAST ANTARCTICA; STABILITY; ELLSWORTH; WHILLANS; HOLOCENE; STREAM</t>
  </si>
  <si>
    <t>Lakes beneath the Antarctic Ice Sheet are of fundamental scientific interest for their ability to contain unique records of ice sheet history and microbial life in their sediments. However, no records of subglacial lake sedimentation have yet been acquired from beneath the interior of the ice sheet, and understanding of sediment pathways, processes and structure in subglacial lake environments remains uncertain. Here we present an analysis of seismic data from Subglacial Lake Ellsworth, showing that the lake bed comprises very fine-grained sediments deposited in a low energy environment, with low water- and sediment-fluxes. Minimum sediment thickness is 6 m, the result of prolonged low sedimentation rates. Based on the few available analogues, we speculate this sediment age range is a minimum of 150 ka, and possibly &gt;1 Ma. Sediment mass movements have occurred, but they are rare and have been buried by subsequent sedimentation. We present a new conceptual model of subglacial lake sedimentation, allowing a framework for evaluating processes in subglacial lake environments, and for determining future lake access locations and interpreting subglacial lake samples. (C) 2018 The Authors. Published by Elsevier B.V.</t>
  </si>
  <si>
    <t>[Smith, Andrew M.; Hodgson, Dominic A.; King, Edward C.] British Antarctic Survey, Nat Environm Res Council, Madingley Rd, Cambridge CB3 0ET, England; [Woodward, John] Northumbria Univ, Dept Geog, Ellison Pl, Newcastle Upon Tyne NE1 8ST, Tyne &amp; Wear, England; [Ross, Neil] Newcastle Univ, Sch Geog Polit &amp; Sociol, Claremont Rd, Newcastle Upon Tyne NE1 7RU, Tyne &amp; Wear, England; [Bentley, Michael J.] Univ Durham, Dept Geog, South Rd, Durham DH1 3LE, England; [Siegert, Martin J.] Imperial Coll London, Grantham Inst, South Kensington SW7 2AZ, England; [Siegert, Martin J.] Imperial Coll London, Dept Earth Sci &amp; Engn, South Kensington SW7 2AZ, England</t>
  </si>
  <si>
    <t>UK Research &amp; Innovation (UKRI); Natural Environment Research Council (NERC); NERC British Antarctic Survey; Northumbria University; Newcastle University - UK; Durham University; Imperial College London; Imperial College London</t>
  </si>
  <si>
    <t>Smith, AM (corresponding author), British Antarctic Survey, Nat Environm Res Council, Madingley Rd, Cambridge CB3 0ET, England.</t>
  </si>
  <si>
    <t>amsm@bas.ac.uk</t>
  </si>
  <si>
    <t>Siegert, Martin/M-9939-2019; Facility, NERC Geophysical Equipment/G-5260-2010; Woodward, John/I-1046-2013; Siegert, Martin J/A-3826-2008; Bentley, Michael J/F-7386-2011</t>
  </si>
  <si>
    <t>Siegert, Martin/0000-0002-0090-4806; Siegert, Martin J/0000-0002-0090-4806; Bentley, Michael J/0000-0002-2048-0019; Woodward, John/0000-0002-4980-4080; SMITH, ANDREW/0000-0001-8577-482X</t>
  </si>
  <si>
    <t>NERC AFI [NE/D009200/1, NE/13008638/1, NE/D008751/1]; NERC [NE/D008638/1, bas0100030, NE/D009200/1, NE/D008751/1, bas0100034, NE/G00336X/1, NE/G00465X/3] Funding Source: UKRI</t>
  </si>
  <si>
    <t>NERC AFI(UK Research &amp; Innovation (UKRI)Natural Environment Research Council (NERC)); NERC(UK Research &amp; Innovation (UKRI)Natural Environment Research Council (NERC))</t>
  </si>
  <si>
    <t>This work was funded by NERC AFI (award numbers NE/D009200/1, NE/13008638/1 and NE/D008751/1). We thank the British Antarctic Survey for logistics support, NERC GEF for equipment (loans 838, 870), Dan Fitzgerald and Dave Routledge for help in the field, and Claus -Dieter Hillenbrand, James Smith and a number of reviewers for very useful discussions and comments.</t>
  </si>
  <si>
    <t>10.1016/j.epsl.2018.10.011</t>
  </si>
  <si>
    <t>Green Accepted, Green Published, hybrid</t>
  </si>
  <si>
    <t>WOS:000450383900014</t>
  </si>
  <si>
    <t>Levy, JS; Fountain, AG; Obryk, MK; Telling, J; Glennie, C; Pettersson, R; Gooseff, M; Van Horn, D</t>
  </si>
  <si>
    <t>Levy, J. S.; Fountain, A. G.; Obryk, M. K.; Telling, J.; Glennie, C.; Pettersson, R.; Gooseff, M.; Van Horn, Dj.</t>
  </si>
  <si>
    <t>Decadal topographic change in the McMurdo Dry Valleys of Antarctica: Thermokarst subsidence, glacier thinning, and transfer of water storage from the cryosphere to the hydrosphere</t>
  </si>
  <si>
    <t>GEOMORPHOLOGY</t>
  </si>
  <si>
    <t>Antarctic; Permafrost; Glaciers; Lidar</t>
  </si>
  <si>
    <t>SOUTHERN VICTORIA LAND; GROUNDED ICE-SHEET; TAYLOR VALLEY; BEACON VALLEY; ROSS SEA; PERMAFROST DEGRADATION; CLIMATE-CHANGE; BONNEY DRIFT; SOILS; ECOSYSTEM</t>
  </si>
  <si>
    <t>Recent local-scale observations of glaciers, streams, and soil surfaces in the McMurdo Dry Valleys of Antarctica (MDV) have documented evidence for rapid ice loss, glacial thinning, and ground surface subsidence associated with melting of ground ice. To evaluate the extent, magnitude, and location of decadal-scale landscape change in the MDV, we collected airborne lidar elevation data in 2014-2015 and compared these data to a 2001-2002 airborne lidar campaign. This regional assessment of elevation change spans the recent acceleration of warming and melting observed by long-term meteorological and ecosystem response experiments, allowing us to assess the response of MDV surfaces to warming and potential thawing feedbacks. We find that locations of thermokarst subsidence are strongly associated with the presence of excess ground ice and with proximity to surface or shallow subsurface (active layer) water. Subsidence occurs across soil types and landforms, in low-lying, low-slope areas with impeded drainage and also high on steep valley walls. Glacier thinning is widespread and is associated with the growth of fine-scale roughness. Pond levels are rising in most closed-basin lakes in the MDV, across all microclimate zones. These observations highlight the continued importance of insolation-driven melting in the MDV. The regional melt pattern is consistent with an overall transition of water storage from the local cryosphere (glaciers, permafrost) to the hydrosphere (dosed basin lakes and ponds as well as the Ross Sea). We interpret this regional melting pattern to reflect a transition to Arctic and alpine-style, hydrologically mediated permafrost and glacial melt. (C) 2018 Published by Elsevier B.V.</t>
  </si>
  <si>
    <t>[Levy, J. S.] Colgate Univ, Dept Geol, 13 Oak Ave, Hamilton, NY 13346 USA; [Fountain, A. G.] Portland State Univ, Dept Geol, Portland, OR 97201 USA; [Obryk, M. K.] US Geol Survey, Cascades Volcano Observ, Vancouver, WA 98683 USA; [Telling, J.; Glennie, C.] Univ Houston, Dept Civil &amp; Environm Engn, Natl Ctr Airborne Laser Mapping, Houston, TX 77004 USA; [Pettersson, R.] Uppsala Univ, Dept Earth Sci, Geoctr, Villav 16, S-75236 Uppsala, Sweden; [Gooseff, M.] Univ Colorado, Dept Civil Environm &amp; Architectural Engn, Boulder, CO 80303 USA; [Van Horn, Dj.] Univ New Mexico, Dept Biol, Albuquerque, NM 87131 USA</t>
  </si>
  <si>
    <t>Colgate University; Portland State University; United States Department of the Interior; United States Geological Survey; University of Houston System; University of Houston; Uppsala University; University of Colorado System; University of Colorado Boulder; University of New Mexico</t>
  </si>
  <si>
    <t>Levy, JS (corresponding author), Colgate Univ, Dept Geol, 13 Oak Ave, Hamilton, NY 13346 USA.</t>
  </si>
  <si>
    <t>jlevy@colgate.edu</t>
  </si>
  <si>
    <t>Gooseff, Michael N/0000-0003-4322-8315; Levy, Joseph/0000-0002-6222-139X; Obryk, Maciej/0000-0002-8182-8656</t>
  </si>
  <si>
    <t>National Science Foundation Office of Polar Programs Antarctic Integrated Systems Science Program [ANT-1246342]; NSF EAR/IF award [1339015]</t>
  </si>
  <si>
    <t>National Science Foundation Office of Polar Programs Antarctic Integrated Systems Science Program; NSF EAR/IF award</t>
  </si>
  <si>
    <t>This work was supported by the National Science Foundation Office of Polar Programs Antarctic Integrated Systems Science Program award ANT-1246342 to AGF, JSL, DVH, and MG. JT and CG were partially supported by NSF EAR/IF award #1339015. Any opinions, findings, and conclusions or recommendations expressed in this material are those of the author(s) and do not necessarily reflect the views of the National Science Foundation (NSF). Thanks to Jay Dickson, Goncalo Vieira, and two anonymous reviewers for their constructive reviews.</t>
  </si>
  <si>
    <t>0169-555X</t>
  </si>
  <si>
    <t>1872-695X</t>
  </si>
  <si>
    <t>Geomorphology</t>
  </si>
  <si>
    <t>10.1016/j.geomorph.2018.09.012</t>
  </si>
  <si>
    <t>HA0KP</t>
  </si>
  <si>
    <t>WOS:000449897200007</t>
  </si>
  <si>
    <t>Prajith, A; Tyagi, A; Kurian, PJ</t>
  </si>
  <si>
    <t>Prajith, A.; Tyagi, Abhishek; Kurian, P. John</t>
  </si>
  <si>
    <t>Changing sediment sources in the Bay of Bengal: Evidence of summer monsoon intensification and ice-melt over Himalaya during the Late Quaternary</t>
  </si>
  <si>
    <t>PALAEOGEOGRAPHY PALAEOCLIMATOLOGY PALAEOECOLOGY</t>
  </si>
  <si>
    <t>Sediment grain size; Clay mineralogy; Magnetic properties; Himalayan Rivers; Peninsular Rivers; LGM</t>
  </si>
  <si>
    <t>CONTINENTAL-SHELF SEDIMENTS; CLAY MINERAL DISTRIBUTION; SOUTHEASTERN ARABIAN SEA; MAGNETIC-PROPERTIES; KRISHNA-GODAVARI; ISOTOPIC EVIDENCE; CLIMATIC CHANGES; INDIAN MONSOON; ATLANTIC-OCEAN; MAHANADI BASIN</t>
  </si>
  <si>
    <t>A gravity core retrieved from the southern Bay of Bengal (BoB) was studied to determine the sources of sedi-ments and factors controlling their distributions during the Late Quaternary. The parameters used for this study was sediment grain size, organic carbon, clay mineralogy and environmental magnetic properties. Radiocarbon ages of sediments indicate that the 3.06 m long sediment core covers a period since similar to 45 cal kyr B.P. The sediments deposited before similar to 14 cal kyr B.P. were clayey silt with higher magnetic susceptibility (MS) values (av: 26 x 10(-8) m(3) kg(-1)) and those deposited after similar to 14 cal kyr B.P. were sandy silt with lower MS values (avg: 13 x 10(-8) m(3) kg(-1)). The latter period (after similar to 14 cal kyr B.P.) indicated high energy turbidites from the Himalayan Rivers into the BoB due to the strengthening of summer monsoon and ice-melt in the Himalayas. Higher smectite and lower illite contents during the last glacial maximum (LGM) reflected low sediment supply from the Ganges-Brahmaputra River System (GBRS) and higher illite and lower smectite during similar to 14 cal kyr B.P. indicated increased sediment supply from GBRS during this interglacial period. The magnetic grain size of sediments deposited from similar to 15 cal kyr B.P. was more fine-grained at the start of the Bolling-Allerod (B-A) event and coarse-grained during similar to 13 cal kyr B.P. (Younger Dryas event). Fine-grained magnetic minerals also showed a peak at similar to 11 cal kyr B.P. along with higher summer solar insolation. The down-core variations in sediment grain size, magnetic properties and clay minerals were interpreted in relation to the significant changes in sources of sediments in the BoB during different climatic events. The changing sediment supply in the BoB was due to the combined influence of ice-melt by increased solar insolation and intensification of summer monsoon over Himalaya. Increase of fine-grained magnetic minerals at similar to 15 cal kyr B.P. and coarser sediment fraction at similar to 14 cal kyr B.P. indicated time gap between intensification of summer monsoon and ice-melt over Himalaya, respectively. The trend of the magnetic grain size record seems to be modulated by orbital-scale variations in June insolation, which coincides with the summer monsoon variations also. These observed climatic variations are correlating well with the climate changes of the Northern Hemisphere during the Late Quaternary.</t>
  </si>
  <si>
    <t>[Prajith, A.; Tyagi, Abhishek; Kurian, P. John] MoES, ESSO Natl Ctr Antarctic &amp; Ocean Res, Vasco Da Gama 403804, Goa, India</t>
  </si>
  <si>
    <t>Ministry of Earth Sciences (MoES) - India; National Centre for Polar and Ocean Research (NCPOR)</t>
  </si>
  <si>
    <t>Kurian, PJ (corresponding author), MoES, ESSO Natl Ctr Antarctic &amp; Ocean Res, Vasco Da Gama 403804, Goa, India.</t>
  </si>
  <si>
    <t>john@ncaor.gov.in</t>
  </si>
  <si>
    <t>Prajith, A./0000-0002-8490-0369</t>
  </si>
  <si>
    <t>0031-0182</t>
  </si>
  <si>
    <t>1872-616X</t>
  </si>
  <si>
    <t>PALAEOGEOGR PALAEOCL</t>
  </si>
  <si>
    <t>Paleogeogr. Paleoclimatol. Paleoecol.</t>
  </si>
  <si>
    <t>10.1016/j.palaeo.2018.08.016</t>
  </si>
  <si>
    <t>Geography, Physical; Geosciences, Multidisciplinary; Paleontology</t>
  </si>
  <si>
    <t>Physical Geography; Geology; Paleontology</t>
  </si>
  <si>
    <t>HD5PY</t>
  </si>
  <si>
    <t>WOS:000452583600018</t>
  </si>
  <si>
    <t>Li, H; Xie, HJ; Kern, S; Wan, W; Ozsoy, B; Ackley, S; Hong, Y</t>
  </si>
  <si>
    <t>Li, Huan; Xie, Hongjie; Kern, Stefan; Wan, Wei; Ozsoy, Burcu; Ackley, Stephan; Hong, Yang</t>
  </si>
  <si>
    <t>Spatio-temporal variability of Antarctic sea-ice thickness and volume obtained from ICESat data using an innovative algorithm</t>
  </si>
  <si>
    <t>REMOTE SENSING OF ENVIRONMENT</t>
  </si>
  <si>
    <t>Buoyance equation; Empirical equation; One-layer method; Regional variation; Grid scale</t>
  </si>
  <si>
    <t>SNOW-DEPTH; FREEBOARD RETRIEVAL; WEDDELL-SEA; IN-SITU; ALTIMETRY; RADAR; COVER; BELLINGSHAUSEN; ATMOSPHERE; CLIMATE</t>
  </si>
  <si>
    <t>We use total (sea ice plus snow) freeboard as estimated from Ice, Cloud and land Elevation Satellite (ICESat) Geophysical Laser Altimeter System (GLAS) observations to compute Antarctic sea-ice thickness and volume. In order to overcome assumptions made about the relationship between snow depth and total freeboard or biases in snow depth products from satellite microwave radiometry, we implement a new algorithm. We treat the sea ice-snow system as one layer with reduced density, which we approximate by means of a priori information about the snow depth to sea-ice thickness ratio. We derive this a priori information directly from ICESat total freeboard data using empirical equations relating in-situ measurements of total freeboard to snow depth or sea-ice thickness. We apply our new algorithm (one-layer method or OLM), which uses the buoyancy equation approach without the need for auxiliary snow depth data, to compute sea-ice thickness for every ICESat GLAS footprint from a valid total freeboard. An improved method for sea-ice volume retrieval is also used to derive ice volume at 6.25 km scale. Spatio-temporal variations of sea-ice thickness and volume are then analyzed in the circumpolar Antarctic as well as its six sea sectors: Pacific Ocean, Indian Ocean, Weddell East, Weddell West, Bell-Amund Sea, and Ross Sea, under both interannual and seasonal scales. Because the OLM algorithm relies on only one parameter, the total freeboard, and is independent of auxiliary snow depth information, it is believed to become a viable alternative sea-ice thickness retrieval method for satellite altimetry.</t>
  </si>
  <si>
    <t>[Li, Huan; Wan, Wei; Hong, Yang] Peking Univ, Sch Earth &amp; Space Sci, Beijing 100871, Peoples R China; [Li, Huan; Hong, Yang] Tsinghua Univ, State Key Lab Hydrosci &amp; Engn, Dept Hydraul Engn, Beijing 10084, Peoples R China; [Xie, Hongjie; Ackley, Stephan] Univ Texas San Antonio, Dept Geol Sci, Lab Remote Sensing &amp; Geoinformat, San Antonio, TX 78249 USA; [Kern, Stefan] Univ Hamburg, Ctr Earth Syst Res &amp; Sustainabil CEN, Integrated Climate Data Ctr, D-20144 Hamburg, Germany; [Ozsoy, Burcu] Istanbul Tech Univ, Maritime Fac, Polar Res Ctr PolReC, TR-34940 Istanbul, Turkey; [Hong, Yang] Univ Oklahoma, Sch Civil Engn &amp; Environm Sci, Norman, OK 73019 USA</t>
  </si>
  <si>
    <t>Peking University; Tsinghua University; University of Texas System; University of Texas at San Antonio (UTSA); University of Hamburg; Istanbul Technical University; University of Oklahoma System; University of Oklahoma - Norman</t>
  </si>
  <si>
    <t>Wan, W (corresponding author), Peking Univ, Sch Earth &amp; Space Sci, Beijing 100871, Peoples R China.;Xie, HJ (corresponding author), Univ Texas San Antonio, Dept Geol Sci, Lab Remote Sensing &amp; Geoinformat, San Antonio, TX 78249 USA.</t>
  </si>
  <si>
    <t>hongiie.xie@utsa.edu; w.wan@pku.edu.cn</t>
  </si>
  <si>
    <t>Wan, Wei/HMU-8460-2023; Hong, Yang/D-5132-2009; Li, Huan/ABC-5400-2021; Xie, Hongjie/B-5845-2009; Ozsoy, Burcu/AAH-5348-2020</t>
  </si>
  <si>
    <t>Li, Huan/0000-0003-1204-8370; Xie, Hongjie/0000-0003-3516-1210; Ozsoy, Burcu/0000-0003-4320-1796; Kern, Stefan/0000-0001-7281-3746</t>
  </si>
  <si>
    <t>National Key Research and Development Program of China [2016YFE0102400]; U.S. NSF Antarctic program [1341717]; NSFC-CGIAR [7141101024]; Directorate For Geosciences; Office of Polar Programs (OPP) [1341717] Funding Source: National Science Foundation</t>
  </si>
  <si>
    <t>National Key Research and Development Program of China; U.S. NSF Antarctic program; NSFC-CGIAR; Directorate For Geosciences; Office of Polar Programs (OPP)(National Science Foundation (NSF)NSF - Directorate for Geosciences (GEO))</t>
  </si>
  <si>
    <t>This work was jointly supported by National Key Research and Development Program of China under grant No. 2016YFE0102400, the U.S. NSF Antarctic program (Grant No: 1341717), and the NSFC-CGIAR (Grant No. 7141101024). This study is also partly a result from the participation (H. Xie and S. Ackley) in the ICESat-2 Early Adopter Program. Critical reviews from the two anonymous reviewers to improve the paper are greatly appreciated. We would like to thank Doctors Yu Fang and Wenbin Shi from Tsinghua University for their inputs/edits to the early version of the paper.</t>
  </si>
  <si>
    <t>ELSEVIER SCIENCE INC</t>
  </si>
  <si>
    <t>360 PARK AVE SOUTH, NEW YORK, NY 10010-1710 USA</t>
  </si>
  <si>
    <t>0034-4257</t>
  </si>
  <si>
    <t>1879-0704</t>
  </si>
  <si>
    <t>REMOTE SENS ENVIRON</t>
  </si>
  <si>
    <t>Remote Sens. Environ.</t>
  </si>
  <si>
    <t>10.1016/j.rse.2018.09.031</t>
  </si>
  <si>
    <t>Environmental Sciences; Remote Sensing; Imaging Science &amp; Photographic Technology</t>
  </si>
  <si>
    <t>Environmental Sciences &amp; Ecology; Remote Sensing; Imaging Science &amp; Photographic Technology</t>
  </si>
  <si>
    <t>HA6GY</t>
  </si>
  <si>
    <t>WOS:000450379200004</t>
  </si>
  <si>
    <t>Takahashi, K; Nakai, Y; Motizuki, Y; Ino, T; Ito, S; Ohkubo, SB; Minami, T; Takaku, Y; Yamaguchi, Y; Tanaka, M; Motoyama, H</t>
  </si>
  <si>
    <t>Takahashi, Kazuya; Nakai, Yoichi; Motizuki, Yuko; Ino, Toshiyuki; Ito, Shigeru; Ohkubo, Satoru B.; Minami, Takeshi; Takaku, Yuichi; Yamaguchi, Yoshitaka; Tanaka, Miho; Motoyama, Hideaki</t>
  </si>
  <si>
    <t>High-sensitivity sulfur isotopic measurements for Antarctic ice core analyses</t>
  </si>
  <si>
    <t>RAPID COMMUNICATIONS IN MASS SPECTROMETRY</t>
  </si>
  <si>
    <t>ELEMENTAL ANALYZER; SULFATE</t>
  </si>
  <si>
    <t>Rationale Methods Sulfur is widely distributed in nature, and sulfur isotopic measurements have been applied to elucidate the origin and transport of sulfuric compounds in the lithosphere, biosphere, and atmosphere. Analyses of samples containing small amounts of sulfur, such as the Antarctic ice core samples analyzed herein, require a high-sensitivity analytical method. We developed a high-sensitivity sulfur isotopic ratio (delta S-34 value) analytical system equipped with an elemental analyzer, a cryo-flow device, and an isotope ratio mass spectrometer, and established a measurement and calibration procedure. Results Conclusions Using this system, we precisely measured the delta S-34 values of samples containing 5-40 nmol sulfate. Test runs were performed on samples from the Antarctic shallow ice core DF01, and the data obtained were consistent with those obtained by previous studies that reported delta S-34 values for Antarctic snow and ice samples of more than 200 g (containing more than 150 nmol sulfate). Among the analyzed samples, one showed a peak sulfate concentration in its depth profile that is considered to have resulted from a large volcanic eruption. The delta S-34 value obtained at that depth in the sample was distinct from values at other depths and consistent with reported values for volcanic sulfates. The analytical system developed herein is a powerful tool for trace sulfur isotopic analyses. The results obtained from the DF01 ice core samples are the first step towards elucidating high-time-resolution (less than 1 year) paleo-environmental changes by sulfur isotopic analyses.</t>
  </si>
  <si>
    <t>[Takahashi, Kazuya; Nakai, Yoichi; Motizuki, Yuko] RIKEN, 2-1 Hirosawa, Wako, Saitama 3510198, Japan; [Ino, Toshiyuki; Ito, Shigeru; Ohkubo, Satoru B.] Jasco Int Co Ltd, 1-11-10 Myojincho, Tokyo 1920046, Japan; [Minami, Takeshi] Kinki Univ, 3-4-1 Kowakae, Higashiosaka, Osaka 5778502, Japan; [Takaku, Yuichi] Inst Environm Sci, 1-7 Ienomae, Rokkasho, Aomori 0393212, Japan; [Yamaguchi, Yoshitaka; Tanaka, Miho] Tokyo Univ Marine Sci &amp; Technol, Minato Ku, 4-5-7 Konan, Tokyo 1088477, Japan; [Motoyama, Hideaki] Natl Inst Polar Res, 10-3 Midoricho, Tachikawa, Tokyo 1908518, Japan</t>
  </si>
  <si>
    <t>RIKEN; Kindai University (Kinki University); Tokyo University of Marine Science &amp; Technology; Research Organization of Information &amp; Systems (ROIS); National Institute of Polar Research (NIPR) - Japan</t>
  </si>
  <si>
    <t>Takahashi, K (corresponding author), RIKEN, 2-1 Hirosawa, Wako, Saitama 3510198, Japan.</t>
  </si>
  <si>
    <t>kazuyat@riken.jp</t>
  </si>
  <si>
    <t>TAKAHASHI, Miho TANAKA/O-1910-2014; Nakai, Yoichi/D-6190-2017; Takahashi, kazuyat/U-3232-2018</t>
  </si>
  <si>
    <t>Takahashi, kazuyat/0000-0002-5104-2601</t>
  </si>
  <si>
    <t>Japan Society for the Promotion of Science [26242016, 18K01094]; Funding Program for Next Generation World-Leading Researchers (NEXT Program) [GR098]; Japan Society for the Promotion of Science (JSPS) [22244015]; Council for Science and Technology Policy; Grants-in-Aid for Scientific Research [18K01094, 26242016, 22244015] Funding Source: KAKEN</t>
  </si>
  <si>
    <t>Japan Society for the Promotion of Science(Ministry of Education, Culture, Sports, Science and Technology, Japan (MEXT)Japan Society for the Promotion of Science); Funding Program for Next Generation World-Leading Researchers (NEXT Program)(Ministry of Education, Culture, Sports, Science and Technology, Japan (MEXT)Japan Society for the Promotion of Science); Japan Society for the Promotion of Science (JSPS)(Ministry of Education, Culture, Sports, Science and Technology, Japan (MEXT)Japan Society for the Promotion of Science); Council for Science and Technology Policy(Council for Science and Technology Policy (CSTP)); Grants-in-Aid for Scientific Research(Ministry of Education, Culture, Sports, Science and Technology, Japan (MEXT)Japan Society for the Promotion of ScienceGrants-in-Aid for Scientific Research (KAKENHI))</t>
  </si>
  <si>
    <t>This study was supported by Grants-in-Aid for Scientific Research (A) (Grant Number 26242016) and (C) (Grant Number 18K01094) from the Japan Society for the Promotion of Science. We also thank the Dome Fuji Ice Core Consortium for providing the ice core examined in this study. YM acknowledges support from the Funding Program for Next Generation World-Leading Researchers (NEXT Program, Grant Number GR098) initiated by the Council for Science and Technology Policy and the Japan Society for the Promotion of Science (JSPS) and a Grant-in-Aid for Scientific Research (A) (Grant Number 22244015) from JSPS.</t>
  </si>
  <si>
    <t>0951-4198</t>
  </si>
  <si>
    <t>1097-0231</t>
  </si>
  <si>
    <t>RAPID COMMUN MASS SP</t>
  </si>
  <si>
    <t>Rapid Commun. Mass Spectrom.</t>
  </si>
  <si>
    <t>10.1002/rcm.8275</t>
  </si>
  <si>
    <t>Biochemical Research Methods; Chemistry, Analytical; Spectroscopy</t>
  </si>
  <si>
    <t>Biochemistry &amp; Molecular Biology; Chemistry; Spectroscopy</t>
  </si>
  <si>
    <t>GZ9LB</t>
  </si>
  <si>
    <t>WOS:000449819700003</t>
  </si>
  <si>
    <t>Oliva, M; Ruiz-Fernández, J</t>
  </si>
  <si>
    <t>Oliva, M.; Ruiz-Fernandez, J.</t>
  </si>
  <si>
    <t>Late Quaternary environmental dynamics in Lenin Peak area (Pamir Mountains, Kyrgyzstan)</t>
  </si>
  <si>
    <t>Pamir Mountains; Lenin Peak; Quaternary; Geomorphology; Frozen ground</t>
  </si>
  <si>
    <t>LAST GLACIAL MAXIMUM; CENTRAL-ASIA; KARAKORAM-HIMALAYA; CLIMATE-CHANGE; ROCK AVALANCHES; OUTBURST FLOODS; PERMAFROST; REGION; VALLEY; TAJIKISTAN</t>
  </si>
  <si>
    <t>The Pamir Mountains include peaks exceeding 7000 m, such as Lenin Peak (7134 m) in the northern Zaalai Range. Here, we examine the distribution of soils and geomorphological processes and landforms in its northern slope, from the highest glaciated environments until Alai valley floor. We present the first geomorphological map of the study area as well as an accurate description the main geomorphological units in order to reconstruct landscape dynamics in the area from Quaternary cold stages until present-day. Five main units are distributed: (1) valley floor (2900-3040 m), an area that must have been ice-free during Quaternary glaciations and is currently being reshaped by glaciofluvial processes, with a large alluvial fan reworked by aeolian activity; (2) hummocky terrain (3040-3500 m) including two moraine systems left by a piedmont glacier during the Last Glaciation as well as hilly deposits originated by a catastrophic rockfall event; (3) U-shaped glacial valley (3500-3800 m), including some moraine ridges as well as a sedimentary cover composed of glacial till that is being eroded by fluvial and mass-wasting processes; (4) high mountain valleys (up to 4600-4800 m) adjacent to the main valley floor with small cirque and alpine glaciers and widespread periglacial processes in ice-free environments; (5) glaciers flowing from the Lenin Peak summit until the foot of the mountain, where they form a debris-covered (surge-type) glacier. The existence of abundant glacial, periglacial and rockfall deposits (moraines, till, erratic boulders) allows inferring five different environmental stages since the Last Glaciation. The latest glacial advances took place during the 20th century and the Little Ice Age and deposited two moraine systems near the glacial front. The occurrence of active rock glaciers and protalus lobes indicates that the limit of permafrost conditions is now located at 3400-3500 m, with seasonal frozen ground in lower areas. (C) 2018 Elsevier B.V. All rights reserved.</t>
  </si>
  <si>
    <t>[Oliva, M.] Univ Barcelona, Dept Geog, Barcelona, Spain; [Ruiz-Fernandez, J.] Univ Oviedo, Dept Geog, Oviedo, Spain</t>
  </si>
  <si>
    <t>University of Barcelona; University of Oviedo</t>
  </si>
  <si>
    <t>Oliva, M (corresponding author), Univ Barcelona, Dept Geog, Fac Geog &amp; Hist, C Montalegre 6, Barcelona 08001, Spain.</t>
  </si>
  <si>
    <t>marcoliva@ub.edu</t>
  </si>
  <si>
    <t>Oliva, Marc/K-5423-2014</t>
  </si>
  <si>
    <t>Oliva, Marc/0000-0001-6521-6388</t>
  </si>
  <si>
    <t>Ramon y Cajal Program [RYC-2015-17597]; ANTALP (Antarctic, Arctic, Alpine Environments) Research Group of the Catalan Government [2017-SGR-1102]; Spanish Ministry of Economy, Industry and Competitiveness [CTM2017-87976-P]</t>
  </si>
  <si>
    <t>Ramon y Cajal Program(Spanish Government); ANTALP (Antarctic, Arctic, Alpine Environments) Research Group of the Catalan Government; Spanish Ministry of Economy, Industry and Competitiveness</t>
  </si>
  <si>
    <t>Research activities of Marc Oliva are financially supported by the Ramon y Cajal Program (RYC-2015-17597). This work was also supported by the ANTALP (Antarctic, Arctic, Alpine Environments; 2017-SGR-1102) Research Group of the Catalan Government as well as by the project CTM2017-87976-P of the Spanish Ministry of Economy, Industry and Competitiveness. We are grateful to Patrizia Bruno for her support during field season activities and Benjamin Gonzalez-Diaz for his help in the elaboration of Fig. 3.</t>
  </si>
  <si>
    <t>10.1016/j.scitotenv.2018.07.178</t>
  </si>
  <si>
    <t>GU3GI</t>
  </si>
  <si>
    <t>WOS:000445164200060</t>
  </si>
  <si>
    <t>Roncon, G; Bestley, S; McMahon, CR; Wienecke, B; Hindell, MA</t>
  </si>
  <si>
    <t>Roncon, Giulia; Bestley, Sophie; McMahon, Clive R.; Wienecke, Barbara; Hindell, Mark A.</t>
  </si>
  <si>
    <t>View From Below: Inferring Behavior and Physiology of Southern Ocean Marine Predators From Dive Telemetry</t>
  </si>
  <si>
    <t>FRONTIERS IN MARINE SCIENCE</t>
  </si>
  <si>
    <t>diving behavior; dive variables; seals; marine mammals; penguins; data loggers; comparative analyses; Antarctica</t>
  </si>
  <si>
    <t>ANTARCTIC FUR SEALS; HIDDEN MARKOV-MODELS; ANIMAL-BORNE CAMERA; LONG FORAGING TRIPS; BREATH-HOLD DIVERS; QUEEN-MAUD-LAND; DIVING BEHAVIOR; ELEPHANT SEALS; EMPEROR PENGUINS; WEDDELL SEALS</t>
  </si>
  <si>
    <t>Air-breathing marine animals, such as seals and seabirds, undertake a special form of central-place foraging as they must obtain their food at depth yet return to the surface to breathe. While telemetry technologies have advanced our understanding of the foraging behavior and physiology of these marine predators, the proximate and ultimate influences controlling the diving behavior of individuals are still poorly understood. Over time, a wide variety of analytical approaches have been developed for dive data obtained via telemetry, making comparative studies and syntheses difficult even amongst closely-related species. Here we review publications using dive telemetry for 24 species (marine mammals and seabirds) in the Southern Ocean in the last decade (2006-2016). We determine the key questions asked, and examine how through the deployment of data loggers these questions are able to be answered. As part of this process we describe the measured and derived dive variables that have been used to make inferences about diving behavior, foraging, and physiology. Adopting a question-driven orientation highlights the benefits of a standardized approach for comparative analyses and the development of models. Ultimately, this should promote robust treatment of increasingly complex data streams, improved alignment across diverse research groups, and also pave the way for more integrative multi-species meta-analyses. Finally, we discuss key emergent areas in which dive telemetry data are being upscaled and more quantitatively integrated with movement and demographic information to link to population level consequences.</t>
  </si>
  <si>
    <t>[Roncon, Giulia; Bestley, Sophie; McMahon, Clive R.; Hindell, Mark A.] Univ Tasmania, Inst Marine &amp; Antarctic Studies, Hobart, Tas, Australia; [Bestley, Sophie; McMahon, Clive R.; Wienecke, Barbara; Hindell, Mark A.] Australian Antarctic Div, Dept Environm &amp; Energy, Kingston, Tas, Australia; [Bestley, Sophie; McMahon, Clive R.; Hindell, Mark A.] Sydney Inst Marine Sci, Mossman, NSW, Australia; [Bestley, Sophie; Hindell, Mark A.] Antarctic Climate &amp; Ecosyst Cooperat Res Ctr, Hobart, Tas, Australia</t>
  </si>
  <si>
    <t>University of Tasmania; Australian Antarctic Division; Sydney Institute of Marine Science; Antarctic Climate &amp; Ecosystems Cooperative Research Centre (ACE CRC)</t>
  </si>
  <si>
    <t>Roncon, G (corresponding author), Univ Tasmania, Inst Marine &amp; Antarctic Studies, Hobart, Tas, Australia.</t>
  </si>
  <si>
    <t>giulia.roncon@utas.edu.au</t>
  </si>
  <si>
    <t>McMahon, Clive R/D-5713-2013; Bestley, Sophie/AAN-2483-2021; Hindell, Mark A/K-1131-2013; Roncon, Giulia/AAC-2524-2020</t>
  </si>
  <si>
    <t>McMahon, Clive R/0000-0001-5241-8917; Bestley, Sophie/0000-0001-9342-669X; Roncon, Giulia/0000-0003-3852-147X; Hindell, Mark/0000-0002-7823-7185</t>
  </si>
  <si>
    <t>Tasmania Graduate Research Scholarship by the University of Tasmania; Elite Research Top-up by the University of Tasmania; Australian Research Council Australian Discovery Early Career Award - Australian Government [DE180100828]</t>
  </si>
  <si>
    <t>Tasmania Graduate Research Scholarship by the University of Tasmania; Elite Research Top-up by the University of Tasmania; Australian Research Council Australian Discovery Early Career Award - Australian Government(Australian Research Council)</t>
  </si>
  <si>
    <t>GR is recipient of a Tasmania Graduate Research Scholarship and Elite Research Top-up both provided by the University of Tasmania; SB is the recipient of an Australian Research Council Australian Discovery Early Career Award (project number DE180100828) funded by the Australian Government.</t>
  </si>
  <si>
    <t>2296-7745</t>
  </si>
  <si>
    <t>FRONT MAR SCI</t>
  </si>
  <si>
    <t>Front. Mar. Sci.</t>
  </si>
  <si>
    <t>DEC 14</t>
  </si>
  <si>
    <t>10.3389/fmars.2018.00464</t>
  </si>
  <si>
    <t>HJ5JN</t>
  </si>
  <si>
    <t>WOS:000457217000001</t>
  </si>
  <si>
    <t>Dore, J</t>
  </si>
  <si>
    <t>Dore, Jonathan</t>
  </si>
  <si>
    <t>FOUR ANTARCTIC YEARS IN THE SOUTH ORKNEY ISLANDS</t>
  </si>
  <si>
    <t>TLS-THE TIMES LITERARY SUPPLEMENT</t>
  </si>
  <si>
    <t>TIMES SUPPLEMENTS LIMITED</t>
  </si>
  <si>
    <t>MARKET HARBOROUGH</t>
  </si>
  <si>
    <t>TOWER HOUSE, SOVEREIGN PARK, MARKET HARBOROUGH LE87 4JJ, ENGLAND</t>
  </si>
  <si>
    <t>0307-661X</t>
  </si>
  <si>
    <t>1366-7211</t>
  </si>
  <si>
    <t>TLS-TIMES LIT SUPPL</t>
  </si>
  <si>
    <t>TLS-Times Lit. Suppl.</t>
  </si>
  <si>
    <t>HF1PL</t>
  </si>
  <si>
    <t>WOS:000453938800016</t>
  </si>
  <si>
    <t>Caccavo, JA; Papetti, C; Wetjen, M; Knust, R; Ashford, JR; Zane, L</t>
  </si>
  <si>
    <t>Caccavo, Jilda Alicia; Papetti, Chiara; Wetjen, Maj; Knust, Rainer; Ashford, Julian R.; Zane, Lorenzo</t>
  </si>
  <si>
    <t>Along-shelf connectivity and circumpolar gene flow in Antarctic silverfish (Pleuragramma antarctica)</t>
  </si>
  <si>
    <t>EARLY-LIFE STAGES; TERRA-NOVA BAY; SPATIAL-DISTRIBUTION; POPULATION-STRUCTURE; NOTOTHENIOID FISH; SOUTH ORKNEY; R-PACKAGE; PISCES; SEA; PENINSULA</t>
  </si>
  <si>
    <t>The Antarctic silverfish (Pleuragramma antarctica) is a critically important forage species with a circumpolar distribution and is unique among other notothenioid species for its wholly pelagic life cycle. Previous studies have provided mixed evidence of population structure over regional and circumpolar scales. The aim of the present study was to test the recent population hypothesis for Antarctic silverfish, which emphasizes the interplay between life history and hydrography in shaping connectivity. A total of 1067 individuals were collected over 25 years from different locations on a circumpolar scale. Samples were genotyped at fifteen microsatellites to assess population differentiation and genetic structuring using clustering methods, F-statistics, and hierarchical analysis of variance. A lack of differentiation was found between locations connected by the Antarctic Slope Front Current (ASF), indicative of high levels of gene flow. However, gene flow was significantly reduced at the South Orkney Islands and the western Antarctic Peninsula where the ASF is absent. This pattern of gene flow emphasized the relevance of large-scale circulation as a mechanism for circumpolar connectivity. Chaotic genetic patchiness characterized population structure over time, with varying patterns of differentiation observed between years, accompanied by heterogeneous standard length distributions. The present study supports a more nuanced version of the genetic panmixia hypothesis that reflects physical-biological interactions over the life history.</t>
  </si>
  <si>
    <t>[Caccavo, Jilda Alicia; Papetti, Chiara; Zane, Lorenzo] Univ Padua, Dept Biol, Via G Colombo 3, I-35121 Padua, Italy; [Papetti, Chiara; Zane, Lorenzo] Consorzio Nazl Interuniv Sci Mare CoNISMa, Piazzale Flaminio 9, I-00196 Rome, Italy; [Wetjen, Maj] Univ Koblenz Landau, Inst Environm Sci, Fortstr 7, D-76829 Landau, Germany; [Knust, Rainer] Alfred Wegener Inst, Helmholtz Ctr Polar &amp; Marine Res, Alten Hafen 26, D-27568 Bremerhaven, Germany; [Ashford, Julian R.] Old Dominion Univ, Dept Ocean Earth &amp; Atmospher Sci, Ctr Quantitat Fisheries Ecol, 800 West 46th St, Norfolk, VA 23508 USA</t>
  </si>
  <si>
    <t>University of Padua; CoNISMa; University of Koblenz &amp; Landau; Helmholtz Association; Alfred Wegener Institute, Helmholtz Centre for Polar &amp; Marine Research; Old Dominion University</t>
  </si>
  <si>
    <t>Caccavo, JA (corresponding author), Univ Padua, Dept Biol, Via G Colombo 3, I-35121 Padua, Italy.</t>
  </si>
  <si>
    <t>ergo@jildacaccavo.com</t>
  </si>
  <si>
    <t>Caccavo, Jilda Alicia/GWN-1019-2022; Zane, Lorenzo/G-6249-2010; Caccavo, Jilda Alicia/D-3236-2018</t>
  </si>
  <si>
    <t>Caccavo, Jilda Alicia/0000-0002-8172-7855; Zane, Lorenzo/0000-0002-6963-2132; Caccavo, Jilda Alicia/0000-0002-8172-7855; Papetti, Chiara/0000-0002-4567-459X</t>
  </si>
  <si>
    <t>National Program for Antarctic Research [PNRA16_307]; Cariparo Fellowship; Antarctic Science International (ASI) Bursary; Scientific Committee for Antarctic Research (SCAR) Fellowship; Erasmus + Student Traineeship; University of Padua [BIRD164793/16]; European Marie Curie project Polarexpress [622320]; National Science Foundation [0741348]</t>
  </si>
  <si>
    <t>National Program for Antarctic Research; Cariparo Fellowship(Fondazione Cariparo); Antarctic Science International (ASI) Bursary; Scientific Committee for Antarctic Research (SCAR) Fellowship; Erasmus + Student Traineeship; University of Padua; European Marie Curie project Polarexpress(European Union (EU)Marie Curie Actions); National Science Foundation(National Science Foundation (NSF))</t>
  </si>
  <si>
    <t>We would like to thank Nils Koschnick (AWI) and Emilio Riginella (University of Padua) for collecting the 2012 AP and 2014 WS samples during 'Polarstern' ANT-XXVIII/4 and ANT-XXIX/9 cruises. We thank Luca Schiavon (University of Padua) for helping to run the POWSIM analysis, and Mathieu Casado (AWI, Potsdam) for assistance in the creation of the map figure. We are indebted to two anonymous reviewers who greatly improved the quality of the final version of the manuscript. This work was supported by the National Program for Antarctic Research (PNRA16_307) to L.Z.; J.A.C. is a PhD student in Evolution, Ecology, and Conservation at the University of Padua, with funding from a Cariparo Fellowship for foreign students and additional support from an Antarctic Science International (ASI) Bursary, a Scientific Committee for Antarctic Research (SCAR) Fellowship, and an Erasmus + Student Traineeship. C.P. acknowledges financial support from the University of Padua (BIRD164793/16) and from the European Marie Curie project Polarexpress Grant No. 622320. Funding for J.R.A. was provided by the National Science Foundation (Grant No. 0741348).</t>
  </si>
  <si>
    <t>10.1038/s41598-018-36030-x</t>
  </si>
  <si>
    <t>HE3BD</t>
  </si>
  <si>
    <t>WOS:000453224400017</t>
  </si>
  <si>
    <t>Joyce, W; Axelsson, M; Egginton, S; Farrell, AP; Crockett, EL; O'Brien, KM</t>
  </si>
  <si>
    <t>Joyce, William; Axelsson, Michael; Egginton, Stuart; Farrell, Anthony P.; Crockett, Elizabeth L.; O'Brien, Kristin M.</t>
  </si>
  <si>
    <t>The effects of thermal acclimation on cardio-respiratory performance in an Antarctic fish (Notothenia coriiceps)</t>
  </si>
  <si>
    <t>CONSERVATION PHYSIOLOGY</t>
  </si>
  <si>
    <t>Blood flow; heart rate; notothenioid fish; oxygen consumption; temperature</t>
  </si>
  <si>
    <t>TROUT ONCORHYNCHUS-MYKISS; AEROBIC SCOPE; PHYSIOLOGICAL PLASTICITY; VENOUS CAPACITANCE; STRESS-RESPONSE; HEAT TOLERANCE; CARDIAC-OUTPUT; TEMPERATURE; TELEOST; BLOOD</t>
  </si>
  <si>
    <t>The Southern Ocean has experienced stable, cold temperatures for over 10 million years, yet particular regions are currently undergoing rapid warming. To investigate the impacts of warming on cardiovascular oxygen transport, we compared the cardio-respiratory performance in an Antarctic notothenioid (Notothenia coriiceps) that was maintained at 0 or 5 degrees C for 6.0-9.5 weeks. When compared at the fish's respective acclimation temperature, the oxygen consumption rate and cardiac output were significantly higher in 5 degrees C-acclimated than 0 degrees C-acclimated fish. The 2.7-fold elevation in cardiac output in 5 degrees C-acclimated fish (17.4 vs. 6.5 ml min(-1) kg(-1)) was predominantly due to a doubling of stroke volume, likely in response to increased cardiac preload, as measured by higher central venous pressure (0.15 vs. 0.08 kPa); tachycardia was minor (295 vs. 25.2 beats min(-1)). When fish were acutely warmed, oxygen consumption rate increased by similar amounts in 0 degrees C- and 5 degrees C-acclimated fish at equivalent test temperatures. In both acclimation groups, the increases in oxygen consumption rate during acute heating were supported by increased cardiac output achieved by elevating heart rate, while stroke volume changed relatively little. Cardiac output was similar between both acclimation groups until 12 degrees C when cardiac output became significantly higher in 5 degrees C-acclimated fish, driven largely by their higher stroke volume. Although cardiac arrhythmias developed at a similar temperature (similar to 14.5 degrees C) in both acclimation groups, the hearts of 5 degrees C-acclimated fish continued to pump until significantly higher temperatures (CTmax for cardiac function 17.7 vs. 15.0 degrees C for 0 degrees C-acclimated fish). These results demonstrate that N. coriiceps is capable of increasing routine cardiac output during both acute and chronic warming, although the mechanisms are different (heart rate-dependent versus primarily stroke volume-dependent regulation, respectively). Cardiac performance was enhanced at higher temperatures following 5 degrees C acclimation, suggesting cardiovascular function may not constrain the capacity of N. coriiceps to withstand a warming climate.</t>
  </si>
  <si>
    <t>[Joyce, William] Aarhus Univ, Dept Zoophysiol, DK-8000 Aarhus C, Denmark; [Axelsson, Michael] Univ Gothenburg, Dept Biol &amp; Environm Sci, S-40530 Gothenburg, Sweden; [Egginton, Stuart] Univ Leeds, Sch Biomed Sci, Leeds, W Yorkshire, England; [Farrell, Anthony P.] Univ British Columbia, Dept Zool, Vancouver, BC V6T 1Z4, Canada; [Crockett, Elizabeth L.] Ohio Univ, Dept Biol Sci, Athens, OH 45701 USA; [O'Brien, Kristin M.] Univ Alaska, Inst Arctic Biol, Fairbanks, AK 99775 USA</t>
  </si>
  <si>
    <t>Aarhus University; University of Gothenburg; University of Leeds; University of British Columbia; University System of Ohio; Ohio University; University of Alaska System; University of Alaska Fairbanks</t>
  </si>
  <si>
    <t>Joyce, W (corresponding author), Aarhus Univ, Dept Zoophysiol, DK-8000 Aarhus C, Denmark.</t>
  </si>
  <si>
    <t>william.joyce@bios.au.dk</t>
  </si>
  <si>
    <t>Joyce, William/U-7093-2019; Axelsson, Michael/D-1412-2009</t>
  </si>
  <si>
    <t>Joyce, William/0000-0002-3782-1641; Axelsson, Michael/0000-0002-7839-3233</t>
  </si>
  <si>
    <t>National Science Foundation [ANT 1341663, ANT 1341602]</t>
  </si>
  <si>
    <t>National Science Foundation(National Science Foundation (NSF))</t>
  </si>
  <si>
    <t>This study was supported by grants from the National Science Foundation (ANT 1341663 to K.M.O. and ANT 1341602 to E.L.C.). A.P.F. holds a Canada Research Chair.</t>
  </si>
  <si>
    <t>2051-1434</t>
  </si>
  <si>
    <t>CONSERV PHYSIOL</t>
  </si>
  <si>
    <t>Conserv. Physiol.</t>
  </si>
  <si>
    <t>DEC 13</t>
  </si>
  <si>
    <t>coy069</t>
  </si>
  <si>
    <t>10.1093/conphys/coy069</t>
  </si>
  <si>
    <t>Biodiversity Conservation; Ecology; Environmental Sciences; Physiology</t>
  </si>
  <si>
    <t>Biodiversity &amp; Conservation; Environmental Sciences &amp; Ecology; Physiology</t>
  </si>
  <si>
    <t>HQ6TW</t>
  </si>
  <si>
    <t>WOS:000462551900001</t>
  </si>
  <si>
    <t>Hermosilla, C; Hirzmann, J; Silva, LMR; Scheufen, S; Prenger-Berninghoff, E; Ewers, C; Häussermann, V; Försterra, G; Poppert, S; Taubert, A</t>
  </si>
  <si>
    <t>Hermosilla, Carlos; Hirzmann, Joerg; Silva, Liliana M. R.; Scheufen, Sandra; Prenger-Berninghoff, Ellen; Ewers, Christa; Haussermann, Vreni; Forsterra, Gunter; Poppert, Sven; Taubert, Anja</t>
  </si>
  <si>
    <t>Gastrointestinal Parasites and Bacteria in Free-Living South American Sea Lions (Otaria flavescens) in Chilean Comau Fjord and New Host Record of a Diphyllobothrium scoticum-Like Cestode</t>
  </si>
  <si>
    <t>Otaria flavescens; Diphyllobothrium scoticum; Balantidium; Entamoeba; Clostridium</t>
  </si>
  <si>
    <t>BOTTLE-NOSED DOLPHINS; TAPEWORM ADENOCEPHALUS-PACIFICUS; GROUP-B SALMONELLA; CLOSTRIDIUM-PERFRINGENS; ZALOPHUS-CALIFORNIANUS; BALANTIDIUM-COLI; MARINE MAMMALS; PHOCA-VITULINA; ARCTOCEPHALUS-AUSTRALIS; REHABILITATION CENTER</t>
  </si>
  <si>
    <t>Present study aimed to characterize gastrointestinal parasites and culturable bacteria from free-living South American sea lions (Otaria flavescens) inhabiting waters of Comau Fjord, Patagonia, Chile. Therefore, a total of 28 individual fecal samples were collected from sea lions within their natural marine habitat during several diving expeditions. Using classical parasitological techniques, study revealed infections with five different gastrointestinal parasite genera. In addition, bacterial cultures showed presence of at least 28 different bacterial genera. Referring to parasites, protozoan, and metazoan species were found with some of them bearing anthropozoonotic potential and/or pathogenic impact for these marine mammals. As such, four of identified parasite genera harbored zoonotic potential (i.e., Entamoeba, Balantidium, Diphyllobothrium, Anisakis) and one genus (Parafilaroides) represented a specific lungworm of marine pinnipeds. Proglottids from fecal samples showed high morphological homology to Diphyllobothrium scoticum (Rennie and Reid, 1912; Meggitt, 1924), which was found in Antarctic sea leopards (Hydrurga leptonyx; Phocidae), but contained eggs of smaller size. Molecular characterization revealed 97-100% identity to a new Diphyllobothrium species which was recently isolated from a Californian sea lion (Zalophus califomianus; Otariidae) in San Francisco. As such, O. flavescens represents a new host record for this parasite species. Furthermore, potential zoonotic bacteria (i.e., Clostridium, Escherichia, Vibrio, Yersinia, Salmonella) were identified amongst others in O. flavescens indicating a reservoir role for these pinnipeds in marine ecosystem. Current data should be considered as a baseline study for future monitoring surveys on anthropozoonotic pathogens circulating in wild free-living sea lions and their possible impact on public health issues and marine wildlife.</t>
  </si>
  <si>
    <t>[Hermosilla, Carlos; Hirzmann, Joerg; Silva, Liliana M. R.; Taubert, Anja] Justus Liebig Univ Giessen, Inst Parasitol, Giessen, Germany; [Scheufen, Sandra; Prenger-Berninghoff, Ellen; Ewers, Christa] Justus Liebig Univ Giessen, Inst Hyg &amp; Infect Dis Anim, Giessen, Germany; [Haussermann, Vreni; Forsterra, Gunter] Huinay Sci Field Stn, Puerto Montt, Chile; [Haussermann, Vreni; Forsterra, Gunter] Pontificia Univ Catolica Valparaiso, Valparaiso, Chile; [Poppert, Sven] Swiss Trop &amp; Publ Hlth Inst, Basel, Switzerland</t>
  </si>
  <si>
    <t>Justus Liebig University Giessen; Justus Liebig University Giessen; Pontificia Universidad Catolica de Valparaiso; University of Basel; Swiss Tropical &amp; Public Health Institute</t>
  </si>
  <si>
    <t>Hermosilla, C (corresponding author), Justus Liebig Univ Giessen, Inst Parasitol, Giessen, Germany.</t>
  </si>
  <si>
    <t>Carlos.R.Hermosilla@vetmed.uni-giessen.de</t>
  </si>
  <si>
    <t>Ewers, Christa/AAL-9186-2020</t>
  </si>
  <si>
    <t>Silva, Liliana M. R./0000-0002-2217-9983; Haussermann, Verena Susanne/0000-0001-9630-7477; Taubert, Anja/0000-0001-8649-1020</t>
  </si>
  <si>
    <t>Institute of Parasitology (JLU Giessen); Institute for Hygiene and Infectious Diseases of Animals (JLU Giessen); Huinay Scientific Field Station (Chile)</t>
  </si>
  <si>
    <t>This work was partially funded by the Institute of Parasitology (JLU Giessen), the Institute for Hygiene and Infectious Diseases of Animals (JLU Giessen), and Huinay Scientific Field Station (Chile).</t>
  </si>
  <si>
    <t>10.3389/fmars.2018.00459</t>
  </si>
  <si>
    <t>HJ5IY</t>
  </si>
  <si>
    <t>WOS:000457215300001</t>
  </si>
  <si>
    <t>Boubeta, FM; Boechi, L; Estrin, D; Patrizi, B; Di Donato, M; Iagatti, A; Giordano, D; Verde, C; Bruno, S; Abbruzzetti, S; Viappiani, C</t>
  </si>
  <si>
    <t>Boubeta, Fernando M.; Boechi, Leonardo; Estrin, Dario; Patrizi, Barbara; Di Donato, Mariangela; Iagatti, Alessandro; Giordano, Daniela; Verde, Cinzia; Bruno, Stefano; Abbruzzetti, Stefania; Viappiani, Cristiano</t>
  </si>
  <si>
    <t>Cold-Adaptation Signatures in the Ligand Rebinding Kinetics to the Truncated Hemoglobin of the Antarctic Bacterium Pseudoalteromonas haloplanktis TAC125</t>
  </si>
  <si>
    <t>JOURNAL OF PHYSICAL CHEMISTRY B</t>
  </si>
  <si>
    <t>NITRIC-OXIDE; MYCOBACTERIUM-TUBERCULOSIS; HYDROPHOBIC CAVITIES; MOLECULAR-DYNAMICS; MIGRATION PATHWAYS; ALLOSTERIC MODEL; HEME; BINDING; MYOGLOBIN; PROTEIN</t>
  </si>
  <si>
    <t>Cold-adapted organisms have evolved proteins endowed with higher flexibility and lower stability in comparison to their thermophilic homologues, resulting in enhanced reaction rates at low temperatures. In this context, protein-bound water molecules were suggested to play a major role, and their weaker interactions at protein active sites have been associated with cold adaptation. In this work, we tested this hypothesis on truncated hemoglobins (a family of microbial heme-proteins of yet-unclear function) applying molecular dynamics simulations and ligand-rebinding kinetics on a protein from the Antarctic bacterium Pseudoalteromonas haloplanktis TAC125 in comparison with its thermophilic Thermobifida fusca homologue. The CO rebinding kinetics of the former highlight several geminate phases, with an unusually long-lived geminate intermediate. An articulated tunnel with at least two distinct docking sites was identified by analysis of molecular dynamics simulations and was suggested to be at the origin of the unusual geminate rebinding phase. Water molecules are present in the distal pocket, but their stabilization by TrpG8, TyrB10, and HisCD1 is much weaker than in thermophilic Thermobifida fusca truncated hemoglobin, resulting in a faster geminate rebinding. Our results support the hypothesis that weaker water-molecule interactions at the reaction site are associated with cold adaptation.</t>
  </si>
  <si>
    <t>[Boubeta, Fernando M.; Estrin, Dario] Consejo Nacl Invest Cient &amp; Tecn, Inst Quim Fis Mat Medio Ambiente &amp; Energia INQUIM, C1428EHA, Buenos Aires, DF, Argentina; [Boubeta, Fernando M.; Estrin, Dario] Univ Buenos Aires, C1428EHA, Buenos Aires, DF, Argentina; [Boechi, Leonardo] Univ Buenos Aires, Fac Ciencias Exactas &amp; Nat, Inst Calculo, C1428EGA, Buenos Aires, DF, Argentina; [Patrizi, Barbara; Di Donato, Mariangela; Iagatti, Alessandro] Univ Firenze, European Lab Non Linear Spect LENS, Via Nello Carrara 1, I-50019 Florence, Italy; [Patrizi, Barbara; Di Donato, Mariangela] CNR, INO, Largo Fermi 6, I-50125 Florence, Italy; [Giordano, Daniela; Verde, Cinzia] CNR, Inst Biosci &amp; BioResources IBBR, Via Pietro Castellino 111, I-80131 Naples, Italy; [Giordano, Daniela; Verde, Cinzia] Stn Zool Anton Dohrn, I-80121 Naples, Italy; [Bruno, Stefano] Univ Parma, Dipartimento Sci Alimenti &amp; Farmaco, Parco Area Sci 23A, I-43124 Parma, Italy; [Abbruzzetti, Stefania; Viappiani, Cristiano] Univ Parma, Dipartimento Sci Matemat Fis &amp; Informat, Parco Area Sci 7A, I-43124 Parma, Italy</t>
  </si>
  <si>
    <t>Consejo Nacional de Investigaciones Cientificas y Tecnicas (CONICET); University of Buenos Aires; University of Buenos Aires; University of Florence; Consiglio Nazionale delle Ricerche (CNR); Istituto Nazionale di Ottica (INO-CNR); Consiglio Nazionale delle Ricerche (CNR); Istituto di Bioscienze e Biorisorse (IBBR-CNR); Stazione Zoologica Anton Dohrn di Napoli; University of Parma; University of Parma</t>
  </si>
  <si>
    <t>Viappiani, C (corresponding author), Univ Parma, Dipartimento Sci Matemat Fis &amp; Informat, Parco Area Sci 7A, I-43124 Parma, Italy.</t>
  </si>
  <si>
    <t>cristiano.viappiani@unipr.it</t>
  </si>
  <si>
    <t>Viappiani, Cristiano/AAC-7579-2019; DI DONATO, MARIANGELA/M-3932-2019; Giordano, Daniela/AFK-7772-2022; abbruzzetti, stefania/AAE-5518-2020; Estrin, Dario/AAY-7549-2020; Patrizi, Barbara/K-7834-2019; Iagatti, Alessandro/O-1206-2013; Bruno, Stefano/A-4582-2011</t>
  </si>
  <si>
    <t>Viappiani, Cristiano/0000-0001-7470-4770; DI DONATO, MARIANGELA/0000-0002-6596-7031; Giordano, Daniela/0000-0002-8891-6245; abbruzzetti, stefania/0000-0001-7685-8554; Patrizi, Barbara/0000-0003-2696-1611; Estrin, Dario/0000-0002-5006-7225; Iagatti, Alessandro/0000-0003-3600-0849; Bruno, Stefano/0000-0002-7890-2472; VERDE, Cinzia/0000-0001-6185-282X</t>
  </si>
  <si>
    <t>Italian National Programme for Antarctic Research (PNRA) [PdR 2013/AZ1.20]; Universidad de Buenos Aires [UBACYT 20020130100097BA]; Agencia Nacional de Promotion Cientifica y Tecnologica [PICT 2014-1022, PICT 2015-2761, 2015-2989]; Bunge &amp; Born Foundation; Azienda USL di Piacenza; Fondazione di Piacenza e Vigevano; European Union's Horizon 2020 Research and Innovation Programme [654148, H2020 EC-GA 654148]</t>
  </si>
  <si>
    <t>Italian National Programme for Antarctic Research (PNRA); Universidad de Buenos Aires(University of Buenos Aires); Agencia Nacional de Promotion Cientifica y Tecnologica; Bunge &amp; Born Foundation; Azienda USL di Piacenza; Fondazione di Piacenza e Vigevano; European Union's Horizon 2020 Research and Innovation Programme(Horizon 2020)</t>
  </si>
  <si>
    <t>This study was carried out in the framework of the SCAR program Antarctic Thresholds: Ecosystem Resilience and Adaptation (AnT-ERA). C.V., D.G., and S.B. acknowledge financial support by the Italian National Programme (PdR 2013/AZ1.20) for Antarctic Research (PNRA). D.E. and L.B. acknowledge funding from Universidad de Buenos Aires (Grant UBACYT 20020130100097BA) and Agencia Nacional de Promotion Cientifica y Tecnologica Grants PICT 2014-1022, PICT 2015-2761, and 2015-2989. L.B. acknowledges Bunge &amp; Born Foundation for financial support. S.A. and C.V. acknowledge Azienda USL di Piacenza and Fondazione di Piacenza e Vigevano for financial support. C.V. acknowledges S. E. Braslaysky for the kind donation of the Spectron laser. All computer simulations were run at Centro de Computo de Alto Rendimiento (CECAR). This project has received funding from the European Union's Horizon 2020 Research and Innovation Programme under Grant 654148 Laserlab-Europe (Laserlab-Europe, H2020 EC-GA 654148).</t>
  </si>
  <si>
    <t>AMER CHEMICAL SOC</t>
  </si>
  <si>
    <t>1155 16TH ST, NW, WASHINGTON, DC 20036 USA</t>
  </si>
  <si>
    <t>1520-6106</t>
  </si>
  <si>
    <t>1520-5207</t>
  </si>
  <si>
    <t>J PHYS CHEM B</t>
  </si>
  <si>
    <t>J. Phys. Chem. B</t>
  </si>
  <si>
    <t>10.1021/acs.jpcb.8b07682</t>
  </si>
  <si>
    <t>Chemistry, Physical</t>
  </si>
  <si>
    <t>HE6BK</t>
  </si>
  <si>
    <t>WOS:000453488100068</t>
  </si>
  <si>
    <t>Grewe, F; Lagostina, E; Wu, HN; Printzen, C; Lumbsch, HT</t>
  </si>
  <si>
    <t>Grewe, Felix; Lagostina, Elisa; Wu, Huini; Printzen, Christian; Lumbsch, H. Thorsten</t>
  </si>
  <si>
    <t>Population genomic analyses of RAD sequences resolves the phylogenetic relationship of the lichen-forming fungal species Usnea antarctica and Usnea aurantiacoatra</t>
  </si>
  <si>
    <t>MYCOKEYS</t>
  </si>
  <si>
    <t>Antarctica; Ascomycota; lichens; Parmeliaceae; phylogeny; RADseq</t>
  </si>
  <si>
    <t>PAIR CONCEPT; MOLECULAR-DATA; BETA-TUBULIN; EVOLUTION; ASCOMYCOTA; PARMELIACEAE; DNA; CLASSIFICATION; DELIMITATION; DIVERSIFICATION</t>
  </si>
  <si>
    <t>Neuropogonoid species in the lichen-forming fungal genus Usnea exhibit great morphological variation that can be misleading for delimitation of species. We specifically focused on the species delimitation of two closely-related, predominantly Antarctic species differing in the reproductive mode and representing a so-called species pair: the asexual U. antarctica and the sexual U. aurantiacoatra. Previous studies have revealed contradicting results. While multi-locus studies based on DNA sequence data provided evidence that these two taxa might be conspecific, microsatellite data suggested they represent distinct lineages. By using RADseq, we generated thousands of homologous markers to build a robust phylogeny of the two species. Furthermore, we successfully implemented these data in fine-scale population genomic analyses such as DAPC and fineRADstructure. Both Usnea species are readily delimited in phylogenetic inferences and, therefore, the hypothesis that both species are conspecific was rejected. Population genomic analyses also strongly confirmed separated genomes and, additionally, showed different levels of co-ancestry and substructure within each species. Lower co-ancestry in the asexual U. antarctica than in the sexual U. aurantiacoatra may be derived from a wider distributional range of the former species. Our results demonstrate the utility of this RADseq method in tracing population dynamics of lichens in future analyses.</t>
  </si>
  <si>
    <t>[Grewe, Felix; Wu, Huini; Lumbsch, H. Thorsten] Field Museum Nat Hist, Integrat Res Ctr, Sci &amp; Educ, 1400 S Lake Shore Dr, Chicago, IL 60605 USA; [Lagostina, Elisa; Printzen, Christian] Senckenberg Res Inst, Dept Bot &amp; Mol Evolut, Senckenberganlage 25, D-60325 Frankfurt, Germany; [Lagostina, Elisa; Printzen, Christian] Nat Hist Museum Frankfurt, Senckenberganlage 25, D-60325 Frankfurt, Germany; [Wu, Huini] Loyola Univ Chicago, Stritch Sch Med, Dept Cell &amp; Mol Physiol, 2160 S First Ave, Maywood, IL 60153 USA</t>
  </si>
  <si>
    <t>Field Museum of Natural History (Chicago); Senckenberg Gesellschaft fur Naturforschung (SGN); Loyola University Chicago</t>
  </si>
  <si>
    <t>Grewe, F (corresponding author), Field Museum Nat Hist, Integrat Res Ctr, Sci &amp; Educ, 1400 S Lake Shore Dr, Chicago, IL 60605 USA.</t>
  </si>
  <si>
    <t>fgrewe@fieldmuseum.org</t>
  </si>
  <si>
    <t>Lumbsch, Thorsten/K-3573-2012; Printzen, Christian/ABF-8242-2021</t>
  </si>
  <si>
    <t>Grewe, Felix/0000-0002-2805-5930; Lumbsch, Thorsten/0000-0003-1512-835X</t>
  </si>
  <si>
    <t>Tawani Foundation; German Science Foundation [Pr 567/18-1]; Robert A. Pritzker Center for Meteoritics and Polar Studies</t>
  </si>
  <si>
    <t>Tawani Foundation; German Science Foundation(German Research Foundation (DFG)); Robert A. Pritzker Center for Meteoritics and Polar Studies</t>
  </si>
  <si>
    <t>The authors thank the Robert A. Pritzker Center for Meteoritics and Polar Studies and Tawani Foundation for financial support. We want to acknowledge the Lauer family for the generous gift of a MiSeq sequencer to the Pritzker Lab for Molecular Systematics at the Field Museum. Fieldwork by Elisa Lagostina was funded by the German Science Foundation through grant Pr 567/18-1. Mikhael Andreev, Aline Lorenz and Mayara Scur are gratefully acknowledged for contributing samples from Elephant and King George Island and the Antarctic Peninsula. We also thank Marta Ribeiro and Kevin Feldheim (Chicago) for their invaluable help in the laboratory and Sarah Cowles (Miami), Steve D. Leavitt (Provo) and Pradeep K. Divakar (Madrid) for comments on the manuscript.</t>
  </si>
  <si>
    <t>PENSOFT PUBLISHERS</t>
  </si>
  <si>
    <t>12 PROF GEORGI ZLATARSKI ST, SOFIA, 1700, BULGARIA</t>
  </si>
  <si>
    <t>1314-4057</t>
  </si>
  <si>
    <t>1314-4049</t>
  </si>
  <si>
    <t>MycoKeys</t>
  </si>
  <si>
    <t>DEC 12</t>
  </si>
  <si>
    <t>10.3897/mycokeys.43.29093</t>
  </si>
  <si>
    <t>HE0JT</t>
  </si>
  <si>
    <t>WOS:000452953600001</t>
  </si>
  <si>
    <t>García-Pintado, J; Paul, A</t>
  </si>
  <si>
    <t>Garcia-Pintado, Javier; Paul, Andre</t>
  </si>
  <si>
    <t>Evaluation of iterative Kalman smoother schemes for multi-decadal past climate analysis with comprehensive Earth system models</t>
  </si>
  <si>
    <t>LAST GLACIAL MAXIMUM; PHYSICAL-BIOGEOCHEMICAL MODEL; ANTARCTIC SEA-ICE; DATA ASSIMILATION; NORTH-ATLANTIC; PARAMETER-ESTIMATION; TEMPERATURE RECONSTRUCTIONS; UNCERTAINTY QUANTIFICATION; PMIP4 CONTRIBUTION; PART I</t>
  </si>
  <si>
    <t>Paleoclimate reconstruction based on assimilation of proxy observations requires specification of the control variables and their background statistics. As opposed to numerical weather prediction (NWP), which is mostly an initial condition problem, the main source of error growth in deterministic Earth system models (ESMs) regarding the model low-frequency response comes from errors in other inputs: parameters for the small-scale physics, as well as forcing and boundary conditions. Also, comprehensive ESMs are non-linear and only a few ensemble members can be run in current high-performance computers. Under these conditions we evaluate two assimilation schemes, which (a) count on iterations to deal with non-linearity and (b) are based on low-dimensional control vectors to reduce the computational need. The practical implementation would assume that the ESM has been previously globally tuned with current observations and that for a given situation there is previous knowledge of the most sensitive inputs (given corresponding uncertainties), which should be selected as control variables. The low dimension of the control vector allows for using full-rank covariances and resorting to finite-difference sensitivities (FDSs). The schemes are then an FDS implementation of the iterative Kalman smoother (FDS-IKS, a Gauss-Newton scheme) and a so-called FDS-multistep Kalman smoother (FDS-MKS, based on repeated assimilation of the observations). We describe the schemes and evaluate the analysis step for a data assimilation window in two numerical experiments: (a) a simple 1-D energy balance model (Ebm1D; which has an adjoint code) with present-day surface air temperature from the NCEP/NCAR reanalysis data as a target and (b) a multi-decadal synthetic case with the Community Earth System Model (CESM v1.2, with no adjoint). In the Ebm1D experiment, the FDS-IKS converges to the same parameters and cost function values as a 4D-Var scheme. For similar iterations to the FDS-IKS, the FDS-MKS results in slightly higher cost function values, which are still substantially lower than those of an ensemble transform Kalman filter (ETKF). In the CESM experiment, we include an ETKF with Gaussian anamorphosis (ETKF-GA) implementation as a potential non-linear assimilation alternative. For three iterations, both FDS schemes obtain cost functions values that are close between them and (with about half the computational cost) lower than those of the ETKF and ETKF-GA (with similar cost function values). Overall, the FDS-IKS seems more adequate for the problem, with the FDS-MKS potentially more useful to damp increments in early iterations of the FDS-IKS.</t>
  </si>
  <si>
    <t>[Garcia-Pintado, Javier] Univ Bremen, MARUM, Ctr Marine Environm Sci, Bremen, Germany; Univ Bremen, Dept Geosci, Bremen, Germany</t>
  </si>
  <si>
    <t>University of Bremen; University of Bremen</t>
  </si>
  <si>
    <t>García-Pintado, J (corresponding author), Univ Bremen, MARUM, Ctr Marine Environm Sci, Bremen, Germany.</t>
  </si>
  <si>
    <t>jgarciapintado@marum.de</t>
  </si>
  <si>
    <t>Garcia-Pintado, Javier/0000-0003-2789-7551</t>
  </si>
  <si>
    <t>German Federal Ministry of Education and Research (BMBF) [01LP1511D]</t>
  </si>
  <si>
    <t>This work has been supported by the German Federal Ministry of Education and Research (BMBF) as a Research for Sustainability initiative (FONA) through the Palmod project (01LP1511D). The authors acknowledge the North-German Supercomputing Alliance (HLRN) for providing HPC resources that have contributed to the research results reported in this paper. We thank two anonymous reviewers for their positive comments, which have been very helpful in improving the paper.</t>
  </si>
  <si>
    <t>DEC 11</t>
  </si>
  <si>
    <t>10.5194/gmd-11-5051-2018</t>
  </si>
  <si>
    <t>HD8WP</t>
  </si>
  <si>
    <t>Green Accepted, Green Submitted, gold</t>
  </si>
  <si>
    <t>WOS:000452841400001</t>
  </si>
  <si>
    <t>Zhao, ZZ; Feng, JD; Han, BM; Wang, ZT</t>
  </si>
  <si>
    <t>Zhao, Zhenzhen; Feng, Jiandi; Han, Baomin; Wang, Zhengtao</t>
  </si>
  <si>
    <t>A single-station empirical TEC model based on long-time recorded GPS data for estimating ionospheric delay</t>
  </si>
  <si>
    <t>JOURNAL OF SPACE WEATHER AND SPACE CLIMATE</t>
  </si>
  <si>
    <t>empirical TEC models; ionospheric delay; single station; GPS data</t>
  </si>
  <si>
    <t>TOTAL ELECTRON-CONTENT; SOLAR EUV FLUX; REGULARIZED ESTIMATION</t>
  </si>
  <si>
    <t>Globally distributed GPS (global positioning system) stations have been continuously running for nearly 20 years, thereby accumulating numerous observations. These long-time recorded GPS data can be used to calculate continuous total electron content (TEC) values at single stations and provide an effective modeling dataset to establish single-station empirical TEC models. In this paper, a new empirical TEC model called SSM-T1 for single stations is proposed on the basis of GPS data calculated by IONOLAB-TEC application from 2004 to 2015. The SSM-T1 model consists of three parts: diurnal, seasonal, and solar dependency variations, with 18 coefficients fitted by the nonlinear least-squares method. The SSM-T1 model is tested at four stations: Paris (opmt), France; Bangalore (iisc), India; Ceduna (cedu), Australia; and O'Higgins (ohi3) over the Antarctic Peninsula. The RMS values of the model residuals at these four stations are 3.22, 4.46, 3.28, and 3.83 TECU. Assessment results show that the SSM-T1 model is in good agreement with the observed GPS-TEC data and exhibits good prediction ability at the Paris, Bangalore, and Ceduna stations. However, at the O'Higgins station, the SSM-T1 model seriously deviates from the observed GPS-TEC data and cannot effectively describe the variation of mid-latitude summer night anomaly.</t>
  </si>
  <si>
    <t>[Zhao, Zhenzhen; Feng, Jiandi; Han, Baomin] Shandong Univ Technol, Sch Civil &amp; Architectural Engn, Zibo 255000, Peoples R China; [Wang, Zhengtao] Wuhan Univ, Sch Geodesy &amp; Geomat, Wuhan 430079, Hubei, Peoples R China</t>
  </si>
  <si>
    <t>Shandong University of Technology; Wuhan University</t>
  </si>
  <si>
    <t>Feng, JD (corresponding author), Shandong Univ Technol, Sch Civil &amp; Architectural Engn, Zibo 255000, Peoples R China.</t>
  </si>
  <si>
    <t>jdfeng@whu.edu.en</t>
  </si>
  <si>
    <t>Wang, Zhengtao/AAH-7360-2019</t>
  </si>
  <si>
    <t>Wang, Zhengtao/0000-0003-2797-4625</t>
  </si>
  <si>
    <t>National Natural Science Foundation of China [41804032, 41274032, 41474018, 41774019]; Key Laboratory of Geo-space Environment and Geodesy, the Ministry of Education, Wuhan University [17-01-11]</t>
  </si>
  <si>
    <t>National Natural Science Foundation of China(National Natural Science Foundation of China (NSFC)); Key Laboratory of Geo-space Environment and Geodesy, the Ministry of Education, Wuhan University</t>
  </si>
  <si>
    <t>We are grateful to the IONOLAB team (http://www.ionolab.org) at Hacettepe University for providing the IONOLAB-TEC application, the Center for Orbit Determination in Europe for supplying the GIMs data, and the International Reference Ionosphere team (http://irimodel.org) for providing the IRI2016 CODE. This work is supported by the National Natural Science Foundation of China (Grant No. 41804032), the Key Laboratory of Geo-space Environment and Geodesy, the Ministry of Education, Wuhan University (17-01-11), and the National Natural Science Foundation of China (Grant Nos. 41274032, 41474018, and 41774019). We sincerely thank two anonymous reviewers for the constructive comments on this paper. The editor thanks Ljiljana R. Cander and an anonymous referee for their assistance in evaluating this paper.</t>
  </si>
  <si>
    <t>EDP SCIENCES S A</t>
  </si>
  <si>
    <t>LES ULIS CEDEX A</t>
  </si>
  <si>
    <t>17, AVE DU HOGGAR, PA COURTABOEUF, BP 112, F-91944 LES ULIS CEDEX A, FRANCE</t>
  </si>
  <si>
    <t>2115-7251</t>
  </si>
  <si>
    <t>J SPACE WEATHER SPAC</t>
  </si>
  <si>
    <t>J. Space Weather Space Clim.</t>
  </si>
  <si>
    <t>A59</t>
  </si>
  <si>
    <t>10.1051/swsc/2018047</t>
  </si>
  <si>
    <t>HD7TG</t>
  </si>
  <si>
    <t>WOS:000452755900001</t>
  </si>
  <si>
    <t>Abrahamsson, K; Granfors, A; Ahnoff, M; Cuevas, CA; Saiz-Lopez, A</t>
  </si>
  <si>
    <t>Abrahamsson, Katarina; Granfors, Anna; Ahnoff, Martin; Cuevas, Carlos A.; Saiz-Lopez, Alfonso</t>
  </si>
  <si>
    <t>Organic bromine compounds produced in sea ice in Antarctic winter</t>
  </si>
  <si>
    <t>ATMOSPHERIC CHEMISTRY; IODINE CHEMISTRY; SNOW; BROMOFORM; TROPOSPHERE; OZONE; DIBROMOMETHANE; ACTIVATION; EMISSIONS; HALOGENS</t>
  </si>
  <si>
    <t>During polar springtime, active bromine drives ozone, a greenhouse gas, to near-zero levels. Bromine production and emission in the polar regions have so far been assumed to require sunlight. Here, we report measurements of bromocarbons in sea ice, snow, and air during the Antarctic winter that reveal an unexpected new source of organic bromine to the atmosphere during periods of no sunlight. The results show that Antarctic winter sea ice provides 10 times more bromocarbons to the atmosphere than Southern Ocean waters, and substantially more than summer sea ice. The inclusion of these measurements in a global climate model indicates that the emitted bromocarbons will disperse throughout the troposphere in the southern hemisphere and through photochemical degradation to bromine atoms, contribute similar to 10% to the tropospheric reactive bromine budget. Combined together, our results suggest that winter sea ice could potentially be an important source of atmospheric bromine with implications for atmospheric chemistry and climate at a hemispheric scale.</t>
  </si>
  <si>
    <t>[Abrahamsson, Katarina; Ahnoff, Martin] Univ Gothenburg, Dept Marine Sci, Carl Skottbergs Gata 22B, SE-41319 Gothenburg, Sweden; [Granfors, Anna] AstraZeneca, Prod Technol &amp; Dev, SE-43183 Molndal, Sweden; [Cuevas, Carlos A.; Saiz-Lopez, Alfonso] Inst Phys Chem Rocasolano, Dept Atmospher Chem &amp; Climate, Serrano 119, Madrid 28006, Spain</t>
  </si>
  <si>
    <t>University of Gothenburg; AstraZeneca; Consejo Superior de Investigaciones Cientificas (CSIC); CSIC - Instituto de Quimica Fisica Rocasolano (IQFR)</t>
  </si>
  <si>
    <t>Abrahamsson, K (corresponding author), Univ Gothenburg, Dept Marine Sci, Carl Skottbergs Gata 22B, SE-41319 Gothenburg, Sweden.;Saiz-Lopez, A (corresponding author), Inst Phys Chem Rocasolano, Dept Atmospher Chem &amp; Climate, Serrano 119, Madrid 28006, Spain.</t>
  </si>
  <si>
    <t>katarina.abrahamsson@gu.se; a.saiz@csic.es</t>
  </si>
  <si>
    <t>Saiz-Lopez, Alfonso/B-3759-2015</t>
  </si>
  <si>
    <t>Saiz-Lopez, Alfonso/0000-0002-0060-1581; Cuevas Rodriguez, Carlos Alberto/0000-0002-9251-5460</t>
  </si>
  <si>
    <t>Swedish Research Council VR; Swedish Polar Secretariat; Consejo Superior de Investigaciones Cientificas (CSIC) of Spain; National Science Foundation (NSF); NSF; office of Science (BER) of the US Department of Energy; European Research Council Executive Agency under the European Union [ERC-2016-COG 726349 CLIMAHAL]</t>
  </si>
  <si>
    <t>Swedish Research Council VR(Swedish Research Council); Swedish Polar Secretariat; Consejo Superior de Investigaciones Cientificas (CSIC) of Spain; National Science Foundation (NSF)(National Science Foundation (NSF)); NSF(National Science Foundation (NSF)); office of Science (BER) of the US Department of Energy(United States Department of Energy (DOE)); European Research Council Executive Agency under the European Union(European Research Council (ERC))</t>
  </si>
  <si>
    <t>This work was financed by the Swedish Research Council VR. The support by the Swedish Polar Secretariat is acknowledged. We thank Peter Lemke, Hans-Werner Jacobi, the captain, all crew members, and fellow scientists on board R.V Polarstern for assistance. K. Gardfeldt, M. Nerentorp, and the biogeochemistry group are acknowledged for assistance. A special thanks to Gerhard Dieckmann for helping out with coring equipment. This work was also supported by the Consejo Superior de Investigaciones Cientificas (CSIC) of Spain. The National Center for Atmospheric Research (NCAR) is funded by the National Science Foundation (NSF). Computing resources were provided by the Climate Simulation Laboratory at NCAR's Computational, and the Information Systems Laboratory (CISL), sponsored by the NSF, provided computing resources. The CESM project (which includes CAM-Chem) is supported by the NSF and the office of Science (BER) of the US Department of Energy. This study has received funding from the European Research Council Executive Agency under the European Union's Horizon 2020 Research and innovation programme (Project 'ERC-2016-COG 726349 CLIMAHAL').</t>
  </si>
  <si>
    <t>10.1038/s41467-018-07062-8</t>
  </si>
  <si>
    <t>HD8BB</t>
  </si>
  <si>
    <t>WOS:000452777900015</t>
  </si>
  <si>
    <t>Carrasco, JF</t>
  </si>
  <si>
    <t>Carrasco, Jorge F.</t>
  </si>
  <si>
    <t>Contextualizing the 1997 warm event observed at Patriot Hills in the interior of West Antarctica</t>
  </si>
  <si>
    <t>Air temperature; El Nino-Southern Oscillation; Antarctic Oscillation; ERA-Interim reanalysis; blocking ridge; foehn effect; warm advection</t>
  </si>
  <si>
    <t>ICE; VARIABILITY; TEMPERATURE; OSCILLATION; WINDS; MELT</t>
  </si>
  <si>
    <t>Between 5 and 8 December 1997, the surface air temperature increased up to 3 degrees C in the interior of West Antarctica, at Patriot Hills (PH), located at about 80 degrees 08'S, 81 degrees 16' W, at an elevation of 855 m a.s.l. This was about 15 degrees C warmer than the mean air temperature (-12 degrees C) for this location at this time of the year. The ice surface field along the hills used as a runway for large aircraft melted, forming small ponds at the foot of the slope. This warm event was associated with a passing mid-tropospheric ridge that reached the interior of West Antarctica, whose anticyclonic circulation advected warm air towards the PH area. The foehn effect of the descending airflow on the northern slope of PH did not significantly contribute to the warming. The El Nino-Southern Oscillation (ENSO) was reaching its mature phase during the last quarter of 1997 and the warming/melting episode may be related to large-scale circulation associated with ENSO occurrence. However, warm events in the interior of West Antarctica may occur during any phase of ENSO. In contrast, the negative phase of the Antarctic Oscillation seems to support the development of the mid-tropospheric ridges that can advect warm maritime air towards the interior of West Antarctica. The 3 degrees C registered at PH may be one of the highest near-surface air temperatures measured below 2500 m a.s.l. in the far interior coastal area of West Antarctica. This suggests a new subregion for determining air temperature records in Antarctica may need to be considered.</t>
  </si>
  <si>
    <t>[Carrasco, Jorge F.] Univ Magallanes, Ctr Invest GAIA Antartica, Ave Bulnes 01855, Punta Arenas, Chile</t>
  </si>
  <si>
    <t>Universidad de Magallanes</t>
  </si>
  <si>
    <t>Carrasco, JF (corresponding author), Univ Magallanes, Ctr Invest GAIA Antartica, Ave Bulnes 01855, Punta Arenas, Chile.</t>
  </si>
  <si>
    <t>jorcar59@gmail.com</t>
  </si>
  <si>
    <t>Carrasco, Jorge/AAC-4799-2021; Carrasco, Jorge/ACG-6766-2022</t>
  </si>
  <si>
    <t>Carrasco, Jorge/0000-0003-2154-5483; Carrasco, Jorge/0000-0003-2154-5483</t>
  </si>
  <si>
    <t>Comision Nacional de Investigacion Cientifica y Tecnologica, Fondecyt [1151034]</t>
  </si>
  <si>
    <t>Comision Nacional de Investigacion Cientifica y Tecnologica, Fondecyt(Comision Nacional de Investigacion Cientifica y Tecnologica (CONICYT)CONICYT FONDECYT)</t>
  </si>
  <si>
    <t>This work was completed by the support of the Comision Nacional de Investigacion Cientifica y Tecnologica, Fondecyt Project no. 1151034.</t>
  </si>
  <si>
    <t>OPEN ACADEMIA AB</t>
  </si>
  <si>
    <t>SPANGA</t>
  </si>
  <si>
    <t>STORMBYVAGEN 6, SPANGA, SE-163 55, SWEDEN</t>
  </si>
  <si>
    <t>POLAR RES-SWEDEN</t>
  </si>
  <si>
    <t>10.1080/17518369.2018.1547041</t>
  </si>
  <si>
    <t>HD8CE</t>
  </si>
  <si>
    <t>WOS:000452781100001</t>
  </si>
  <si>
    <t>White, R; Coghlan, AR; Coulter, A; Palomares, MLD; Pauly, D; Zeller, D</t>
  </si>
  <si>
    <t>White, Rachel; Coghlan, Amy Rose; Coulter, Angie; Palomares, Maria Lourdes D.; Pauly, Daniel; Zeller, Dirk</t>
  </si>
  <si>
    <t>Future of Fishing for a Vulnerable Atoll: Trends in Catch and Catch-Per-Unit-Effort in Tokelau's Domestic Marine Fisheries 1950-2016</t>
  </si>
  <si>
    <t>catch reconstruction; small-scale fisheries; Pacific Islands; climate change; CPUE (catch-per-unit-effort)</t>
  </si>
  <si>
    <t>CLIMATE-CHANGE; FOOD SECURITY; PACIFIC; ISLANDS; LIVELIHOODS; COUNTRIES</t>
  </si>
  <si>
    <t>Tokelau is among the most vulnerable countries to climate change from both an environmental and economic perspective, whilst being highly dependent on marine resources for dietary nutrition. Industrial as well as small-scale fisheries are present in Tokelau's waters, with Tokelau itself only participating in small-scale fisheries. Industrial fisheries consist exclusively of foreign distant-water tuna fleets. This study aims to reconstruct and investigate the trends in the domestic small-scale marine fisheries catches, fishing effort, and catch-per-unit-effort (CPUE) from 1950 to 2016. We used kWdays as our metric of fishing effort or fishing capacity, estimated using length, motorization and type of fishing vessels. Total fishing effort was approximately 11,900 kWdays in 1950 and increased rapidly after the 1980s with the introduction of larger motorized vessels. Despite evolving fishing effort, catches taken in subsistence fisheries have been relatively consistent at approximately 370 t.year(-1), resulting in a reduction of subsistence CPUE from 32.4 kg.kWdays(-1) in 1950 to 2.6 kg.kWdays(-1) in 2016. This trend is opposite to that of the artisanal fishery, where CPUE increased since the start of this fishery in 2003, from 1.7 kg.kWdays(-1) to 2.6 kg.kWdays(-1) in 2016. Tokelau's domestic catch is greatly underreported, with reconstructed domestic catch since 2010 being nearly four times larger than the data reported by the Food and Agriculture Organization (FAO) of the United Nations on behalf of Tokelau. The abundance of reef fishes are predicted to decrease while the abundance of pelagic fishes is expected to increase within Tokelau's waters due to climate change, likely further altering future fishing practices. The present CPUE analysis, combined with the forecasted effects of climate change, suggests that the domestic fisheries in Tokelau may be on an unsustainable path, highlighting food security concerns, despite the potential for growth in offshore fisheries.</t>
  </si>
  <si>
    <t>[White, Rachel; Zeller, Dirk] Univ Western Australia, Sch Biol Sci, Sea Around Us Indian Ocean, Crawley, WA, Australia; [Coghlan, Amy Rose; Coulter, Angie; Palomares, Maria Lourdes D.; Pauly, Daniel] Univ British Columbia, Inst Oceans &amp; Fisheries, Sea Around Us, Vancouver, BC, Canada; [Coghlan, Amy Rose] Univ Tasmania, Inst Marine &amp; Antarctic Studies, Hobart, Tas, Australia</t>
  </si>
  <si>
    <t>University of Western Australia; University of British Columbia; University of Tasmania</t>
  </si>
  <si>
    <t>White, R (corresponding author), Univ Western Australia, Sch Biol Sci, Sea Around Us Indian Ocean, Crawley, WA, Australia.</t>
  </si>
  <si>
    <t>rachelwhite.oceans@gmail.com</t>
  </si>
  <si>
    <t>Pauly, Daniel Marc/AAY-2316-2021; Coghlan, Amy/AAP-3105-2021; Palomares, Maria Lourdes D./K-1641-2019</t>
  </si>
  <si>
    <t>Coulter, Angie/0000-0002-6910-5965; Zeller, Dirk/0000-0001-7304-4125; Pauly, Daniel/0000-0003-3756-4793; Palomares, Maria Lourdes/0000-0001-5905-1556</t>
  </si>
  <si>
    <t>Oak Foundation; Marisla Foundation; MAVA Foundation; David and Lucile Packard Foundation; Paul M. Angell Family Foundation; Oceana</t>
  </si>
  <si>
    <t>Oak Foundation; Marisla Foundation; MAVA Foundation; David and Lucile Packard Foundation(The David &amp; Lucile Packard Foundation); Paul M. Angell Family Foundation; Oceana</t>
  </si>
  <si>
    <t>The Sea Around Us activities are supported by the Oak Foundation, the Marisla Foundation, Oceana, the MAVA Foundation, the David and Lucile Packard Foundation, and the Paul M. Angell Family Foundation. None of the funders have influence or input into the research, data, manuscript preparation, or decision to write and submit this manuscript.</t>
  </si>
  <si>
    <t>DEC 10</t>
  </si>
  <si>
    <t>10.3389/fmars.2018.00476</t>
  </si>
  <si>
    <t>HJ5JC</t>
  </si>
  <si>
    <t>WOS:000457215700001</t>
  </si>
  <si>
    <t>Hoppe, P; Leitner, J; Kodolányi, J</t>
  </si>
  <si>
    <t>Hoppe, Peter; Leitner, Jan; Kodolanyi, Janos</t>
  </si>
  <si>
    <t>New Insights into the Galactic Chemical Evolution of Magnesium and Silicon Isotopes from Studies of Silicate Stardust</t>
  </si>
  <si>
    <t>ASTROPHYSICAL JOURNAL</t>
  </si>
  <si>
    <t>circumstellar matter; ISM: abundances; meteorites, meteors, meteoroids; nuclear reactions, nucleosynthesis, abundances</t>
  </si>
  <si>
    <t>ASYMPTOTIC GIANT BRANCH; PRESOLAR SIC GRAINS; CARBIDE GRAINS; AGB STARS; SOLAR-SYSTEM; OXIDE GRAINS; NANOSIMS; RATIOS; ABUNDANCES; ORIGIN</t>
  </si>
  <si>
    <t>We report high-resolution (&lt;100 nm) Mg and Si isotope data of 12 presolar silicate grains (230-440 nm) from red giant and/or asymptotic giant branch stars that were previously identified based on their anomalous O-isotopic compositions (11 Group 1 grains and one Group 2 grain) in five primitive meteorites. The data were acquired by NanoSIMS ion imaging with the new Hyperion ion source that permits Mg and Si isotope measurements of presolar silicates with higher precision than was possible before. For a subset of five Group 1 (category A) grains, Mg-25/Mg-24 and Si-29/Si-28 ratios correlate with the inferred initial O-18/O-16 ratios of their parent stars, a measure of stellar metallicity. The Mg and Si isotope data of category A grains show positive correlations in the delta Mg-25-delta Mg-26, delta Si-29-delta Si-30, and delta Mg-25-delta Si-29 spaces. The correlations between O-, Mg, and Si-isotopic compositions are best explained by Galactic chemical evolution (GCE), with only minor imprints of nucleosynthetic and mixing processes in the grains' parent stars. Six Group 1 silicate (category B) grains have close-to-normal Mg and Si isotopic compositions, possibly the result of isotope exchange in interstellar space or the meteorite parent bodies. For Si in category A grains, we find, with similar to 2 sigma significance, a slightly shallower slope in the delta Si-29-delta Si-30 space for the GCE than inferred from presolar SiC mainstream grains. The 2 sigma upper limit on the slope for the linear trend in the delta Mg-25-delta Mg-26 space of category A grains is slightly lower than the slope-1 predicted by GCE models around solar metallicity.</t>
  </si>
  <si>
    <t>[Hoppe, Peter; Leitner, Jan; Kodolanyi, Janos] Max Planck Inst Chem, Hahn Meitner Weg 1, D-55128 Mainz, Germany</t>
  </si>
  <si>
    <t>Max Planck Society</t>
  </si>
  <si>
    <t>Hoppe, P (corresponding author), Max Planck Inst Chem, Hahn Meitner Weg 1, D-55128 Mainz, Germany.</t>
  </si>
  <si>
    <t>peter.hoppe@mpic.de</t>
  </si>
  <si>
    <t>Hoppe, Peter/B-3032-2015; Leitner, Jan/A-7391-2015</t>
  </si>
  <si>
    <t>Hoppe, Peter/0000-0003-3681-050X; Leitner, Jan/0000-0003-3655-6273; Kodolanyi, Janos/0000-0001-5710-0537</t>
  </si>
  <si>
    <t>International Space Science Institute (ISSI) in Bern, Switzerland; NASA; Antarctic Search for Meteorites (ANSMET) program [EET 92161, MET 00426]; NSF</t>
  </si>
  <si>
    <t>International Space Science Institute (ISSI) in Bern, Switzerland; NASA(National Aeronautics &amp; Space Administration (NASA)); Antarctic Search for Meteorites (ANSMET) program; NSF(National Science Foundation (NSF))</t>
  </si>
  <si>
    <t>PH thanks the International Space Science Institute (ISSI) in Bern, Switzerland, for hospitality and financial support for a visit in May/June 2018, when a first version of this manuscript was written. We thank Antje Sorowka for her help with SEM analyses, Elmar Groner for technical support on the Nano-SIMS, and Larry Nittler for his helpful and constructive review. Meteoritic thin sections were provided by the Natural History Museum in Vienna (Acfer 094), the Natural History Museum in London (NWA 801), and the Antarctic Search for Meteorites (ANSMET) program (EET 92161, MET 00426). US Antarctic meteorite samples are recovered by the ANSMET program, which has been funded by NSF and NASA, and characterized and curated by the Department of Mineral Sciences of the Smithsonian Institution and Astromaterials Curation Office at NASA Johnson Space Center.</t>
  </si>
  <si>
    <t>0004-637X</t>
  </si>
  <si>
    <t>1538-4357</t>
  </si>
  <si>
    <t>ASTROPHYS J</t>
  </si>
  <si>
    <t>Astrophys. J.</t>
  </si>
  <si>
    <t>10.3847/1538-4357/aaec0a</t>
  </si>
  <si>
    <t>HD9OZ</t>
  </si>
  <si>
    <t>WOS:000452893300003</t>
  </si>
  <si>
    <t>Barrett, PM; Resing, JA; Grand, MM; Measures, CI; Landing, WM</t>
  </si>
  <si>
    <t>Barrett, Pamela M.; Resing, Joseph A.; Grand, Maxime M.; Measures, Christopher, I; Landing, William M.</t>
  </si>
  <si>
    <t>Trace element composition of suspended particulate matter along three meridional CLIVAR sections in the Indian and Southern Oceans: Impact of scavenging on Al distributions</t>
  </si>
  <si>
    <t>CHEMICAL GEOLOGY</t>
  </si>
  <si>
    <t>Suspended particulate matter; Aluminum; Iron; Indian Ocean; Southern Ocean; Particle scavenging</t>
  </si>
  <si>
    <t>GENERAL-CIRCULATION MODEL; NORTH-ATLANTIC OCEAN; DISSOLVED ALUMINUM; DUST DEPOSITION; KERGUELEN ISLANDS; SURFACE WATERS; SEA-ICE; IRON; METALS; FE</t>
  </si>
  <si>
    <t>We present the trace element composition (Al, Si, P, Ca, Fe, and Zn) of suspended particulate matter (SPM) samples collected in the upper 1000 m along U.S. CLIVAR/CO2 Repeat Hydrography meridional section I09N/I08S from the Southern Ocean to the Bay of Bengal at 95 degrees E and in surface waters along meridional section I06S from the South African margin to the Antarctic shelf edge at 30 degrees E. A band of elevated surface-ocean pCa (0.5-0.3 mu M) over 30-60 degrees S is consistent with the global pattern of high coccolithophore production encircling the Southern Ocean suggested by remote sensing. Over 50-60 degrees S, both sections exhibit a sharp transition from Ca-rich to Si-rich particulate matter (up to 2.8-6.5 mu M), indicating a change from coccolithophore to diatom communities in waters with low residual nitrate. Along I08S, diatom blooms display elevated pZn concentrations and Zn:P ratios (14.9 + 5.7 mmol mol(-1)), reflecting cellular Zn stoichiometry of Southern Ocean diatoms. Regions of high primary productivity in the Southern Ocean are coincident with unexpectedly high surface-ocean pAl concentrations (max 12.6-26.5 nM) compared to background concentrations (typically &lt; 2 nM along I09N/I085 and &lt; 5 nM along I06S). We estimate that &gt; 50% of surface-ocean pAl in these regions originates from adsorptive scavenging of dissolved Al onto biogenic particles. Along I08S, dissolved Al reservoirs likely originate from transport of Al-enriched waters by the Agulhas Return Current, local dust deposition, and seasonal ice melt. Along I06S, pAl distributions suggest larger inputs of dust to the surface mixed layer than have previously been described. By contrast, pFe concentrations remain low in both surface ( &lt; 0.3 nM I09N/I085, 0.1-0.8 nM I06S) and intermediate ( &lt; 0.4 nM I09N/I085) waters away from coastal and shelf inputs. Inputs of lithogenic material from resuspended shelf sediments are apparent in the distributions of pFe and pAl close to the Antarctic margin (up to 10 nM pFe and 23.4 nM pAl) and the South African coast (up to 3.1 nM pFe and 8 nM pAl). M intermediate depths along I08S, elevated pFe concentrations (up to 1.0 nM) are observed downstream of the Kerguelen Plateau, reflecting lateral transport of resuspended plateau sediments or glacial runoff. This article is part of a special issue entitled: Cycles of trace elements and isotopes in the ocean - GEOTRACES and beyond.</t>
  </si>
  <si>
    <t>[Barrett, Pamela M.] Univ Washington, Sch Oceanog, Seattle, WA 98195 USA; [Barrett, Pamela M.; Resing, Joseph A.] Univ Washington, PMEL, NOAA, Joint Inst Study Atmosphere &amp; Ocean, Seattle, WA 98195 USA; [Grand, Maxime M.; Measures, Christopher, I] Univ Hawaii, Dept Oceanog, Honolulu, HI 96822 USA; [Landing, William M.] Florida State Univ, Dept Earth Ocean &amp; Atmospher Sci, Tallahassee, FL 32306 USA; [Grand, Maxime M.] Moss Landing Marine Labs, Pob 450, Moss Landing, CA 95039 USA</t>
  </si>
  <si>
    <t>University of Washington; University of Washington Seattle; National Oceanic Atmospheric Admin (NOAA) - USA; University of Washington; University of Washington Seattle; University of Hawaii System; State University System of Florida; Florida State University; Moss Landing Marine Laboratories</t>
  </si>
  <si>
    <t>Barrett, PM (corresponding author), Australian Natl Univ, Res Sch Earth Sci, Acton, ACT 2601, Australia.</t>
  </si>
  <si>
    <t>pamela.barrett@anu.edu.au; joseph.resing@noaa.gov; maxime@hawaii.edu; measures@hawaii.edu; wlanding@fsu.edu</t>
  </si>
  <si>
    <t>Barrett, Pamela Louise/JEZ-8259-2023; Landing, William/KBA-8522-2024; Resing, Joseph A/J-6110-2017; Grand, Maxime/S-1898-2019</t>
  </si>
  <si>
    <t>Landing, William/0000-0002-7514-3247; Resing, Joseph A/0000-0002-7334-4176; Grand, Maxime/0000-0001-9338-694X; Barrett, Pamela/0000-0003-3405-5328</t>
  </si>
  <si>
    <t>[NSF-OCE-0649639]; [NSF-OCE-0649584]; [NSF-OCE-0649505]; [NSF-OCE-1237011]</t>
  </si>
  <si>
    <t>; ; ;</t>
  </si>
  <si>
    <t>This work was funded by NSF-OCE-0649639to WML, NSF-OCE-0649584 to CIM, and NSF-OCE-0649505 and NSF-OCE-1237011 to JAR. This is JISAO publication number 2017-0120 and PMEL publication number 4726. We would like to thank the captain and crew of the R/V Revelle for their invaluable technical support during the CLIVAR trace metal cruises. CTD and bottle data from the main CLIVAR rosette presented in supporting figures was generated by James Swift (UCSD/SIO) and Wilf Gardner (Texas A&amp;M). The authors would also like to thank Eric Achterberg and one anonymous reviewer for comments that improved the quality of this manuscript.</t>
  </si>
  <si>
    <t>0009-2541</t>
  </si>
  <si>
    <t>1872-6836</t>
  </si>
  <si>
    <t>CHEM GEOL</t>
  </si>
  <si>
    <t>Chem. Geol.</t>
  </si>
  <si>
    <t>10.1016/j.chemgeo.2018.06.015</t>
  </si>
  <si>
    <t>HA5QF</t>
  </si>
  <si>
    <t>WOS:000450330000002</t>
  </si>
  <si>
    <t>Cook, S; Galton-Fenzi, BK; Ligtenberg, SRM; Coleman, R</t>
  </si>
  <si>
    <t>Cook, Sue; Galton-Fenzi, Benjamin K.; Ligtenberg, Stefan R. M.; Coleman, Richard</t>
  </si>
  <si>
    <t>Brief communication: widespread potential for seawater infiltration on Antarctic ice shelves</t>
  </si>
  <si>
    <t>SURFACE; THICKNESS; BRINE; SNOW</t>
  </si>
  <si>
    <t>Antarctica's future contribution to sea level change depends on the fate of its fringing ice shelves. One factor which may affect the rate of iceberg calving from ice shelves is the presence of liquid water, including the percolation of seawater into permeable firn layers. Here, we present evidence that most ice shelves around Antarctica have regions where permeable firn exists below sea level. We find that seawater infiltration into ice shelves may be much more widespread in Antarctica than previously recognised. Finally, we identify the locations where seawater infiltration is most likely to occur, with the intention that the results may be used to direct future radar studies.</t>
  </si>
  <si>
    <t>[Cook, Sue; Galton-Fenzi, Benjamin K.; Coleman, Richard] Univ Tasmania, Antarctic Climate &amp; Ecosyst Cooperat Res Ctr, Private Bag 80, Hobart, Tas 7001, Australia; [Galton-Fenzi, Benjamin K.] Australian Antarctic Div, Channel Highway, Kingston, Tas 7050, Australia; [Ligtenberg, Stefan R. M.] Inst Marine &amp; Atmospher Res Utrecht IMAU, POB 80005, NL-3508 TA Utrecht, Netherlands; [Coleman, Richard] Univ Tasmania, Inst Marine &amp; Antarctic Studies, Private Bag 129, Hobart, Tas 7001, Australia</t>
  </si>
  <si>
    <t>University of Tasmania; Antarctic Climate &amp; Ecosystems Cooperative Research Centre (ACE CRC); Australian Antarctic Division; Utrecht University; University of Tasmania</t>
  </si>
  <si>
    <t>Cook, S (corresponding author), Univ Tasmania, Antarctic Climate &amp; Ecosyst Cooperat Res Ctr, Private Bag 80, Hobart, Tas 7001, Australia.</t>
  </si>
  <si>
    <t>sue.cook@utas.edu.au</t>
  </si>
  <si>
    <t>Ligtenberg, Stefan/AAF-8290-2020; Cook, Sue/T-1028-2019; Coleman, Richard/H-4425-2012; Cook, Sue/E-8390-2018</t>
  </si>
  <si>
    <t>Galton-Fenzi, Benjamin Keith/0000-0003-1404-4103; Coleman, Richard/0000-0002-9731-7498; Cook, Sue/0000-0001-9878-4218</t>
  </si>
  <si>
    <t>Polar Geospatial Center under NSF-OPP [1543501, 1810976, 1542736, 1559691, 1043681, 1541332, 0753663, 1548562, 1238993]; NASA [NNX10AN61G]; Australian Government's Business Cooperative Research Centres Programme through the Antarctic Climate and Ecosystems Cooperative Research Centre (ACE CRC); Australian Research Council's Special Research Initiative for Antarctic Gateway Partnership [SR140300001]; Directorate For Geosciences; Office of Polar Programs (OPP) [1543501, 0753663] Funding Source: National Science Foundation; NASA [NNX10AN61G, 127993] Funding Source: Federal RePORTER</t>
  </si>
  <si>
    <t>Polar Geospatial Center under NSF-OPP; NASA(National Aeronautics &amp; Space Administration (NASA)); Australian Government's Business Cooperative Research Centres Programme through the Antarctic Climate and Ecosystems Cooperative Research Centre (ACE CRC)(Australian GovernmentDepartment of Industry, Innovation and ScienceCooperative Research Centres (CRC) Programme); Australian Research Council's Special Research Initiative for Antarctic Gateway Partnership(Australian Research Council); Directorate For Geosciences; Office of Polar Programs (OPP)(National Science Foundation (NSF)NSF - Directorate for Geosciences (GEO)); NASA(National Aeronautics &amp; Space Administration (NASA))</t>
  </si>
  <si>
    <t>We thank Jason L. Roberts and Leo E. Peters for helpful discussions on interpreting geophysical data. DEMs were provided by NSIDC, the Byrd Polar and Climate Research Center and the Polar Geospatial Center under NSF-OPP awards 1543501, 1810976, 1542736, 1559691, 1043681, 1541332, 0753663, 1548562, 1238993 and NASA award NNX10AN61G. Computer time provided through a Blue Waters Innovation Initiative. DEMs produced using data from DigitalGlobe, Inc. This work was supported by the Australian Government's Business Cooperative Research Centres Programme through the Antarctic Climate and Ecosystems Cooperative Research Centre (ACE CRC) and by the Australian Research Council's Special Research Initiative for Antarctic Gateway Partnership (project ID: SR140300001).</t>
  </si>
  <si>
    <t>10.5194/tc-12-3853-2018</t>
  </si>
  <si>
    <t>HD6PT</t>
  </si>
  <si>
    <t>WOS:000452664900002</t>
  </si>
  <si>
    <t>Ahokpossi, Y</t>
  </si>
  <si>
    <t>Ahokpossi, Yedjinnavenan</t>
  </si>
  <si>
    <t>Analysis of the rainfall variability and change in the Republic of Benin (West Africa)</t>
  </si>
  <si>
    <t>HYDROLOGICAL SCIENCES JOURNAL</t>
  </si>
  <si>
    <t>rainfall; Benin; West Africa; trend; variability; heteroscedasticity; climate oscillation index; teleconnection</t>
  </si>
  <si>
    <t>SEA-SURFACE TEMPERATURE; KENDALL TREND TEST; CLIMATE-CHANGE; INTERANNUAL VARIABILITY; ATLANTIC-OCEAN; YANGTZE-RIVER; DETECT TREND; ANNUAL CYCLE; EL-NINO; PRECIPITATION</t>
  </si>
  <si>
    <t>The temporal variation and trends of annual rainfall distribution in Benin were examined using data from 1940 to 2015 at six meteorological stations and three raingauges stationed throughout the country. The nonparametric modified Mann-Kendal (MK) and Levene tests were applied to detect trends and heteroscedasticity, respectively. For six of the time series, no significant trends were detected. A Bayesian multiple change points detection approach was applied to the rainfall time series, and most (six of nine) exhibited abrupt change points, corresponding to the alternation between wet (before 1968 and after 1990) and dry (1969-1990) periods. No significant trends or breakpoints and changes in the variance were observed for the spatial average rainfall time series. Seven modified MK trend tests were applied; the trends are affected by the selected MK method and rainfall statistics. Oceanic and/or atmospheric influences on the rainfall in Benin were examined by investigating the correlation between the precipitation time series and several indices. Negative seasonal correlations were determined for the North Atlantic Oscillation, Pacific Decadal Oscillation and Nino3, while positive seasonal correlations were observed for the Southern Oscillation, Antarctic Oscillation and Dipole Mode Index.</t>
  </si>
  <si>
    <t>[Ahokpossi, Yedjinnavenan] Inst Natl Rech Sci, Ctr Eau Terre Environm, 490 Couronne, Quebec City, PQ, Canada</t>
  </si>
  <si>
    <t>University of Quebec; Institut national de la recherche scientifique (INRS)</t>
  </si>
  <si>
    <t>Ahokpossi, Y (corresponding author), Inst Natl Rech Sci, Ctr Eau Terre Environm, 490 Couronne, Quebec City, PQ, Canada.</t>
  </si>
  <si>
    <t>yedjahokpossi@gmail.com</t>
  </si>
  <si>
    <t>Hydrol. Sci. J.</t>
  </si>
  <si>
    <t>15-16</t>
  </si>
  <si>
    <t>10.1080/02626667.2018.1554286</t>
  </si>
  <si>
    <t>HK1WM</t>
  </si>
  <si>
    <t>WOS:000457697600006</t>
  </si>
  <si>
    <t>Lu, XC; Cheng, X; Li, XL; Chen, JQ; Sun, MM; Ji, M; He, H; Wang, SY; Li, S; Tang, JW</t>
  </si>
  <si>
    <t>Lu, Xinchen; Cheng, Xiao; Li, Xianglan; Chen, Jiquan; Sun, Minmin; Ji, Ming; He, Hong; Wang, Siyu; Li, Sen; Tang, Jianwu</t>
  </si>
  <si>
    <t>Seasonal patterns of canopy photosynthesis captured by remotely sensed sun-induced fluorescence and vegetation indexes in mid-to-high latitude forests: A cross-platform comparison</t>
  </si>
  <si>
    <t>Phenology; Remote sensing; Photosynthesis; OCO-2; Sun-induced fluorescence; Vegetation indexes</t>
  </si>
  <si>
    <t>GROSS PRIMARY PRODUCTION; INDUCED CHLOROPHYLL FLUORESCENCE; LAND-SURFACE PHENOLOGY; DECIDUOUS BROADLEAF FOREST; NET ECOSYSTEM EXCHANGE; CARBON-DIOXIDE; PRIMARY PRODUCTIVITY; PLANT PHENOLOGY; BOREAL; CLIMATE</t>
  </si>
  <si>
    <t>Characterized by the noticeable seasonal patterns of canopy photosynthesis, mid-to-high latitude forests are sensitive to climate change and crucial for understanding the global carbon cycle. To monitor the seasonal cycle of the canopy photosynthesis from space, several remotely sensed indexes, such as normalized difference vegetation index (NDVI), enhanced vegetation index (EVI), and leaf area index (LAI) have been implemented within the past decades. Recently, satellite-derived sun-induced fluorescence (SIF) has shown great potential of providing retrievals that are more related to photosynthesis process. However, the potentials of different canopy measurements have not been thoroughly assessed in the context of recent advances of new satellites and proposals of improved indexes. At 15 forested sites, we present a cross-platform intercomparison of one emerging remote sensing based index of phenology index (PI) and two SIF datasets against the conventional indexes such as NDVI, EVI, and LAI to capture the seasonal cycles of canopy photosynthesis. NDVI, EVI, LAI, and PI were calculated from Moderate Resolution Imaging Spectroradiometer (MODIS) measurements, while SIF were evaluated from Global Ozone Monitoring Experiment-2 (GOME-2) and Orbiting Carbon Observatory-2 (OCO-2) observations. Results indicated that GOME-2 SIF was highly correlated with gross primary production (GPP) and absorbed photosynthetically active radiation during the growing seasons. The SIF-GPP relationship can generally be considered linear at the 16-day scale. Key phenological metrics such as start of the seasons and end of the seasons captured by SIF from GOME-2 and OCO-2 matched closely with photosynthesis phenology as inferred by GPP. However, the applications of OCO-2 SIF for phenological studies may be limited only for a small range of sites ( at site-level) due to a limited spatial sampling. Among the MODIS estimations, PI and NDVI provided most reliable predictions of start of growing seasons, while no indexes accurately captured the end of growing seasons. (c) 2018 Elsevier B.V. All rights reserved.</t>
  </si>
  <si>
    <t>[Lu, Xinchen; Cheng, Xiao; Li, Xianglan; Sun, Minmin; Ji, Ming; He, Hong; Wang, Siyu; Li, Sen] Beijing Normal Univ, Coll Global Change &amp; Earth Syst Sci, State Key Lab Remote Sensing Sci, Beijing 100875, Peoples R China; [Cheng, Xiao; Li, Xianglan] Beijing Normal Univ, Joint Ctr Global Change &amp; China Green Dev, Beijing 100875, Peoples R China; [Chen, Jiquan] Michigan State Univ, Dept Geog, Coll Social Sci, E Lansing, MI 48824 USA; [Tang, Jianwu] Marine Biol Lab, Ctr Ecosyst, Woods Hole, MA 02543 USA</t>
  </si>
  <si>
    <t>Beijing Normal University; Beijing Normal University; Michigan State University; Marine Biological Laboratory - Woods Hole</t>
  </si>
  <si>
    <t>Cheng, X; Li, XL (corresponding author), Beijing Normal Univ, Coll Global Change &amp; Earth Syst Sci, State Key Lab Remote Sensing Sci, Beijing 100875, Peoples R China.</t>
  </si>
  <si>
    <t>xcheng@bnu.edu.cn; xlli@bnu.edu.cn</t>
  </si>
  <si>
    <t>Chen, Jiquan/D-1955-2009; OCO, OCO/GVS-4314-2022; Tang, Jianwu/K-6798-2014</t>
  </si>
  <si>
    <t>Chen, Jiquan/0000-0003-0761-9458; Tang, Jianwu/0000-0003-2498-9012</t>
  </si>
  <si>
    <t>Chinese Arctic and Antarctic Administration; National Natural Science Foundation of China; Chinese Polar Environment Comprehensive Investigation, Assessment Program [41676176, 41676182]; Fundamental Research Funds for the Central Universities [312231103]; JICS (JAMSTEC-UAF/IARC); Department of Energy Office of Science, Ameriflux Network Management Project</t>
  </si>
  <si>
    <t>Chinese Arctic and Antarctic Administration; National Natural Science Foundation of China(National Natural Science Foundation of China (NSFC)); Chinese Polar Environment Comprehensive Investigation, Assessment Program; Fundamental Research Funds for the Central Universities(Fundamental Research Funds for the Central Universities); JICS (JAMSTEC-UAF/IARC); Department of Energy Office of Science, Ameriflux Network Management Project(United States Department of Energy (DOE))</t>
  </si>
  <si>
    <t>This work was supported by the Chinese Arctic and Antarctic Administration, National Natural Science Foundation of China, the Chinese Polar Environment Comprehensive Investigation, Assessment Program (Grant No. 41676176 and No. 41676182). This work was also supported by the Fundamental Research Funds for the Central Universities (Grant No. 312231103). We acknowledge Dr. Kohler P. for sharing the satellite-derived SIF, Dr. Tramontana G. and Prof. M. Jung for providing the upscaled model GPP. The data of OCO-2 SIF was produced by the OCO-2 project at the Jet Propulsion Laboratory, California Institute of Technology, and obtained from the OCO-2 data archive maintained at the NASA Goddard Earth Science Data and Information Services Center. Eddy based canopy measurements are from European Fluxes Database Cluster (http://gaia.agraria.unitus.it/) and Fluxnet (http://fluxnet.fluxdata.org/); we would like to address our appreciation for the PIs and staff that are working on these sites. The study of US-Syv, US-PFa, and Us-WCr is found by Department of Energy Office of Science, Ameriflux Network Management Project Support for UW ChEAS Cluster (2012-present). The study of US-Prr was supported by the JICS (JAMSTEC-UAF/IARC Collaboration Study). The data of this study can be access through figshare: https://doi.org/10.6084/m9.figshare.6709490.</t>
  </si>
  <si>
    <t>10.1016/j.scitotenv.2018.06.269</t>
  </si>
  <si>
    <t>GU3GG</t>
  </si>
  <si>
    <t>hybrid, Green Submitted</t>
  </si>
  <si>
    <t>WOS:000445164000047</t>
  </si>
  <si>
    <t>Flores, PAM; Correa-Llantén, DN; Blamey, JM</t>
  </si>
  <si>
    <t>Flores, Patricio A. M.; Correa-Llanten, Daniela N.; Blamey, Jenny M.</t>
  </si>
  <si>
    <t>A thermophilic microorganism from Deception Island, Antarctica with a thermostable glutamate dehydrogenase activity</t>
  </si>
  <si>
    <t>BIOLOGICAL RESEARCH</t>
  </si>
  <si>
    <t>Bacteria; Bacillus; Glutamate dehydrogenase; Biotechnology</t>
  </si>
  <si>
    <t>GEOTHERMAL ENVIRONMENTS; SP NOV.; BACILLUS; AMMONIA; BACTERIA</t>
  </si>
  <si>
    <t>Background: The Antarctic continent is a source of extreme microorganisms. Millions of years of isolation have produced unique biodiversity with adaptive responses to its extreme environment. Although the Antarctic climate is mainly cold, the presence of several geothermal sites, including thermal springs, fumaroles, hot soils and hydrothermal vents, provides ideal environments for the development of thermophilic and hyperthermophilic microorganisms. Their enzymes, called thermoenzymes, are the focus of interest in both academic and industrial research, mainly due to their high thermal activity and stability. Glutamate dehydrogenase, is an enzyme that plays a key role in the metabolism of carbon and nitrogen catalyzing reversibly the oxidative deamination of glutamate to alpha-ketoglutarate and ammonium. It belongs to the family of oxidoreductases, is widely distributed and it has been highly regarded for use as biosensors, particularly for their specificity and ability to operate in photochemical and electrochemical systems. However, the use of enzymes as biosensors is relatively problematic due to their instability to high temperatures, organic solvents and denaturing agents. The purpose of this study is to present the partial characterization of a thermophilic microorganism isolated from Deception Island, Antarctica, that displays glutamate dehydrogenase activity. Results: In this work, we report the isolation of a thermophilic microorganism called PID15 from samples of Deception Island collected during the Antarctic Scientific Expedition ECA 46. This microorganism is a thermophile that grows optimally at 50 degrees C and pH 8.0. Scanning electron microscopy shows rod cells of 2.0 to 8.0 mu m of length. Phylogenetic analysis of 16S rRNA gene revealed that this microorganism is closely related to Bacillus gelatini. This microorganism contains a thermostable glutamate dehydrogenase with optimal activity at pH 8.0 and temperatures for its activity from 37 to 50 degrees C, range of temperature of interest for biotechnological applications. This glutamate dehydrogenase is a highly thermostable enzyme. Conclusion: This is the first report of a microorganism from Antarctica containing a thermostable glutamate dehydrogenase that maintains its activity in a broad range of temperatures making it of potential interest for biotechnological applications.</t>
  </si>
  <si>
    <t>[Flores, Patricio A. M.; Correa-Llanten, Daniela N.; Blamey, Jenny M.] Fdn Cient &amp; Cultural Biociencia, Jose Domingo Canas 2280, Santiago 7750132, Chile; [Blamey, Jenny M.] Univ Santiago Chile, Fac Quim &amp; Biol, Alameda 3363, Santiago, Chile</t>
  </si>
  <si>
    <t>Universidad de Santiago de Chile</t>
  </si>
  <si>
    <t>Blamey, JM (corresponding author), Fdn Cient &amp; Cultural Biociencia, Jose Domingo Canas 2280, Santiago 7750132, Chile.</t>
  </si>
  <si>
    <t>jblamey@bioscience.cl</t>
  </si>
  <si>
    <t>Blamey, Jenny M/M-2637-2014</t>
  </si>
  <si>
    <t>Blamey, Jenny M/0000-0002-7640-316X; Flores, Patricio/0009-0004-2489-187X</t>
  </si>
  <si>
    <t>INNOVA-CORFO [07CN13PXT-64]; AFOSR [FA9550-16-1-0356]; Instituto Antartico Chileno INACH</t>
  </si>
  <si>
    <t>INNOVA-CORFO; AFOSR(United States Department of DefenseAir Force Office of Scientific Research (AFOSR)); Instituto Antartico Chileno INACH</t>
  </si>
  <si>
    <t>This work was supported by INNOVA-CORFO 07CN13PXT-64, AFOSR FA9550-16-1-0356, Instituto Antartico Chileno INACH.</t>
  </si>
  <si>
    <t>SOC BIOLGIA CHILE</t>
  </si>
  <si>
    <t>SANTIAGO</t>
  </si>
  <si>
    <t>CASILLA 16164, SANTIAGO 9, CHILE</t>
  </si>
  <si>
    <t>0716-9760</t>
  </si>
  <si>
    <t>0717-6287</t>
  </si>
  <si>
    <t>BIOL RES</t>
  </si>
  <si>
    <t>Biol. Res.</t>
  </si>
  <si>
    <t>DEC 8</t>
  </si>
  <si>
    <t>10.1186/s40659-018-0206-3</t>
  </si>
  <si>
    <t>HD4ZW</t>
  </si>
  <si>
    <t>WOS:000452538200001</t>
  </si>
  <si>
    <t>Bierma, JC; Roskamp, KW; Ledray, AP; Kiss, AJ; Cheng, CHC; Martin, RW</t>
  </si>
  <si>
    <t>Bierma, Jan C.; Roskamp, Kyle W.; Ledray, Aaron P.; Kiss, Andor J.; Cheng, C. -H. Christina; Martin, Rachel W.</t>
  </si>
  <si>
    <t>Controlling Liquid Liquid Phase Separation of Cold-Adapted Crystallin Proteins from the Antarctic Toothfish</t>
  </si>
  <si>
    <t>JOURNAL OF MOLECULAR BIOLOGY</t>
  </si>
  <si>
    <t>liquid liquid phase separation; coacervation; crystallins; eye lens proteins; psychrophile</t>
  </si>
  <si>
    <t>HUMAN GAMMA-D; CATION-PI INTERACTIONS; EYE LENS CRYSTALLINS; ALPHA-B-CRYSTALLIN; S-CRYSTALLIN; POSTTRANSLATIONAL MODIFICATIONS; NOTOTHENIID TOOTHFISH; P23T MUTANT; DENATURATION; ARGININE</t>
  </si>
  <si>
    <t>Liquid liquid phase separation (LLPS) of proteins is important to a variety of biological processes both functional and deleterious, including the formation of membraneless organelles, molecular condensations that sequester or release molecules in response to stimuli, and the early stages of disease-related protein aggregation. In the protein-rich, crowded environment of the eye lens, LLPS manifests as cold cataract. We characterize the LLPS behavior of six structural gamma-crystallins from the eye lens of the Antarctic toothfish Dissostichus mawsoni, whose intact lenses resist cold cataract in subzero waters. Phase separation of these proteins is not strongly correlated with thermal stability, aggregation propensity, or cross-species chaperone protection from heat denaturation. Instead, LLPS is driven by protein protein interactions involving charged residues. The critical temperature of the phase transition can be tuned over a wide temperature range by selective substitution of surface residues, suggesting general principles for controlling this phenomenon, even in compactly folded proteins. (C) 2018 Elsevier Ltd. All rights reserved.</t>
  </si>
  <si>
    <t>[Bierma, Jan C.; Ledray, Aaron P.; Martin, Rachel W.] Univ Calif Irvine, Dept Mol Biol &amp; Biochem, Irvine, CA 92697 USA; [Roskamp, Kyle W.; Martin, Rachel W.] Univ Calif Irvine, Dept Chem, Irvine, CA 92697 USA; [Kiss, Andor J.] Miami Univ, Ctr Bioinformat &amp; Funct Genom, Oxford, OH 45056 USA; [Cheng, C. -H. Christina] Univ Illinois, Dept Anim Biol, Urbana, IL 61801 USA</t>
  </si>
  <si>
    <t>University of California System; University of California Irvine; University of California System; University of California Irvine; University System of Ohio; Miami University; University of Illinois System; University of Illinois Urbana-Champaign</t>
  </si>
  <si>
    <t>Martin, RW (corresponding author), Univ Calif Irvine, Dept Mol Biol &amp; Biochem, Irvine, CA 92697 USA.</t>
  </si>
  <si>
    <t>kissaj@miamioh.edu; rwmartin@uci.edu</t>
  </si>
  <si>
    <t>Kiss, Andor J/E-9863-2016</t>
  </si>
  <si>
    <t>Kiss, Andor J/0000-0002-7508-0485; Bierma, Jan/0000-0003-2100-3801; Martin, Rachel/0000-0001-9996-7411</t>
  </si>
  <si>
    <t>National Science Foundation (NSF) under NSF [DMR 1410415]; NSF graduate fellowship [DGE 1633631]</t>
  </si>
  <si>
    <t>National Science Foundation (NSF) under NSF(National Science Foundation (NSF)); NSF graduate fellowship(National Science Foundation (NSF))</t>
  </si>
  <si>
    <t>We thank Dmitry Fishman and Felix Grun for excellent management of the UCI Laser Spectroscopy Labs and Mass Spectrometry Facility, respectively, and Ben Katz for assistance with mass spectrometry data collection and analysis. We thank Max Kaganyuk and Ali Mohraz for training and use of their rheometer, and Megha Unhelkar for help with taking photographs. This work was supported by the National Science Foundation (NSF) under NSF award DMR 1410415 to R.W.M. K.W.R. was supported by an NSF graduate fellowship under award DGE 1633631.</t>
  </si>
  <si>
    <t>0022-2836</t>
  </si>
  <si>
    <t>1089-8638</t>
  </si>
  <si>
    <t>J MOL BIOL</t>
  </si>
  <si>
    <t>J. Mol. Biol.</t>
  </si>
  <si>
    <t>DEC 7</t>
  </si>
  <si>
    <t>10.1016/j.jmb.2018.10.023</t>
  </si>
  <si>
    <t>Biochemistry &amp; Molecular Biology</t>
  </si>
  <si>
    <t>HF6VT</t>
  </si>
  <si>
    <t>WOS:000454377100023</t>
  </si>
  <si>
    <t>Kittel, C; Amory, C; Agosta, C; Delhasse, A; Doutreloup, S; Huot, PV; Wyard, C; Fichefet, T; Fettweis, X</t>
  </si>
  <si>
    <t>Kittel, Christoph; Amory, Charles; Agosta, Cecile; Delhasse, Alison; Doutreloup, Sebastien; Huot, Pierre-Vincent; Wyard, Coraline; Fichefet, Thierry; Fettweis, Xavier</t>
  </si>
  <si>
    <t>Sensitivity of the current Antarctic surface mass balance to sea surface conditions using MAR</t>
  </si>
  <si>
    <t>ICE-SHEET; WEST GREENLAND; CLIMATE-CHANGE; SYSTEM MODEL; ROSS SEA; CMIP5; SNOW; VARIABILITY; TEMPERATURE; CIRCULATION</t>
  </si>
  <si>
    <t>Estimates for the recent period and projections of the Antarctic surface mass balance (SMB) often rely on high-resolution polar-oriented regional climate models (RCMs). However, RCMs require large-scale boundary forcing fields prescribed by reanalyses or general circulation models (GCMs). Since the recent variability of sea surface conditions (SSCs, namely sea ice concentration, SIC, and sea surface temperature, SST) over the Southern Ocean is not reproduced by most GCMs from the 5th phase of the Coupled Model Intercomparison Project (CMIP5), RCMs are then subject to potential biases. We investigate here the direct sensitivity of the Antarctic SMB to SSC perturbations around the Antarctic. With the RCM Modele Atmospherique Regional (MAR), different sensitivity experiments are performed over 1979-2015 by modifying the ERA-Interim SSCs with (i) homogeneous perturbations and (ii) mean anomalies estimated from all CMIP5 models and two extreme ones, while atmospheric lateral boundary conditions remained unchanged. Results show increased (decreased) precipitation due to perturbations inducing warmer, i.e. higher SST and lower SIC (colder, i.e. lower SST and higher SIC), SSCs than ERA-Interim, significantly affecting the SMB of coastal areas, as precipitation is mainly related to cyclones that do not penetrate far into the continent. At the continental scale, significant SMB anomalies (i.e greater than the interannual variability) are found for the largest combined SST/SIC perturbations. This is notably due to moisture anomalies above the ocean, reaching sufficiently high atmospheric levels to influence accumulation rates further inland. Sensitivity experiments with warmer SSCs based on the CMIP5 biases reveal integrated SMB anomalies (+5 % to +13 %) over the present climate (1979-2015) in the lower range of the SMB increase projected for the end of the 21st century.</t>
  </si>
  <si>
    <t>[Kittel, Christoph; Amory, Charles; Agosta, Cecile; Delhasse, Alison; Doutreloup, Sebastien; Wyard, Coraline; Fettweis, Xavier] Univ Liege, Dept Geog, Lab Climatol, Liege, Belgium; [Agosta, Cecile] Lab Sci Climat &amp; Environm, Gif Sur Yvette, France; [Huot, Pierre-Vincent; Fichefet, Thierry] Catholic Univ Louvain, Earth &amp; Life Inst, Earth &amp; Climate, Louvain La Neuve, Belgium</t>
  </si>
  <si>
    <t>University of Liege; CEA; Centre National de la Recherche Scientifique (CNRS); Universite Paris Saclay; Universite Catholique Louvain</t>
  </si>
  <si>
    <t>Kittel, C (corresponding author), Univ Liege, Dept Geog, Lab Climatol, Liege, Belgium.</t>
  </si>
  <si>
    <t>ckittel@uliege.be</t>
  </si>
  <si>
    <t>Agosta, Cécile/HLQ-5577-2023; Wyard, Coraline/ABH-9521-2020; Doutreloup, Sebastien/GXH-2445-2022; Agosta, Cécile/B-9625-2013</t>
  </si>
  <si>
    <t>Wyard, Coraline/0000-0002-2949-5831; Doutreloup, Sebastien/0000-0002-3724-7432; Agosta, Cécile/0000-0003-4091-1653; Kittel, Christoph/0000-0001-6586-9784; Fettweis, Xavier/0000-0002-4140-3813; Delhasse, Alison/0000-0003-0961-1601; Amory, Charles/0000-0002-5906-4303</t>
  </si>
  <si>
    <t>Fonds de la Recherche Scientifique de Belgique (F.R.S. -FNRS) [2.5020.11]; Walloon Region [1117545]; Fonds de la Recherche Scientifique -FNRS [T.0002.16]</t>
  </si>
  <si>
    <t>Fonds de la Recherche Scientifique de Belgique (F.R.S. -FNRS); Walloon Region; Fonds de la Recherche Scientifique -FNRS(Fonds de la Recherche Scientifique - FNRS)</t>
  </si>
  <si>
    <t>Computational resources have been provided by the Consortium des Equipements de Calcul Intensif (CECI), funded by the Fonds de la Recherche Scientifique de Belgique (F.R.S. -FNRS) under grant no. 2.5020.11 and the Tier-1 supercomputer (Zenobe) of the Federation Wallonie Bruxelles infrastructure funded by the Walloon Region under grant agreement no. 1117545. This work was supported by the Fonds de la Recherche Scientifique -FNRS under grant no. T.0002.16.</t>
  </si>
  <si>
    <t>10.5194/tc-12-3827-2018</t>
  </si>
  <si>
    <t>HD3JI</t>
  </si>
  <si>
    <t>Green Submitted, gold, Green Published</t>
  </si>
  <si>
    <t>WOS:000452411300001</t>
  </si>
  <si>
    <t>Boisier, JP; Alvarez-Garreton, C; Cordero, RR; Damiani, A; Gallardo, L; Garreaud, RD; Lambert, F; Ramallo, C; Rojas, M; Rondanelli, R</t>
  </si>
  <si>
    <t>Boisier, Juan P.; Alvarez-Garreton, Camila; Cordero, Raul R.; Damiani, Alessandro; Gallardo, Laura; Garreaud, Rene D.; Lambert, Fabrice; Ramallo, Cinthya; Rojas, Maisa; Rondanelli, Roberto</t>
  </si>
  <si>
    <t>Anthropogenic drying in central-southern Chile evidenced by long-term observations and climate model simulations</t>
  </si>
  <si>
    <t>ELEMENTA-SCIENCE OF THE ANTHROPOCENE</t>
  </si>
  <si>
    <t>Chile; Climate change; Drying trends; Drought; Greenhouse gas and ozone depletion; Southern annular mode</t>
  </si>
  <si>
    <t>ANNULAR MODE; ANTARCTIC OSCILLATION; RAINFALL VARIABILITY; TRENDS; PRECIPITATION; WATER; CMIP5; AMERICA; IMPACTS; HYDROCLIMATE</t>
  </si>
  <si>
    <t>The socio-ecological sensitivity to water deficits makes Chile highly vulnerable to global change. New evidence of a multi-decadal drying trend and the impacts of a persistent drought that since 2010 has affected several regions of the country, reinforce the need for clear diagnoses of the hydro-climate changes in Chile. Based on the analysis of long-term records (50+ years) of precipitation and streamflow, we confirm a tendency toward a dryer condition in central-southern Chile (30-48 degrees S). We describe the geographical and seasonal character of this trend, as well as the associated large-scale circulation patterns. When a large ensemble of climate model simulations is contrasted to observations, anthropogenic forcing appears as the leading factor of precipitation change. In addition to a drying trend driven by greenhouse gas forcing in all seasons, our results indicate that the Antarctic stratospheric ozone depletion has played a major role in the summer rainfall decline. Although average model results agree well with the drying trend's seasonal character, the observed change magnitude is two to three times larger than that simulated, indicating a potential underestimation of future projections for this region. Under present-day carbon emission rates, the drying pathway in Chile will likely prevail during the next decades, although the summer signal should weaken as a result of the gradual ozone layer recovery. The trends and scenarios shown here pose substantial stress on Chilean society and its institutions, and call for urgent action regarding adaptation measures.</t>
  </si>
  <si>
    <t>[Boisier, Juan P.; Alvarez-Garreton, Camila; Gallardo, Laura; Garreaud, Rene D.; Lambert, Fabrice; Ramallo, Cinthya; Rojas, Maisa; Rondanelli, Roberto] Ctr Climate &amp; Resilience Res, CR2, FONDAP 15110009, Santiago, Chile; [Boisier, Juan P.; Gallardo, Laura; Garreaud, Rene D.; Ramallo, Cinthya; Rojas, Maisa; Rondanelli, Roberto] Univ Chile, Dept Geophys, Santiago, Chile; [Alvarez-Garreton, Camila] Univ Austral Chile, Inst Conservac Biodiversidad &amp; Terr, Valdivia, Chile; [Cordero, Raul R.; Damiani, Alessandro] Univ Santiago Chile, Dept Phys, Santiago, Chile; [Damiani, Alessandro] Chiba Univ, Ctr nment Remote Sensing, Chiba, Japan; [Lambert, Fabrice] Pontificia Univ Catolica Chile, Dept Phys Geog, Santiago, Chile</t>
  </si>
  <si>
    <t>Universidad de Chile; Universidad Austral de Chile; Universidad de Santiago de Chile; Chiba University; Pontificia Universidad Catolica de Chile</t>
  </si>
  <si>
    <t>Boisier, JP (corresponding author), Ctr Climate &amp; Resilience Res, CR2, FONDAP 15110009, Santiago, Chile.;Boisier, JP (corresponding author), Univ Chile, Dept Geophys, Santiago, Chile.</t>
  </si>
  <si>
    <t>jboisier@dgfuchile.cl</t>
  </si>
  <si>
    <t>Gallardo, Laura/V-8977-2019; Gallardo, Laura/H-4370-2013; Alvarez-Garreton, Camila/M-1232-2016; Rondanelli, Roberto/A-4717-2012; Moraga, Pilar/AAD-8718-2020; Cordero, Raul R/M-7979-2017; Rojas, Maisa/A-7229-2013; Damiani, Alessandro/X-4677-2019; Lambert, Fabrice/M-2003-2014; Garreaud, Rene/JFS-4440-2023; Garreaud, Rene/I-6298-2016</t>
  </si>
  <si>
    <t>Gallardo, Laura/0000-0001-7605-3721; Gallardo, Laura/0000-0001-7605-3721; Rondanelli, Roberto/0000-0002-7440-7810; Damiani, Alessandro/0000-0003-3014-6193; Lambert, Fabrice/0000-0002-2192-024X; Garreaud, Rene/0000-0002-7875-2443; Cordero, Raul R./0000-0001-7607-7993; Boisier, Juan Pablo/0000-0003-3872-2538</t>
  </si>
  <si>
    <t>CONICYT research center CR(2) [FONDAP 15110009]; FONDECYT [3150492]; CONICYT [Preis ACT1410, Preis 117 1690, Preis 1151034]; Universidad de Santiago de Chile (USACH, Preis USA)</t>
  </si>
  <si>
    <t>CONICYT research center CR(2); FONDECYT(Comision Nacional de Investigacion Cientifica y Tecnologica (CONICYT)CONICYT FONDECYT); CONICYT(Comision Nacional de Investigacion Cientifica y Tecnologica (CONICYT)); Universidad de Santiago de Chile (USACH, Preis USA)</t>
  </si>
  <si>
    <t>This work has been developed within the framework of the CONICYT research center CR(2) (FONDAP 15110009) and the FONDECYT project 3150492 (JPB). RC and AD thank the support of CONICYT (Preis ACT1410, Preis 117 1690 and Preis 1151034) and the Universidad de Santiago de Chile (USACH, Preis USA1555).</t>
  </si>
  <si>
    <t>UNIV CALIFORNIA PRESS</t>
  </si>
  <si>
    <t>OAKLAND</t>
  </si>
  <si>
    <t>155 GRAND AVE, SUITE 400, OAKLAND, CA 94612-3758 USA</t>
  </si>
  <si>
    <t>2325-1026</t>
  </si>
  <si>
    <t>ELEMENTA-SCI ANTHROP</t>
  </si>
  <si>
    <t>Elementa-Sci. Anthrop.</t>
  </si>
  <si>
    <t>10.1525/elementa.328</t>
  </si>
  <si>
    <t>HD4CI</t>
  </si>
  <si>
    <t>WOS:000452473600002</t>
  </si>
  <si>
    <t>Quiquet, A; Dumas, C; Ritz, C; Peyaud, V; Roche, DM</t>
  </si>
  <si>
    <t>Quiquet, Aurelien; Dumas, Christophe; Ritz, Catherine; Peyaud, Vincent; Roche, Didier M.</t>
  </si>
  <si>
    <t>The GRISLI ice sheet model (version 2.0): calibration and validation for multi-millennial changes of the Antarctic ice sheet</t>
  </si>
  <si>
    <t>SEA-LEVEL RISE; LARGE ENSEMBLE ANALYSIS; SURFACE MASS-BALANCE; PISM-PIK; GREENLAND; EVOLUTION; CLIMATE; SHELVES; DRIVEN; TEMPERATURE</t>
  </si>
  <si>
    <t>In this paper, we present the GRISLI (Grenoble ice sheet and land ice) model in its newest revision (version 2.0). Whilst GRISLI is applicable to any given ice sheet, we focus here on the Antarctic ice sheet because it highlights the importance of grounding line dynamics. Important improvements have been implemented in the model since its original version (Ritz et al., 2001). Notably, GRISLI now includes a basal hydrology model and an explicit flux computation at the grounding line based on the analytical formulations of Schoof (2007) or Tsai et al. (2015). We perform a full calibration of the model based on an ensemble of 300 simulations sampling mechanical parameter space using a Latin hypercube method. Performance of individual members is assessed relative to the deviation from present-day observed Antarctic ice thickness. To assess the ability of the model to simulate grounding line migration, we also present glacial-interglacial ice sheet changes throughout the last 400 kyr using the best ensemble members taking advantage of the capacity of the model to perform multi-millennial long-term integrations. To achieve this goal, we construct a simple climatic perturbation of present-day climate forcing fields based on two climate proxies: atmospheric and oceanic. The model is able to reproduce expected grounding line advances during glacial periods and subsequent retreats during terminations with reasonable glacial-interglacial ice volume changes.</t>
  </si>
  <si>
    <t>[Quiquet, Aurelien; Dumas, Christophe; Roche, Didier M.] Univ Paris Saclay, UVSQ, CNRS, CEA,Lab Sci Climat &amp; Environm,LSCE,IPSL, Gif Sur Yvette, France; [Ritz, Catherine; Peyaud, Vincent] Univ Grenoble Alpes, CNRS, IRD, IGE, Grenoble, France; [Roche, Didier M.] Vrije Univ Amsterdam, Fac Sci, Earth &amp; Climate Cluster, Amsterdam, Netherlands</t>
  </si>
  <si>
    <t>Universite Paris Cite; Universite Paris Saclay; CEA; Centre National de la Recherche Scientifique (CNRS); Communaute Universite Grenoble Alpes; Universite Grenoble Alpes (UGA); Institut de Recherche pour le Developpement (IRD); Centre National de la Recherche Scientifique (CNRS); Vrije Universiteit Amsterdam</t>
  </si>
  <si>
    <t>Quiquet, A (corresponding author), Univ Paris Saclay, UVSQ, CNRS, CEA,Lab Sci Climat &amp; Environm,LSCE,IPSL, Gif Sur Yvette, France.</t>
  </si>
  <si>
    <t>aurelien.quiquet@lsce.ipsl.fr</t>
  </si>
  <si>
    <t>Roche, Didier M./C-9875-2010; Quiquet, Aurélien/P-6180-2014</t>
  </si>
  <si>
    <t>Quiquet, Aurélien/0000-0001-6207-3043; Peyaud, Vincent/0000-0001-5583-4086</t>
  </si>
  <si>
    <t>European Research Council under the European Union's Seventh Framework Programme (FP7/2007-2013)/ERC grant [339108]</t>
  </si>
  <si>
    <t>European Research Council under the European Union's Seventh Framework Programme (FP7/2007-2013)/ERC grant</t>
  </si>
  <si>
    <t>We thank Michiel van den Broeke (IMAU, Utrecht University) for providing the RACMO2.3 model outputs. We also warmly thank Claire Waelbroeck for fruitful discussions on the construction of the index for sub-shelf melting rates. This is a contribution to ERC project ACCLIMATE; the research leading to these results has received funding from the European Research Council under the European Union's Seventh Framework Programme (FP7/2007-2013)/ERC grant agreement 339108.</t>
  </si>
  <si>
    <t>10.5194/gmd-11-5003-2018</t>
  </si>
  <si>
    <t>HD3HQ</t>
  </si>
  <si>
    <t>WOS:000452406400003</t>
  </si>
  <si>
    <t>Viaggi, P</t>
  </si>
  <si>
    <t>Viaggi, Paolo</t>
  </si>
  <si>
    <t>18O and SST signal decomposition and dynamic of the Pliocene-Pleistocene climate system: new insights on orbital nonlinear behavior vs. long-term trend</t>
  </si>
  <si>
    <t>Singular spectrum analysis; Nonlinear; Chaotic; Damping; Paleoclimate; Milankovitch; Pliocene-Pleistocene; Greenhouse</t>
  </si>
  <si>
    <t>ATMOSPHERIC CARBON-DIOXIDE; EASTERN EQUATORIAL PACIFIC; FLOOR SPREADING RATES; INSOLATION QUANTITIES; ANTARCTIC CLIMATE; ICE VOLUME; CO2; CYCLE; QUATERNARY; RECONSTRUCTION</t>
  </si>
  <si>
    <t>The global LR04 O-18, the tropical ODP Site 846 sea surface temperature (SST), and the global SST stack records were investigated using the advanced method for time-series decomposition singular spectrum analysis to outline the quantitative role of orbital forcings and to investigate the nonlinear dynamics of the Pliocene and Pleistocene climate system. For the first time, a detailed quantitative evaluation is provided of the O-18 and SST variance paced by long-period orbital modulation, short eccentricity, obliquity, precession, and half-precession cycles. New insights into the nonlinear dynamic of the orbital components suggest considering astronomical signals as composite feedback lagged responses paced by orbitals and damped (Early Pliocene) or amplified (Mid-Late Pleistocene) in a range of -100 to +400% the forcing. The Early Pliocene asymptotic decay of the O-18 and SST response sensitivity up to -100% observed for the first time in all orbital responses is interpreted as damping effect of a wide global forest cover along with a possible high ocean primary productivity, through the CO2-related negative feedbacks during time of global greenhouse. An anomalous post-Mid-Pleistocene Transition (MPT) sharply declines to near-zero in obliquity response sensitivity observed in both global O-18 and tropical SST,suggesting an attenuation mechanism of the obliquity driving force and a reduction of the related feedback amplification processes. It is hypothesized the post-MPT obliquity damping has contributed to the strengthening of the short eccentricity response by mitigating the obliquity ice killing, favoring a long-life ice sheet sensitive to a synergistic similar to 100-kyr amplification of positive feedback processes during the time of a global icy state. The global O-18, the tropical SST, and the global SST trend components, all explaining similar to 76% of the Plio-Pleistocene variance and significantly modifying the mean climate state, appear to be related to the long-term pCO(2) proxies, supposedly controlled by plate tectonics through the global carbon cycle (CO2 outgassing, explosive volcanism, orography and erosion, paleogeography, oceanic paleocirculation, and ocean fertilization). Finally, singular spectrum analysis provides a valuable tool in cyclostratigraphy with the remarkable advantage of separating full-resolution time series by variance strength.</t>
  </si>
  <si>
    <t>[Viaggi, Paolo] Bologna Univ, Museo Geol Giovanni Capellini, SMA, Via Zamboni 63, I-40126 Bologna, Italy</t>
  </si>
  <si>
    <t>University of Bologna</t>
  </si>
  <si>
    <t>Viaggi, P (corresponding author), Bologna Univ, Museo Geol Giovanni Capellini, SMA, Via Zamboni 63, I-40126 Bologna, Italy.</t>
  </si>
  <si>
    <t>paolov6363@yahoo.it</t>
  </si>
  <si>
    <t>Viaggi, Paolo/0000-0002-7678-4847</t>
  </si>
  <si>
    <t>10.1186/s40645-018-0236-z</t>
  </si>
  <si>
    <t>HD7NW</t>
  </si>
  <si>
    <t>WOS:000452740800001</t>
  </si>
  <si>
    <t>Bronselaer, B; Winton, M; Griffies, SM; Hurlin, WJ; Rodgers, KB; Sergienko, OV; Stouffer, RJ; Russell, JL</t>
  </si>
  <si>
    <t>Bronselaer, Ben; Winton, Michael; Griffies, Stephen M.; Hurlin, William J.; Rodgers, Keith B.; Sergienko, Olga V.; Stouffer, Ronald J.; Russell, Joellen L.</t>
  </si>
  <si>
    <t>Change in future climate due to Antarctic meltwater</t>
  </si>
  <si>
    <t>NATURE</t>
  </si>
  <si>
    <t>SEA-ICE; SOUTHERN-OCEAN; FRESH-WATER; DEEP-CONVECTION; CMIP5 MODELS; SHELF; SHEET; WEST; SENSITIVITY; TRENDS</t>
  </si>
  <si>
    <t>Meltwater from the Antarctic Ice Sheet is projected to cause up to one metre of sea-level rise by 2100 under the highest greenhouse gas concentration trajectory (RCP8.5) considered by the Intergovernmental Panel on Climate Change (IPCC). However, the effects of meltwater from the ice sheets and ice shelves of Antarctica are not included in the widely used CMIP5 climate models, which introduces bias into IPCC climate projections. Here we assess a large ensemble simulation of the CMIP5 model 'GFDL ESM2M' that accounts for RCP8.5-projected Antarctic Ice Sheet meltwater. We find that, relative to the standard RCP8.5 scenario, accounting for meltwater delays the exceedance of the maximum global-mean atmospheric warming targets of 1.5 and 2 degrees Celsius by more than a decade, enhances drying of the Southern Hemisphere and reduces drying of the Northern Hemisphere, increases the formation of Antarctic sea ice (consistent with recent observations of increasing Antarctic sea-ice area) and warms the subsurface ocean around the Antarctic coast. Moreover, the meltwater-induced subsurface ocean warming could lead to further ice-sheet and ice-shelf melting through a positive feedback mechanism, highlighting the importance of including meltwater effects in simulations of future climate.</t>
  </si>
  <si>
    <t>[Bronselaer, Ben; Stouffer, Ronald J.; Russell, Joellen L.] Univ Arizona, Dept Geosci, Tucson, AZ 85721 USA; [Bronselaer, Ben; Winton, Michael; Griffies, Stephen M.; Hurlin, William J.; Sergienko, Olga V.; Stouffer, Ronald J.] Princeton Univ, Geophys Fluid Dynam Lab, Forrestal Campus, Princeton, NJ 08544 USA; [Bronselaer, Ben; Griffies, Stephen M.; Rodgers, Keith B.; Sergienko, Olga V.] Princeton Univ, Program Atmospher &amp; Ocean Sci, Princeton, NJ 08544 USA</t>
  </si>
  <si>
    <t>University of Arizona; Princeton University; National Oceanic Atmospheric Admin (NOAA) - USA; National Oceanic Atmospheric Admin (NOAA) - USA; Princeton University</t>
  </si>
  <si>
    <t>Bronselaer, B (corresponding author), Univ Arizona, Dept Geosci, Tucson, AZ 85721 USA.;Bronselaer, B (corresponding author), Princeton Univ, Geophys Fluid Dynam Lab, Forrestal Campus, Princeton, NJ 08544 USA.;Bronselaer, B (corresponding author), Princeton Univ, Program Atmospher &amp; Ocean Sci, Princeton, NJ 08544 USA.</t>
  </si>
  <si>
    <t>benjamin.bronselaer@noaa.gov</t>
  </si>
  <si>
    <t>Sergienko, Olga/HII-8500-2022; Rodgers, Keith/AAL-4329-2021; Griffies, Stephen Matthew/N-9144-2019</t>
  </si>
  <si>
    <t>Sergienko, Olga/0000-0002-5764-8815; Griffies, Stephen Matthew/0000-0002-3711-236X; Russell, Joellen/0000-0001-9937-6056</t>
  </si>
  <si>
    <t>NSF's Southern Ocean Carbon and Climate Observations and Modeling (SOCCOM) Project under the NSF [PLR-1425989]; NASA [NNX17AI75G]; NSF [OPP-1246151]; NOAA from the US Department of Commerce [NA14OAR4320106, NA13OAR431009]; NOAA; NASA</t>
  </si>
  <si>
    <t>NSF's Southern Ocean Carbon and Climate Observations and Modeling (SOCCOM) Project under the NSF; NASA(National Aeronautics &amp; Space Administration (NASA)); NSF(National Science Foundation (NSF)); NOAA from the US Department of Commerce; NOAA(National Oceanic Atmospheric Admin (NOAA) - USA); NASA(National Aeronautics &amp; Space Administration (NASA))</t>
  </si>
  <si>
    <t>This work was supported by the NSF's Southern Ocean Carbon and Climate Observations and Modeling (SOCCOM) Project under the NSF award PLR-1425989, the NOAA and NASA. O.V.S. is supported by NSF OPP-1246151 and by NOAA awards NA14OAR4320106 and NA13OAR431009 from the US Department of Commerce. Support for K.B.R. was provided by NASA award NNX17AI75G. The statements, findings, conclusions and recommendations presented here are those of the authors and do not necessarily reflect the views of the NOAA or the US Department of Commerce. We thank J. Sarmiento, J. Yin and A. Haumann for their insight.</t>
  </si>
  <si>
    <t>0028-0836</t>
  </si>
  <si>
    <t>1476-4687</t>
  </si>
  <si>
    <t>Nature</t>
  </si>
  <si>
    <t>DEC 6</t>
  </si>
  <si>
    <t>10.1038/s41586-018-0712-z</t>
  </si>
  <si>
    <t>HD1KR</t>
  </si>
  <si>
    <t>WOS:000452269400039</t>
  </si>
  <si>
    <t>Hughes, KA; Grant, SM</t>
  </si>
  <si>
    <t>Hughes, Kevin A.; Grant, Susie M.</t>
  </si>
  <si>
    <t>Current logistical capacity is sufficient to deliver the implementation and management of a representative Antarctic protected area system</t>
  </si>
  <si>
    <t>Spatial protection; Environmental Protocol; remote sensing; human impacts; terrestrial biodiversity</t>
  </si>
  <si>
    <t>WILDLIFE RESEARCH; CLIMATE-CHANGE; CONSERVATION; IMPACTS</t>
  </si>
  <si>
    <t>Antarctica's terrestrial ecosystems are vulnerable to impacts resulting from climate change and local human activities. The Antarctic Treaty System (ATS) provides for the designation of protected areas through the Protocol on Environmental Protection to the Antarctic Treaty. Unsystematic use of agreed management tools, including Antarctic Specially Protected Areas (ASPAs), has resulted in a protected area system lacking representation across the full range of Antarctic terrestrial ecosystems and Antarctic Conservation Biogeographic Regions (ACBRs). Systematic Conservation Planning (SCP) methods provide established mechanisms to fulfil ATS protected area designation goals. However, how would a continent-wide ASPA system be delivered should appropriate sites be identified using SCP or other methods? Although the rate of area protection has slowed recently, we show that newer Consultative Parties to the Antarctic Treaty are increasingly active as ASPA proponents and may have scope for further engagement with protected area management activities. Furthermore, all 16 ACBRs were found to be within the operational footprint of at least two Parties, indicating that this current logistical footprint could support the implementation and management of a continent-wide ASPA system. Effective management of a representative Antarctic protected areas system could be delivered through greater participation by those Parties with currently more limited protected area management responsibilities and greater use of remote-sensing technologies for protected area monitoring, where appropriate. Crucially, political will to implement an ASPA system identified through SCP approaches may be greater once a pragmatic means of delivery and effective management has been identified.</t>
  </si>
  <si>
    <t>[Hughes, Kevin A.; Grant, Susie M.] British Antarctic Survey, Nat Environm Res Council, Madingley Rd, Cambridge CB3 0ET, England</t>
  </si>
  <si>
    <t>Hughes, KA (corresponding author), British Antarctic Survey, Nat Environm Res Council, Madingley Rd, Cambridge CB3 0ET, England.</t>
  </si>
  <si>
    <t>kehu@bas.ac.uk</t>
  </si>
  <si>
    <t>Hughes, Kevin/JVZ-0793-2024</t>
  </si>
  <si>
    <t>British Antarctic Survey; NERC [bas010011, bas0100035] Funding Source: UKRI</t>
  </si>
  <si>
    <t>British Antarctic Survey; NERC(UK Research &amp; Innovation (UKRI)Natural Environment Research Council (NERC))</t>
  </si>
  <si>
    <t>This work was supported by the British Antarctic Survey (core funding).</t>
  </si>
  <si>
    <t>DEC 5</t>
  </si>
  <si>
    <t>10.1080/17518369.2018.1521686</t>
  </si>
  <si>
    <t>HD6ZE</t>
  </si>
  <si>
    <t>gold, Green Accepted</t>
  </si>
  <si>
    <t>WOS:000452698600001</t>
  </si>
  <si>
    <t>Pillai, HUK; Anilkumar, N; Achuthankutty, CT; Mendes, CR; Sabu, P; Jayalakshmi, KV; Devi, CRA; Dessai, D; George, J; Pavithran, S; Devi, CKH; Tripathy, SC; Menon, NR</t>
  </si>
  <si>
    <t>Pillai, H. U. K.; Anilkumar, N.; Achuthankutty, C. T.; Mendes, C. R.; Sabu, P.; Jayalakshmi, K. V.; Asha Devi, C. R.; Dessai, Deepti; George, Jenson; Pavithran, Sini; Devi, C. K. Hari; Tripathy, S. C.; Menon, N. R.</t>
  </si>
  <si>
    <t>Planktonic food web structure at SSTF and PF in the Indian sector of the Southern Ocean during austral summer 2011</t>
  </si>
  <si>
    <t>Mesozooplankton; phytoplankton; microzooplankton; diel vertical migration; South Subtropical Front; Polar Front</t>
  </si>
  <si>
    <t>ZOOPLANKTON DISTRIBUTION PATTERNS; ATLANTIC SECTOR; PHOTOSYNTHETIC PIGMENTS; ADAPTIVE SIGNIFICANCE; COMMUNITY STRUCTURE; VERTICAL MIGRATION; PELAGIC ECOSYSTEMS; SUBTROPICAL FRONT; BIOGENIC SILICA; PACIFIC SECTOR</t>
  </si>
  <si>
    <t>This study aims to describe the planktonic food web structure with respect to phytoplankton biomass (chlorophyll a) and prevailing environmental conditions at the South Subtropical Front (SSTF) and the Polar Front (PF) in the Indian sector of the Southern Ocean. Sampling was carried out at each front for 72 hrs, at 6-hr intervals, during the austral summer 2011. Considerable variations were observed in the hydrography between these two fronts. A strong temperature minimum layer was observed at the PF. Although the surface primary production and chlorophyll a values showed similar trends at both the fronts, the water column values of these parameters showed major disparities. The phytoplankton composition also revealed marked difference between the fronts. A deep chlorophyll maximum concordant with the upper limit of the temperature minimum layer was prominent at the PF. The microzooplankton abundance at the SSTF was twice as high as at the PF. The mesozooplankton biovolume and population density also showed considerable variations between these fronts. Noticeable diel variations were observed in the surface mesozooplankton biovolumes at both the fronts and the copepod Pleuromamma gracilis showed active diel vertical migration at SSTF. Both the grazing and senescence indices showed significant variations between these fronts, suggesting a disparity in the ecological efficiency of the two regions. The variability observed in the plankton community structure with respect to the hydrography and the biological components measured suggests that a multivorous food web at the SSTF and a conventional food web at the PF prevailed during the period of study.</t>
  </si>
  <si>
    <t>[Pillai, H. U. K.; Anilkumar, N.; Achuthankutty, C. T.; Sabu, P.; Dessai, Deepti; George, Jenson; Pavithran, Sini; Tripathy, S. C.] Natl Ctr Antarctic &amp; Ocean Res, Vasco Da Gama, India; [Pillai, H. U. K.] Zool Survey India, Kolkata, India; [Mendes, C. R.] Fed Univ Rio Grande, Inst Oceanog, Rio Grande, Brazil; [Jayalakshmi, K. V.; Devi, C. K. Hari] Natl Inst Oceanog, Reg Ctr, Kochi, Kerala, India; [Asha Devi, C. R.] Ctr Marine Living Resources &amp; Ecol, Kochi, Kerala, India; [Menon, N. R.] Nansen Environm Res Ctr, Kochi, Kerala, India</t>
  </si>
  <si>
    <t>Ministry of Earth Sciences (MoES) - India; National Centre for Polar and Ocean Research (NCPOR); Zoological survey of India; Universidade Federal do Rio Grande; Council of Scientific &amp; Industrial Research (CSIR) - India; CSIR - National Institute of Oceanography (NIO); Ministry of Earth Sciences (MoES) - India; Centre for Marine Living Resources &amp; Ecology (CMLRE)</t>
  </si>
  <si>
    <t>Pillai, HUK (corresponding author), Zool Survey India, Minist Environm Forest &amp; Climate Change, M Block, Kolkata 700053, W Bengal, India.</t>
  </si>
  <si>
    <t>honeyukpillai@gmail.com</t>
  </si>
  <si>
    <t>Mendes, Carlos/AAD-6504-2021; George, Jenson/GXH-1342-2022; Mendes, Carlos/GVU-7596-2022; Mendes, Carlos/I-1520-2012</t>
  </si>
  <si>
    <t>Mendes, Carlos/0000-0001-6875-8860; Mendes, Carlos/0000-0001-6875-8860; Tripathy, Dr. Sarat Chandra/0000-0002-2437-8660; ashadevi, cr/0000-0002-0885-0590</t>
  </si>
  <si>
    <t>This work was supported by the Ministry of Earth Sciences, Government of India.</t>
  </si>
  <si>
    <t>10.1080/17518369.2018.1495545</t>
  </si>
  <si>
    <t>HD1YP</t>
  </si>
  <si>
    <t>WOS:000452308600001</t>
  </si>
  <si>
    <t>Le Quéré, C; Andrew, RM; Friedlingstein, P; Sitch, S; Hauck, J; Pongratz, J; Pickers, PA; Korsbakken, JI; Peters, GP; Canadell, JG; Arneth, A; Arora, VK; Barbero, L; Bastos, A; Bopp, L; Chevallier, F; Chini, LP; Ciais, P; Doney, SC; Gkritzalis, T; Goll, DS; Harris, I; Haverd, V; Hoffman, FM; Hoppema, M; Houghton, RA; Hurtt, G; Ilyina, T; Jain, AK; Johannessen, T; Jones, CD; Kato, E; Keeling, RF; Goldewijk, KK; Landschützer, P; Lefèvre, N; Lienert, S; Liu, Z; Lombardozzi, D; Metzl, N; Munro, DR; Nabel, JEMS; Nakaoka, S; Neill, C; Olsen, A; Ono, T; Patra, P; Peregon, A; Peters, W; Peylin, P; Pfeil, B; Pierrot, D; Poulter, B; Rehder, G; Resplandy, L; Robertson, E; Rocher, M; Rödenbeck, C; Schuster, U; Schwinger, J; Séférian, R; Skjelvan, I; Steinhoff, T; Sutton, A; Tans, PP; Tian, HQ; Tilbrook, B; Tubiello, FN; van der Laan-Luijkx, IT; van der Werf, GR; Viovy, N; Walker, AP; Wiltshire, AJ; Wright, R; Zaehle, S; Zheng, B</t>
  </si>
  <si>
    <t>Le Quere, Corinne; Andrew, Robbie M.; Friedlingstein, Pierre; Sitch, Stephen; Hauck, Judith; Pongratz, Julia; Pickers, Penelope A.; Korsbakken, Jan Ivar; Peters, Glen P.; Canadell, Josep G.; Arneth, Almut; Arora, Vivek K.; Barbero, Leticia; Bastos, Ana; Bopp, Laurent; Chevallier, Frederic; Chini, Louise P.; Ciais, Philippe; Doney, Scott C.; Gkritzalis, Thanos; Goll, Daniel S.; Harris, Ian; Haverd, Vanessa; Hoffman, Forrest M.; Hoppema, Mario; Houghton, Richard A.; Hurtt, George; Ilyina, Tatiana; Jain, Atul K.; Johannessen, Truls; Jones, Chris D.; Kato, Etsushi; Keeling, Ralph F.; Goldewijk, Kees Klein; Landschuetzer, Peter; Lefevre, Nathalie; Lienert, Sebastian; Liu, Zhu; Lombardozzi, Danica; Metzl, Nicolas; Munro, David R.; Nabel, Julia E. M. S.; Nakaoka, Shin-ichiro; Neill, Craig; Olsen, Are; Ono, Tsueno; Patra, Prabir; Peregon, Anna; Peters, Wouter; Peylin, Philippe; Pfeil, Benjamin; Pierrot, Denis; Poulter, Benjamin; Rehder, Gregor; Resplandy, Laure; Robertson, Eddy; Rocher, Matthias; Roedenbeck, Christian; Schuster, Ute; Schwinger, Jorg; Seferian, Roland; Skjelvan, Ingunn; Steinhoff, Tobias; Sutton, Adrienne; Tans, Pieter P.; Tian, Hanqin; Tilbrook, Bronte; Tubiello, Francesco N.; van der Laan-Luijkx, Ingrid T.; van der Werf, Guido R.; Viovy, Nicolas; Walker, Anthony P.; Wiltshire, Andrew J.; Wright, Rebecca; Zaehle, Soenke; Zheng, Bo</t>
  </si>
  <si>
    <t>Global Carbon Budget 2018</t>
  </si>
  <si>
    <t>EARTH SYSTEM SCIENCE DATA</t>
  </si>
  <si>
    <t>LAND-COVER CHANGE; ANTHROPOGENIC CO2 UPTAKE; LEAF-AREA INDEX; ATMOSPHERIC CO2; DIOXIDE EMISSIONS; DATA ASSIMILATION; FLUX VARIABILITY; FIRE EMISSIONS; OCEAN; MODEL</t>
  </si>
  <si>
    <t>Accurate assessment of anthropogenic carbon dioxide (CO2) emissions and their redistribution among the atmosphere, ocean, and terrestrial biosphere - the global carbon budget - is important to better understand the global carbon cycle, support the development of climate policies, and project future climate change. Here we describe data sets and methodology to quantify the five major components of the global carbon budget and their uncertainties. Fossil CO2 emissions (E-FF) are based on energy statistics and cement production data, while emissions from land use and land-use change (E-LUC), mainly deforestation, are based on land use and land -use change data and bookkeeping models. Atmospheric CO2 concentration is measured directly and its growth rate (G(ATM)) is computed from the annual changes in concentration. The ocean CO2 sink (S-OCEAN) and terrestrial CO2 sink (S-LAND) are estimated with global process models constrained by observations. The resulting carbon budget imbalance (B-IM), the difference between the estimated total emissions and the estimated changes in the atmosphere, ocean, and terrestrial biosphere, is a measure of imperfect data and understanding of the contemporary carbon cycle. All uncertainties are reported as +/- 1 sigma. For the last decade available (2008-2017), E-FF was 9.4 +/- 0.5 GtC yr(-1), E-LUC 1.5 +/- 0.7 GtC yr(-1), G(ATM) 4.7 +/- 0.02 GtC yr(-1), S-OCEAN 2.4 +/- 0.5 GtC yr(-1), and S-LAND 3.2 +/- 0.8 GtC yr(-1), with a budget imbalance B-IM of 0.5 GtC yr(-1) indicating overestimated emissions and/or underestimated sinks. For the year 2017 alone, the growth in E-FF was about 1.6 % and emissions increased to 9.9 +/- 0.5 GtC yr(-1). Also for 2017, E-LUC was 1.4 +/- 0.7 GtC yr(-1), G(ATM) was 4.6 +/- 0.2 GtC yr(-1), S-OCEAN was 2.5 +/- 0.5 GtC yr(-1), and S-LAND was 3.8 +/- 0.8 GtC yr(-1), with a B-IM of 0.3 GtC. The global atmospheric CO2 concentration reached 405.0 +/- 0.1 ppm averaged over 2017. For 2018, preliminary data for the first 6-9 months indicate a renewed growth in E-FF of +2.7 % (range of 1.8 % to 3.7 %) based on national emission projections for China, the US, the EU, and India and projections of gross domestic product corrected for recent changes in the carbon intensity of the economy for the rest of the world. The analysis presented here shows that the mean and trend in the five components of the global carbon budget are consistently estimated over the period of 1959-2017, but discrepancies of up to 1 GtC yr(-1) persist for the representation of semi-decadal variability in CO2 fluxes. A detailed comparison among individual estimates and the introduction of a broad range of observations show (1) no consensus in the mean and trend in land -use change emissions, (2) a persistent low agreement among the different methods on the magnitude of the land CO2 flux in the northern extra-tropics, and (3) an apparent underestimation of the CO2 variability by ocean models, originating outside the tropics. This living data update documents changes in the methods and data sets used in this new global carbon budget and the progress in understanding the global carbon cycle compared with previous publications of this data set (Le Quere et al., 2018, 2016, 2015a, b, 2014, 2013). All results presented here can be downloaded from https://doi.org/10.18160/GCP-2018.</t>
  </si>
  <si>
    <t>[Le Quere, Corinne; Liu, Zhu; Wright, Rebecca] Univ East Anglia, Tyndall Ctr Climate Change Res, Norwich Res Pk, Norwich NR4 7TJ, Norfolk, England; [Andrew, Robbie M.; Korsbakken, Jan Ivar; Peters, Glen P.] CICERO, Ctr Int Climate Res, N-0349 Oslo, Norway; [Friedlingstein, Pierre] Univ Exeter, Coll Engn Math &amp; Phys Sci, Exeter EX4 4QF, Devon, England; [Sitch, Stephen; Schuster, Ute] Univ Exeter, Coll Life &amp; Environm Sci, Exeter EX4 4RJ, Devon, England; [Hauck, Judith; Hoppema, Mario] Helmholtz Ctr Polar &amp; Marine Res, Alfred Wegener Inst, Postfach 120161, D-27515 Bremerhaven, Germany; [Pongratz, Julia; Bastos, Ana] Ludwig Maximilians Univ Munchen, Luisenstr 37, D-80333 Munich, Germany; [Pongratz, Julia; Ilyina, Tatiana; Landschuetzer, Peter; Nabel, Julia E. M. S.] Max Planck Inst Meteorol, Hamburg, Germany; [Pickers, Penelope A.; Wright, Rebecca] Univ East Anglia, Sch Environm Sci, Ctr Ocean &amp; Atmospher Sci, Norwich Res Pk, Norwich NR4 7TJ, Norfolk, England; [Canadell, Josep G.] CSIRO Oceans &amp; Atmosphere, Global Carbon Project, GPO Box 1700, Canberra, ACT 2601, Australia; [Arneth, Almut] Karlsruhe Inst Technol, Inst Meterol &amp; Climate Res Atmospher Environm Res, D-82467 Garmisch Partenkirchen, Germany; [Arora, Vivek K.] Environm &amp; Climate Change Canada, Climate Res Div, Canadian Ctr Climate Modelling &amp; Anal, Victoria, BC, Canada; [Barbero, Leticia; Pierrot, Denis] Univ Miami, Rosenstiel Sch Marine &amp; Atmospher Sci, Cooperat Inst Marine &amp; Atmospher Studies, 4600 Rickenbacker Causeway, Miami, FL 33149 USA; [Barbero, Leticia; Pierrot, Denis] NOAA, AOML, Miami, FL 33149 USA; [Bopp, Laurent] Ecole Normale Super, Inst Pierre Simon Laplace, Lab Meteorol Dynam, CNRS ENS UPMC X,Dept Geosci, 24 Rue Lhomond, F-75005 Paris, France; [Chevallier, Frederic; Ciais, Philippe; Goll, Daniel S.; Peregon, Anna; Peylin, Philippe; Viovy, Nicolas; Zheng, Bo] CE Orme Merisiers, CEA CNRS UVSQ, Inst Pierre Simon Laplace, Lab Sci Climat &amp; Environm, F-91191 Gif Sur Yvette, France; [Chini, Louise P.; Hurtt, George] Univ Maryland, Dept Geog Sci, College Pk, MD 20742 USA; [Doney, Scott C.] Univ Virginia, Charlottesville, VA 22904 USA; [Gkritzalis, Thanos] Flanders Marine Inst VLIZ, Wanelaarkaai 7, B-8400 Oostende, Belgium; [Harris, Ian] Univ East Anglia, Sch Environm Sci, Climat Res Unit, NCAS Climate, Norwich Res Pk, Norwich NR4 7TJ, Norfolk, England; [Haverd, Vanessa] CSIRO Oceans &amp; Atmosphere, GPO Box 1700, Canberra, ACT 2601, Australia; [Hoffman, Forrest M.] Oak Ridge Natl Lab, Computat Earth Sci Grp, Oak Ridge, TN USA; [Houghton, Richard A.] WHRC, Falmouth, MA 02540 USA; [Jain, Atul K.] Univ Illinois, Dept Atmospher Sci, Urbana, IL 61821 USA; [Johannessen, Truls; Olsen, Are; Pfeil, Benjamin] Univ Bergen, Geophys Inst, Allegaten 70, N-5007 Bergen, Norway; [Johannessen, Truls; Olsen, Are; Pfeil, Benjamin] Bjerknes Ctr Climate Res, Allegaten 70, N-5007 Bergen, Norway; [Jones, Chris D.; Robertson, Eddy; Wiltshire, Andrew J.] Met Off Hadley Ctr, FitzRoy Rd, Exeter EX1 3PB, Devon, England; [Kato, Etsushi] IAE, Minato Ku, Tokyo 1050003, Japan; [Keeling, Ralph F.] Univ Calif San Diego, Scripps Inst Oceanog, La Jolla, CA 92093 USA; [Goldewijk, Kees Klein] PBL Netherlands Environm Assessment Agcy, Bezuidenhoutseweg 30,POB 30314, NL-2500 GH The Hague, Netherlands; [Goldewijk, Kees Klein] Copernicus Inst Sustainable Dev, Dept IMEW, Fac Geosci, NL-3508 TC Utrecht, Netherlands; [Lefevre, Nathalie; Metzl, Nicolas] Univ Paris 06, UPMC, Sorbonne Univ, CNRS,IRD,MNHN,LOCEAN,IPSL Lab, F-75252 Paris, France; [Lienert, Sebastian] Univ Bern, Phys Inst, Climate &amp; Environm Phys, Bern, Switzerland; [Lienert, Sebastian] Univ Bern, Oeschger Ctr Climate Change Res, Bern, Switzerland; [Lombardozzi, Danica] Natl Ctr Atmospher Res, Climate &amp; Global Dynam, Terr Sci Sect, Boulder, CO 80305 USA; [Munro, David R.] Univ Colorado, Dept Atmospher &amp; Ocean Sci, Boulder, CO 80309 USA; [Munro, David R.] Univ Colorado, Inst Arctic &amp; Alpine Res, Boulder, CO 80309 USA; [Nakaoka, Shin-ichiro] NIES, Ctr Global Environm Res, 16-2 Onogawa, Tsukuba, Ibaraki 3058506, Japan; [Neill, Craig; Tilbrook, Bronte] CSIRO Oceans &amp; Atmosphere, Hobart, Tas 7001, Australia; [Neill, Craig; Tilbrook, Bronte] Univ Tasmania, Antarctic Climate &amp; Ecosystem Cooperat Res Ctr, Hobart, Tas, Australia; [Pfeil, Benjamin; Schwinger, Jorg; Skjelvan, Ingunn] NORCE Norwegian Res Ctr, N-5007 Bergen, Norway; [Pfeil, Benjamin; Schwinger, Jorg; Skjelvan, Ingunn] Bjerknes Ctr Climate Res, N-5007 Bergen, Norway; [Ono, Tsueno] Japan Fisheries Res &amp; Educ Agcy, Natl Res Inst Far Sea Fisheries, Kanazawa Ku, 2-12-4 Fukuura, Yokohama, Kanagawa 2368648, Japan; [Patra, Prabir] JAMSTEC, Dept Environm Geochem Cycle Res, Yokohama, Kanagawa, Japan; [Peters, Wouter; van der Laan-Luijkx, Ingrid T.] Wageningen Univ &amp; Res, Dept Meteorol &amp; Air Qual, POB 47, NL-6700 AA Wageningen, Netherlands; [Peters, Wouter] Univ Groningen, Ctr Isotope Res, Nijenborgh 6, NL-9747 AG Groningen, Netherlands; [Poulter, Benjamin] NASA, Goddard Space Flight Ctr, Biospher Sci Branch, Greenbelt, MD 20771 USA; [Rehder, Gregor] Leibniz Inst Balt Sea Res Warnemunde, D-18119 Rostock, Germany; [Resplandy, Laure; Steinhoff, Tobias] Princeton Univ, Dept Geosci &amp; Princeton Environm, Inst Princeton, Princeton, NJ 08544 USA; [Rocher, Matthias; Seferian, Roland] CNRS, Ctr Natl Rech Meteorol, UMR Meteofrance, 42 Ave Gaspard Coriolis, F-31100 Toulouse, France; [Roedenbeck, Christian; Zaehle, Soenke] Max Planck Inst Biogeochem, POB 600164, D-07745 Jena, Germany; GEOMAR Helmholtz Ctr Ocean Res Kiel, Dusternbrooker Weg 20, Kiel, Germany; [Sutton, Adrienne] NOAA, Pacific Marine Environm Lab, 7600 Sand Point Way NE, Seattle, WA 98115 USA; [Tans, Pieter P.] NOAA, ESRL, Boulder, CO 80305 USA; [Tian, Hanqin] Auburn Univ, Sch Forestry &amp; Wildlife Sci, 602 Ducan Dr, Auburn, AL 36849 USA; [Tubiello, Francesco N.] Food &amp; Agr Org United Nations, Stat Div, Via Terme Caracalla, I-00153 Rome, Italy; [van der Werf, Guido R.] Vrije Univ, Fac Sci, Amsterdam, Netherlands; [Walker, Anthony P.] Oak Ridge Natl Lab, Environm Sci Div, Oak Ridge, TN USA; [Walker, Anthony P.] Oak Ridge Natl Lab, Climate Change Sci Inst, Oak Ridge, TN USA; [Liu, Zhu] Tsinghua Univ, Dept Earth Syst Sci, Beijing 100084, Peoples R China</t>
  </si>
  <si>
    <t>University of East Anglia; University of Exeter; University of Exeter; Helmholtz Association; Alfred Wegener Institute, Helmholtz Centre for Polar &amp; Marine Research; University of Munich; Max Planck Society; University of East Anglia; Commonwealth Scientific &amp; Industrial Research Organisation (CSIRO); Helmholtz Association; Karlsruhe Institute of Technology; Environment &amp; Climate Change Canada; Canadian Centre for Climate Modelling &amp; Analysis (CCCma); University of Miami; National Oceanic Atmospheric Admin (NOAA) - USA; Atlantic Oceanographic &amp; Meteorological Laboratory (AOML); Universite Paris Saclay; Centre National de la Recherche Scientifique (CNRS); CNRS - National Institute for Earth Sciences &amp; Astronomy (INSU); Sorbonne Universite; Universite PSL; Ecole Normale Superieure (ENS); Universite Paris Cite; Universite Paris Saclay; Universite Paris Cite; CEA; Centre National de la Recherche Scientifique (CNRS); University System of Maryland; University of Maryland College Park; University of Virginia; University of East Anglia; Commonwealth Scientific &amp; Industrial Research Organisation (CSIRO); United States Department of Energy (DOE); Oak Ridge National Laboratory; University of Illinois System; University of Illinois Urbana-Champaign; University of Bergen; Bjerknes Centre for Climate Research; Met Office - UK; Hadley Centre; University of California System; University of California San Diego; Scripps Institution of Oceanography; Sorbonne Universite; Centre National de la Recherche Scientifique (CNRS); Institut de Recherche pour le Developpement (IRD); Museum National d'Histoire Naturelle (MNHN); University of Bern; University of Bern; National Center Atmospheric Research (NCAR) - USA; University of Colorado System; University of Colorado Boulder; University of Colorado System; University of Colorado Boulder; National Institute for Environmental Studies - Japan; Commonwealth Scientific &amp; Industrial Research Organisation (CSIRO); University of Tasmania; Norwegian Research Centre (NORCE); Bjerknes Centre for Climate Research; Japan Fisheries Research &amp; Education Agency (FRA); Japan Agency for Marine-Earth Science &amp; Technology (JAMSTEC); Wageningen University &amp; Research; University of Groningen; National Aeronautics &amp; Space Administration (NASA); NASA Goddard Space Flight Center; Leibniz Institut fur Ostseeforschung Warnemunde; Princeton University; Centre National de la Recherche Scientifique (CNRS); Max Planck Society; Helmholtz Association; GEOMAR Helmholtz Center for Ocean Research Kiel; National Oceanic Atmospheric Admin (NOAA) - USA; National Oceanic Atmospheric Admin (NOAA) - USA; Auburn University System; Auburn University; Food &amp; Agriculture Organization of the United Nations (FAO); Vrije Universiteit Amsterdam; United States Department of Energy (DOE); Oak Ridge National Laboratory; United States Department of Energy (DOE); Oak Ridge National Laboratory; Tsinghua University</t>
  </si>
  <si>
    <t>Le Quéré, C (corresponding author), Univ East Anglia, Tyndall Ctr Climate Change Res, Norwich Res Pk, Norwich NR4 7TJ, Norfolk, England.</t>
  </si>
  <si>
    <t>c.lequere@uea.ac.uk</t>
  </si>
  <si>
    <t>Canadell, Pep/E-9419-2010; Doney, Scott/F-9247-2010; Ilyina, Tatiana/ABE-9164-2020; Luijkx, Ingrid/G-9169-2011; Walker, Anthony P/G-2931-2016; Peters, Glen P/B-1012-2008; Le Quéré, Corinne/C-2631-2017; van der Werf, Guido/JXY-9197-2024; van der Laan-Luijkx, Ingrid/P-4925-2019; Patra, Prabir/B-5206-2009; Andrew, Robbie/B-4204-2008; Harris, Ian C/O-7772-2014; Hauck, Judith/AAC-3967-2019; Wiltshire, Andy/C-2848-2008; Munro, David/ABA-2074-2020; Tans, Pieter/AAG-8273-2019; Pongratz, Julia/AAG-3274-2019; haverd, vanessa/G-8683-2011; Tilbrook, Bronte/W-4007-2019; Pierrot, Denis/AAH-7687-2020; LIU, zhu/IYS-9390-2023; Shin-ichiro, Nakaoka/I-7222-2018; Poulter, Ben/ABB-5886-2021; Landschützer, Peter/IQU-3835-2023; bopp, laurent/ABF-5302-2020; Bastos, Ana/G-2927-2013; Ciais, Philippe/A-6840-2011; Kato, Etsushi/Q-2623-2018; Jain, Atul/D-2851-2016; Schwinger, Jörg/AAN-6573-2021; Hoppema, Mario/I-6286-2013; Zaehle, Sönke/C-9528-2017; Viovy, Nicolas/S-2631-2018; Jones, Chris/I-2983-2014; Arneth, Almut/B-2702-2013; Chevallier, Frederic/E-9608-2016; Barbero, Leticia/B-5237-2011; Peters, Wouter/B-8305-2008; Hurtt, George/A-8450-2012; Liu, Zhu/A-4634-2013; Hoffman, Forrest M./B-8667-2012; Sutton, Adrienne/C-7725-2015; Friedlingstein, Pierre/H-2700-2014; Zheng, Bo/X-1616-2018; Séférian, Roland/ABD-5465-2021; Tian, Hanqin/A-6484-2012; Klein Goldewijk, Kees/L-5567-2013; Olsen, Are/A-1511-2011; van der Werf, Guido/M-8260-2016; Goll, Daniel/K-6620-2017; Sitch, Stephen/F-8034-2015; Pickers, Penelope/E-7314-2018</t>
  </si>
  <si>
    <t>Canadell, Pep/0000-0002-8788-3218; Doney, Scott/0000-0002-3683-2437; Ilyina, Tatiana/0000-0002-3475-4842; Walker, Anthony P/0000-0003-0557-5594; Peters, Glen P/0000-0001-7889-8568; Le Quéré, Corinne/0000-0003-2319-0452; van der Laan-Luijkx, Ingrid/0000-0002-3990-6737; Patra, Prabir/0000-0001-5700-9389; Andrew, Robbie/0000-0001-8590-6431; Hauck, Judith/0000-0003-4723-9652; Tans, Pieter/0000-0002-9883-0787; Tilbrook, Bronte/0000-0001-9385-3827; Shin-ichiro, Nakaoka/0000-0002-3870-1721; Poulter, Ben/0000-0002-9493-8600; Landschützer, Peter/0000-0002-7398-3293; bopp, laurent/0000-0003-4732-4953; Bastos, Ana/0000-0002-7368-7806; Ciais, Philippe/0000-0001-8560-4943; Kato, Etsushi/0000-0001-8814-804X; Jain, Atul/0000-0002-4051-3228; Schwinger, Jörg/0000-0002-7525-6882; Zaehle, Sönke/0000-0001-5602-7956; Viovy, Nicolas/0000-0002-9197-6417; Jones, Chris/0000-0002-7141-9285; Arneth, Almut/0000-0001-6616-0822; Chevallier, Frederic/0000-0002-4327-3813; Peters, Wouter/0000-0001-8166-2070; Hurtt, George/0000-0001-7278-202X; Liu, Zhu/0000-0002-8968-7050; Hoffman, Forrest M./0000-0001-5802-4134; Sutton, Adrienne/0000-0002-7414-7035; Friedlingstein, Pierre/0000-0003-3309-4739; Zheng, Bo/0000-0001-8344-3445; Séférian, Roland/0000-0002-2571-2114; Resplandy, Laure/0000-0002-1212-3943; Harris, Ian/0000-0003-2037-9284; Skjelvan, Ingunn/0000-0001-6761-5016; Tian, Hanqin/0000-0002-1806-4091; Tubiello, Francesco Nicola/0000-0003-4617-4690; Lombardozzi, Danica/0000-0003-3557-7929; Klein Goldewijk, Kees/0000-0003-2714-7507; Olsen, Are/0000-0003-1696-9142; Pongratz, Julia/0000-0003-0372-3960; van der Werf, Guido/0000-0001-9042-8630; metzl, nicolas/0000-0002-1165-1074; Wright, Rebecca Mary/0000-0003-2333-6247; Goll, Daniel/0000-0001-9246-9671; Sitch, Stephen/0000-0003-1821-8561; Korsbakken, Jan Ivar/0000-0002-2939-9778; Pickers, Penelope/0000-0002-1923-5163</t>
  </si>
  <si>
    <t>NERC [NE/P021417/1] Funding Source: UKRI</t>
  </si>
  <si>
    <t>1866-3508</t>
  </si>
  <si>
    <t>1866-3516</t>
  </si>
  <si>
    <t>EARTH SYST SCI DATA</t>
  </si>
  <si>
    <t>Earth Syst. Sci. Data</t>
  </si>
  <si>
    <t>10.5194/essd-10-2141-2018</t>
  </si>
  <si>
    <t>HD0XW</t>
  </si>
  <si>
    <t>Green Accepted, Green Submitted, gold, Green Published</t>
  </si>
  <si>
    <t>WOS:000452233700001</t>
  </si>
  <si>
    <t>Kosugi, M; Maruo, F; Inoue, T; Kurosawa, N; Kawamata, A; Koike, H; Kamei, Y; Kudoh, S; Imura, S</t>
  </si>
  <si>
    <t>Kosugi, Makiko; Maruo, Fumino; Inoue, Takeshi; Kurosawa, Norio; Kawamata, Akinori; Koike, Hiroyuki; Kamei, Yasuhiro; Kudoh, Sakae; Imura, Satoshi</t>
  </si>
  <si>
    <t>A comparative study of wavelength-dependent photoinactivation in photosystem II of drought-tolerant photosynthetic organisms in Antarctica and the potential risks of photoinhibition in the habitat</t>
  </si>
  <si>
    <t>ANNALS OF BOTANY</t>
  </si>
  <si>
    <t>Antarctica; drought tolerance; bryophyte; lichens; microclimate; photoinhibition; photosynthesis; photosystem II; Prasiola; UV damage</t>
  </si>
  <si>
    <t>OXYGEN-EVOLVING COMPLEX; ULTRAVIOLET-B RADIATION; CUCUMIS-SATIVUS L; REPAIR CYCLE; PROTEIN-SYNTHESIS; ACTION SPECTRUM; SINGLET OXYGEN; D1 PROTEIN; CHLOROPHYLL FLUORESCENCE; STROMAL COMPONENTS</t>
  </si>
  <si>
    <t>Background and Aims All photosynthetic organisms are faced with photoinhibition, which would lead to death in severe environments. Because light quality and light intensity fluctuate dynamically in natural microenvironments, quantitative and qualitative analysis of photoinhibition is important to clarify how this environmental pressure has impacted ecological behaviour in different organisms. Methods We evaluated the wavelength dependency of photoinactivation to photosystem II (PSII) of Prasiola crispa (green alga), Umbilicaria decussata (lichen) and Ceratodon purpureus (bryophyte) harvested from East Antarctica. For evaluation, we calculated reaction coefficients, E(pi)s, of PSII photoinactivation against energy dose using a large spectrograph. Daily fluctuation of the rate coefficient of photoinactivation, k(pi), was estimated from E(pi)s and ambient light spectra measured during the summer season. Key Results Wavelength dependency of PSII photoinactivation was different for the three species, although they form colonies in close proximity to each other in Antarctica. The lichen exhibited substantial resistance to photoinactivation at all wavelengths, while the bryophyte showed sensitivity only to UV-B light (&lt;325 nm). On the other hand, the green alga, P. crispa, showed ten times higher E pi to UV-B light than the bryophyte. It was much more sensitive to UV-A (325-400 nm). The risk of photoinhibition fluctuated considerably throughout the day. On the other hand, E(pi)s were reduced dramatically for dehydrated compared with hydrated P. crispa. Conclusions The deduced rate coefficients of photoinactivation under ambient sunlight suggested that P. crispa needs to pay a greater cost to recover from photodamage than the lichen or the bryophyte in order to keep sufficient photosynthetic activity under the Antarctic habitat. A newly identified drought-induced protection mechanism appears to operate in P. crispa, and it plays a critical role in preventing the oxygen-evolving complex from photoinactivation when the repair cycle is inhibited by dehydration.</t>
  </si>
  <si>
    <t>[Kosugi, Makiko; Kudoh, Sakae; Imura, Satoshi] Natl Inst Polar Res, Res Org Informat &amp; Syst, 10-3 Midori Cho, Tachikawa, Tokyo 1908518, Japan; [Kosugi, Makiko; Koike, Hiroyuki] Chuo Univ, Fac Sci &amp; Engn, Dept Biol Sci, Bunkyo Ku, 1-13-27 Kasuga, Tokyo 1128551, Japan; [Maruo, Fumino; Inoue, Takeshi; Kudoh, Sakae; Imura, Satoshi] SOKENDAI Grad Univ Adv Studies, Sch Multidisciplinary Sci, Dept Polar Sci, 10-3 Midori Cho, Tachikawa, Tokyo 1908518, Japan; [Kurosawa, Norio] Soka Univ, Fac Sci &amp; Engn, Dept Sci &amp; Engn Sustainable Innovat, 1-236 Tangi Machi, Hachioji, Tokyo 1928577, Japan; [Kawamata, Akinori] Ehime Prefectural Sci Museum, Nat Res Grp, 2133-2 Ojoin Niihama, Niihama, Ehime 7920060, Japan; [Kamei, Yasuhiro] SOKENDAI Grad Univ Adv Studies, Sch Life Sci, Dept Basic Biol, Nishigonaka 38, Okazaki, Aichi 4448585, Japan; [Kamei, Yasuhiro] Natl Inst Nat Sci, Natl Inst Basic Biol, 38 Nishigonaka, Okazaki, Aichi 4448585, Japan</t>
  </si>
  <si>
    <t>Research Organization of Information &amp; Systems (ROIS); National Institute of Polar Research (NIPR) - Japan; Chuo University; Graduate University for Advanced Studies - Japan; Soka University; Graduate University for Advanced Studies - Japan; National Institutes of Natural Sciences (NINS) - Japan; National Institute for Basic Biology (NIBB)</t>
  </si>
  <si>
    <t>Kosugi, M (corresponding author), Natl Inst Polar Res, Res Org Informat &amp; Syst, 10-3 Midori Cho, Tachikawa, Tokyo 1908518, Japan.;Kosugi, M (corresponding author), Chuo Univ, Fac Sci &amp; Engn, Dept Biol Sci, Bunkyo Ku, 1-13-27 Kasuga, Tokyo 1128551, Japan.</t>
  </si>
  <si>
    <t>kosugi@bio.chuo-u.ac.jp</t>
  </si>
  <si>
    <t>Kamei, Yasuhiro/AAD-9281-2019</t>
  </si>
  <si>
    <t>Kamei, Yasuhiro/0000-0001-6382-1365; Kurosawa, Norio/0000-0001-5095-2104; Kosugi, Makiko/0000-0002-7415-1536</t>
  </si>
  <si>
    <t>Japan Society for the Promotion of Science [24770030]; Sumitomo Foundation [151376]; NIPR Project Research [KP-8]; NIBB Collaborative Research Program for the Okazaki Large Spectrograph [13-504, 14-503]; NIPR; Grants-in-Aid for Scientific Research [20K20303, 24770030] Funding Source: KAKEN</t>
  </si>
  <si>
    <t>Japan Society for the Promotion of Science(Ministry of Education, Culture, Sports, Science and Technology, Japan (MEXT)Japan Society for the Promotion of Science); Sumitomo Foundation; NIPR Project Research; NIBB Collaborative Research Program for the Okazaki Large Spectrograph; NIPR(National Institute of Polar Research (NIPR) - Japan); Grants-in-Aid for Scientific Research(Ministry of Education, Culture, Sports, Science and Technology, Japan (MEXT)Japan Society for the Promotion of ScienceGrants-in-Aid for Scientific Research (KAKENHI))</t>
  </si>
  <si>
    <t>We thank all members of the Japan Antarctic Research Expedition (JARE) 54 and JARE 55 for their support, the captain and crew of the icebreaker Shirase, and Mr. Shoichi Higashi and Mr Tamaki Uchikawa for use of the large spectrograph. This study was supported by the Japan Society for the Promotion of Science (24770030), the Sumitomo Foundation (151376), NIPR Project Research (KP-8) and the NIBB Collaborative Research Program for the Okazaki Large Spectrograph (13-504, 14-503 to M.K.). The production of this paper was supported by an NIPR publication subsidy.</t>
  </si>
  <si>
    <t>0305-7364</t>
  </si>
  <si>
    <t>1095-8290</t>
  </si>
  <si>
    <t>ANN BOT-LONDON</t>
  </si>
  <si>
    <t>Ann. Bot.</t>
  </si>
  <si>
    <t>DEC 4</t>
  </si>
  <si>
    <t>10.1093/aob/mcy139</t>
  </si>
  <si>
    <t>HK0FZ</t>
  </si>
  <si>
    <t>WOS:000457575500016</t>
  </si>
  <si>
    <t>Bell, PR; Herne, MC; Brougham, T; Smith, ET</t>
  </si>
  <si>
    <t>Bell, Phil R.; Herne, Matthew C.; Brougham, Tom; Smith, Elizabeth T.</t>
  </si>
  <si>
    <t>Ornithopod diversity in the Griman Creek Formation (Cenomanian), New South Wales, Australia</t>
  </si>
  <si>
    <t>PEERJ</t>
  </si>
  <si>
    <t>Cretaceous; Dinosauria; Ornithischia; Ornithopoda; Griman creek formation; Australia</t>
  </si>
  <si>
    <t>BRAINCASE ANATOMY; WINTON FORMATION; LIGHTNING RIDGE; DINOSAUR; ORNITHISCHIA; IGUANODONTIA; PHYLOGENY; TAXA</t>
  </si>
  <si>
    <t>During the Early Cretaceous, dinosaur communities of the Australian-Antarctic rift system (Eumeralla and Wonthaggi formations) cropping out in Victoria were apparently dominated by a diverse small-bodied 'basal ornithopod' fauna. Further north, in Queensland (Winton and Mackunda formations), poorly-represented small-bodied ornithopods coexisted with large-bodied iguanodontians. Our understanding of the ornithopod diversity from the region between the Australian-Antarctic rift and Queensland, represented by Lightning Ridge in central-northern New South Wales (Griman Creek Formation), has been superficial. Here, we re-investigate the ornithopod diversity at Lightning Ridge based on new craniodental remains. Our findings indicate a diverse ornithopod fauna consisting of two-to-three small-bodied non-iguanodontian ornithopods (including Weewarrasaurus pobeni gen. et sp. nov.), at least one indeterminate iguanodontian, and a possible ankylopollexian. These results support those of previous studies that favour a general abundance of small-bodied basal ornithopods in Early to mid-Cretaceous high-latitude localities of southeastern Australia. Although these localities are not necessarily time-equivalent, increasing evidence indicates that Lightning Ridge formed a 'meeting point' between the basal ornithopod-dominated localities in Victoria and the sauropod-iguanodontian faunas in Queensland to the north.</t>
  </si>
  <si>
    <t>[Bell, Phil R.; Brougham, Tom] Univ New England, Sch Environm &amp; Rural Sci, Armidale, NSW, Australia; [Herne, Matthew C.] Univ Queensland, Sch Biol Sci, Brisbane, Qld, Australia; [Smith, Elizabeth T.] Australian Opal Ctr, Lightning Ridge, NSW, Australia</t>
  </si>
  <si>
    <t>University of New England; University of Queensland</t>
  </si>
  <si>
    <t>Bell, PR (corresponding author), Univ New England, Sch Environm &amp; Rural Sci, Armidale, NSW, Australia.</t>
  </si>
  <si>
    <t>pbell23@une.edu.au</t>
  </si>
  <si>
    <t>Birch, Sienna/0000-0002-2771-536X</t>
  </si>
  <si>
    <t>Australian Research Council [DE170101325]; University of New England SEED grant; Australian Research Council [DE170101325] Funding Source: Australian Research Council</t>
  </si>
  <si>
    <t>Australian Research Council(Australian Research Council); University of New England SEED grant; Australian Research Council(Australian Research Council)</t>
  </si>
  <si>
    <t>This research was funded by an Australian Research Council Discovery Early Career Researcher Award (project ID: DE170101325) and a University of New England SEED grant (no number) to Phil R. Bell. The funders had no role in study design, data collection and analysis, decision to publish, or preparation of the manuscript.</t>
  </si>
  <si>
    <t>PEERJ INC</t>
  </si>
  <si>
    <t>341-345 OLD ST, THIRD FLR, LONDON, EC1V 9LL, ENGLAND</t>
  </si>
  <si>
    <t>2167-8359</t>
  </si>
  <si>
    <t>PeerJ</t>
  </si>
  <si>
    <t>e6008</t>
  </si>
  <si>
    <t>10.7717/peerj.6008</t>
  </si>
  <si>
    <t>HD3XS</t>
  </si>
  <si>
    <t>WOS:000452459800004</t>
  </si>
  <si>
    <t>Kavan, J; Dagsson-Waldhauserova, P; Renard, JB; Láska, K; Ambrozová, K</t>
  </si>
  <si>
    <t>Kavan, Jan; Dagsson-Waldhauserova, Pavla; Renard, Jean Baptiste; Laska, Kamil; Ambrozova, Klara</t>
  </si>
  <si>
    <t>Aerosol Concentrations in Relationship to Local Atmospheric Conditions on James Ross Island, Antarctica</t>
  </si>
  <si>
    <t>FRONTIERS IN EARTH SCIENCE</t>
  </si>
  <si>
    <t>aerosol; surface wind; Antarctica; high latitude dust sources; atmospheric conditions; Antarctic Peninsula</t>
  </si>
  <si>
    <t>MCMURDO DRY VALLEYS; TRACE-ELEMENTS; OPTICAL COUNTER/SIZER; BALLOON MEASUREMENTS; SIZE DISTRIBUTION; EOLIAN SEDIMENT; VICTORIA LAND; DOME-C; DUST; VARIABILITY</t>
  </si>
  <si>
    <t>Several important ice-free areas (e.g., Seymour Island, Cape Lamb on Vega Island, Terrapin Hill) are located in the Eastern Antarctic Peninsula region. The largest of these ice-free areas can be found on the Ulu Peninsula, James Ross Island, where this study was undertaken. The Ulu Peninsula covers an area of 312 km(2), and has been found to be an important active High Latitude Dust source. In this study, aerosol concentrations and local wind properties are described together with their linkages and typical synoptic situations. The highest aerosol concentrations of 57 mu g m(-3) for PM10 were detected during high wind speed events that exceeded 10 m s(-1), which is also a threshold level for activating local mineral material sources. Surface deposition of dust particles can have significant environmental impacts such as changes in properties of atmosphere or enhanced snow melting.</t>
  </si>
  <si>
    <t>[Kavan, Jan; Laska, Kamil; Ambrozova, Klara] Masaryk Univ, Fac Sci, Dept Geog, Brno, Czech Republic; [Dagsson-Waldhauserova, Pavla] Agr Univ Iceland, Fac Agr &amp; Environm Sci, Reykjavik, Iceland; [Dagsson-Waldhauserova, Pavla] Czech Univ Life Sci Prague, Fac Environm Sci, Prague, Czech Republic; [Renard, Jean Baptiste] CNRS, Lab Phys &amp; Chim Environm &amp; Espace, Orleans, France</t>
  </si>
  <si>
    <t>Masaryk University Brno; Czech University of Life Sciences Prague; Centre National de la Recherche Scientifique (CNRS)</t>
  </si>
  <si>
    <t>Kavan, J (corresponding author), Masaryk Univ, Fac Sci, Dept Geog, Brno, Czech Republic.</t>
  </si>
  <si>
    <t>jan.kavan.cb@gmail.com</t>
  </si>
  <si>
    <t>Kavan, Jan/ACU-4986-2022; Dagsson-Waldhauserova, Pavla/ABE-2214-2021; Dagsson-Waldhauserova, Pavla/ABH-9842-2020; Laska, Kamil/L-7875-2013</t>
  </si>
  <si>
    <t>Dagsson-Waldhauserova, Pavla/0000-0001-6368-2369; Dagsson-Waldhauserova, Pavla/0000-0001-6368-2369; Laska, Kamil/0000-0002-5199-9737; Kavan, Jan/0000-0003-4524-3009</t>
  </si>
  <si>
    <t>Icelandic Research Fund (Rannis) [152248-051]; Czech Science Foundation [GC16-14122J, LM2015078, CZ.02.1.01/0.0/0.0/16_013/0001708]; Masaryk University [MUNI/A/1251/2017]; French Labex VOLTAIRE</t>
  </si>
  <si>
    <t>Icelandic Research Fund (Rannis); Czech Science Foundation(Grant Agency of the Czech Republic); Masaryk University; French Labex VOLTAIRE</t>
  </si>
  <si>
    <t>This work was in part funded by the Icelandic Research Fund (Rannis) Grant No. 152248-051; by the Czech Science Foundation project GC16-14122J and projects no. LM2015078, CZ.02.1.01/0.0/0.0/16_013/0001708; and the Masaryk University project MUNI/A/1251/2017. The LOAC instruments were funded by the French Labex VOLTAIRE. Field work was carried out with help of staff of the Johann Gregor Mendel Station.</t>
  </si>
  <si>
    <t>2296-6463</t>
  </si>
  <si>
    <t>FRONT EARTH SC-SWITZ</t>
  </si>
  <si>
    <t>Front. Earth Sci.</t>
  </si>
  <si>
    <t>DEC 3</t>
  </si>
  <si>
    <t>10.3389/feart.2018.00207</t>
  </si>
  <si>
    <t>HF3OJ</t>
  </si>
  <si>
    <t>WOS:000454144100001</t>
  </si>
  <si>
    <t>Pacheco, BS; dos Santos, MAZ; Schultze, E; Martins, RM; Lund, RG; Seixas, FK; Colepicolo, P; Collares, T; Paula, FR; De Pereira, CMP</t>
  </si>
  <si>
    <t>Pacheco, Bruna Silveira; Ziemann dos Santos, Marco Aurelio; Schultze, Eduarda; Martins, Rosiane Mastelari; Lund, Rafael Guerra; Seixas, Fabiana Kommling; Colepicolo, Pio; Collares, Tiago; Paula, Favero Reisdorfer; Pereira De Pereira, Claudio Martin</t>
  </si>
  <si>
    <t>Cytotoxic Activity of Fatty Acids From Antarctic Macroalgae on the Growth of Human Breast Cancer Cells</t>
  </si>
  <si>
    <t>FRONTIERS IN BIOENGINEERING AND BIOTECHNOLOGY</t>
  </si>
  <si>
    <t>COLORECTAL-CANCER; GENE-EXPRESSION; OMEGA-3-FATTY-ACIDS; OMEGA-3; RED; PREVENTION; TUMOR; FISH; ULTRASOUND; EXTRACTION</t>
  </si>
  <si>
    <t>Macroalgae are a natural source of clinically relevant molecules such as polyunsaturated and monounsaturated fatty acids. The Antarctic environment, due to its cold climate, leads to high production of these bioactive molecules. Adenocystis utricularis, Curdiea racovitzae, and Georgiella confluens from three distinct islands in the Antarctic Peninsula were collected and analyzed for their fatty acid content by gas chromatography flame ionization detection. Results revealed that the algal extracts consisted of 22 fatty acids, of which 9 were saturated, 4 were monounsaturated, and 9 were polyunsaturated (PUFA). In addition, fucosterol was identified within the lipidic extracts. The cytotoxic activity of these fatty acids was evaluated in human breast cancer cell lines MCF-7 and MDA-MB-231. The most notable result was the effect of PUFA on the growth inhibition of cancer cells ranging from 61.04 to 69.78% in comparison to control cells. Significant cytotoxic activity of fatty acids from A. utricularis was observed at 48 h, resulting in an inhibition of growth of more than 50% for breast cancer cells at a concentration of 100 mu g/mL. A cell viability assay showed that the fatty acids from A. utricularis significantly reduced cell viability (68.7% in MCF-7 and 89% in MDA-MB-231 after 72 h of exposure). At the same time, DAPI staining demonstrated chromatin condensation, and apoptotic bodies formed in cells that were cultured with fatty acids from A. utricularis. These data indicate that fatty acids from Antarctic macroalgae have the potential to reduce the proliferation of and induce apoptosis in breast cancer cells.</t>
  </si>
  <si>
    <t>[Pacheco, Bruna Silveira; Ziemann dos Santos, Marco Aurelio; Martins, Rosiane Mastelari; Lund, Rafael Guerra; Collares, Tiago; Pereira De Pereira, Claudio Martin] Univ Fed Pelotas, Postgrad Program Biochem &amp; Bioprospect, Lipid &amp; Bioorgan Lab, Bioforens Res Grp, Pelotas, Brazil; [Pacheco, Bruna Silveira; Schultze, Eduarda; Seixas, Fabiana Kommling; Collares, Tiago; Pereira De Pereira, Claudio Martin] Univ Fed Pelotas, Res Grp Cellular &amp; Mol Oncol, Postgrad Program Biotechnol, Pelotas, Brazil; [Colepicolo, Pio] Univ Sao Paulo, Chem Inst, Sao Paulo, Brazil; [Paula, Favero Reisdorfer] Fed Univ Pampa, Pharmaceut Sci Postgrad Program, Lab Res &amp; Drugs Dev, Bage, Brazil</t>
  </si>
  <si>
    <t>Universidade Federal de Pelotas; Universidade Federal de Pelotas; Universidade de Sao Paulo; Universidade Federal do Pampa</t>
  </si>
  <si>
    <t>De Pereira, CMP (corresponding author), Univ Fed Pelotas, Postgrad Program Biochem &amp; Bioprospect, Lipid &amp; Bioorgan Lab, Bioforens Res Grp, Pelotas, Brazil.;De Pereira, CMP (corresponding author), Univ Fed Pelotas, Res Grp Cellular &amp; Mol Oncol, Postgrad Program Biotechnol, Pelotas, Brazil.</t>
  </si>
  <si>
    <t>claudiochemistry@gmail.com</t>
  </si>
  <si>
    <t>Lund, Rafael Guerra/B-5364-2017; Fapesp, Biota/F-8655-2017; Collares, Tiago/S-2117-2016; Paula, Favero/I-6163-2017</t>
  </si>
  <si>
    <t>Fapesp, Biota/0000-0002-9887-8449; Collares, Tiago/0000-0002-1535-3795; Paula, Favero/0000-0002-6221-8318</t>
  </si>
  <si>
    <t>Brazilian Antarctic Program [CNPq/MCTI/PROANTAR 407588/2013-2]; FAPERGS; FAPESP [2010/50193-1]; Capes (General Program of International) [99999.002378/2015-9]; Coordenacao de Aperfeicoamento de Pessoal de Nivel Superior-Brasil (CAPES) [001]; Fundacao de Amparo a Pesquisa do Estado de Sao Paulo (FAPESP) [10/50193-1] Funding Source: FAPESP</t>
  </si>
  <si>
    <t>Brazilian Antarctic Program; FAPERGS(Fundacao de Amparo a Ciencia e Tecnologia do Estado do Rio Grande do Sul (FAPERGS)); FAPESP(Fundacao de Amparo a Pesquisa do Estado de Sao Paulo (FAPESP)); Capes (General Program of International); Coordenacao de Aperfeicoamento de Pessoal de Nivel Superior-Brasil (CAPES)(Coordenacao de Aperfeicoamento de Pessoal de Nivel Superior (CAPES)); Fundacao de Amparo a Pesquisa do Estado de Sao Paulo (FAPESP)(Fundacao de Amparo a Pesquisa do Estado de Sao Paulo (FAPESP))</t>
  </si>
  <si>
    <t>This study had financial and logistic support from the Brazilian Antarctic Program (CNPq/MCTI/PROANTAR 407588/2013-2). The authors are grateful for the financial and fellowship support from the Brazilian research funding agencies FAPERGS, FAPESP (2010/50193-1) and Capes (General Program of International Cooperation-99999.002378/2015-9). This study was financed in part by the Coordenacao de Aperfeicoamento de Pessoal de Nivel Superior-Brasil (CAPES)-Finance Code 001. The authors are grateful to MSc. Natalia Segatto.</t>
  </si>
  <si>
    <t>2296-4185</t>
  </si>
  <si>
    <t>FRONT BIOENG BIOTECH</t>
  </si>
  <si>
    <t>Front. Bioeng. Biotechnol.</t>
  </si>
  <si>
    <t>10.3389/fbioe.2018.00185</t>
  </si>
  <si>
    <t>Biotechnology &amp; Applied Microbiology; Engineering, Biomedical</t>
  </si>
  <si>
    <t>Biotechnology &amp; Applied Microbiology; Engineering</t>
  </si>
  <si>
    <t>HC9PV</t>
  </si>
  <si>
    <t>WOS:000452139700001</t>
  </si>
  <si>
    <t>Gong, Z; Liang, YT; Wang, M; Jiang, Y; Yang, QW; Xia, J; Zhou, XH; You, SY; Gao, C; Wang, J; He, JF; Shao, HB; McMinn, A</t>
  </si>
  <si>
    <t>Gong, Zheng; Liang, Yantao; Wang, Min; Jiang, Yong; Yang, Qingwei; Xia, Jun; Zhou, Xinhao; You, Siyuan; Gao, Chen; Wang, Jian; He, Jianfeng; Shao, Hongbing; McMinn, Andrew</t>
  </si>
  <si>
    <t>Viral Diversity and Its Relationship With Environmental Factors at the Surface and Deep Sea of Prydz Bay, Antarctica</t>
  </si>
  <si>
    <t>marine viruses; Prydz Bay; metagenomics; diversity; community structure</t>
  </si>
  <si>
    <t>MULTIPLE DISPLACEMENT AMPLIFICATION; SOUTHERN-OCEAN; MICROBIAL ECOLOGY; READ ALIGNMENT; VIRUSES; DNA; GENOME; BACTERIAL; VIRIOPLANKTON; PHYTOPLANKTON</t>
  </si>
  <si>
    <t>A viral metagenomic analysis of five surface and two bottom water (878 meters below surface, mbs, and 3,357 mbs) samples from Prydz Bay, was conducted during February-March 2015. The results demonstrated that most of the DNA viruses were dsDNA viruses (79.73-94.06%, except at PBI1, 37.51%). Of these, Caudovirales (Siphoviridae, Myoviridae, and Podoviridae) phages were most abundant in surface seawater (67.67-71.99%), while nucleocytoplasmic large DNA viruses (NCLDVs) (Phycodnaviridae, Mimiviridae, and Pandoraviridae accounted for &gt;30% of dsDNA viruses) were most abundant in the bottom water (3,357 mbs). Of the ssDNA viruses, Microviridae was the dominant family in PBI2, PBI3, PBOs, and PBI4b (57.09-87.55%), while Inoviridae (58.16%) was the dominant family in PBI1. Cellulophaga phages (phi38:1 and phi10:1) and Flavobacterium phage 11b, infecting the possible host strains affiliated with the family Flavobacteriaceae of the phylum Bacteroidetes, were abundant in surface water dsDNA viromes. The long contig (PBI2_1_C) from the viral metagenomes were most similar to the genome architectures of Cellulophaga phage phi10:1 and Flavobacterium phage 11b from the Arctic Ocean. Comparative analysis showed that the surface viral community of Prydz Bay could be clearly separated from other marine and freshwater environments. The deep sea viral community was similar to the deep sea viral metagenome at A Long-term Oligotrophic Habitat Assessment Station (ALOHA, at 22 degrees 45'N, 158 degrees 00'W). The multivariable analysis indicated that nutrients probably played an important role in shaping the local viral community structure. This study revealed the preliminary characteristics of the viral community in Prydz Bay, from both the surface and the deep sea. It provided evidence of the relationships between the virome and the environment in Prydz Bay and provided the first data from the deep sea viral community of the Southern Ocean.</t>
  </si>
  <si>
    <t>[Gong, Zheng; Liang, Yantao; Wang, Min; Jiang, Yong; Yang, Qingwei; Xia, Jun; Zhou, Xinhao; You, Siyuan; Gao, Chen; Wang, Jian; Shao, Hongbing; McMinn, Andrew] Ocean Univ China, Coll Marine Life Sci, Qingdao, Peoples R China; [Liang, Yantao] Chinese Acad Sci, Shandong Prov Key Lab Energy Genet, Key Lab Biofuels, Qingdao Inst Bioenergy &amp; Bioproc Technol, Qingdao, Peoples R China; [Wang, Min; Jiang, Yong] Ocean Univ China, Key Lab Polar Oceanog &amp; Global Ocean Change, Qingdao, Peoples R China; [Wang, Min; Jiang, Yong] Ocean Univ China, Inst Evolut &amp; Marine Biodivers, Qingdao, Peoples R China; [He, Jianfeng] Polar Res Inst China, SOA Key Lab Polar Sci, Shanghai, Peoples R China; [McMinn, Andrew] Univ Tasmania, Inst Marine &amp; Antarctic Studies, Hobart, Tas, Australia</t>
  </si>
  <si>
    <t>Ocean University of China; Chinese Academy of Sciences; Qingdao Institute of Bioenergy &amp; Bioprocess Technology, CAS; Ocean University of China; Ocean University of China; Polar Research Institute of China; University of Tasmania</t>
  </si>
  <si>
    <t>Wang, M; McMinn, A (corresponding author), Ocean Univ China, Coll Marine Life Sci, Qingdao, Peoples R China.;Wang, M (corresponding author), Ocean Univ China, Key Lab Polar Oceanog &amp; Global Ocean Change, Qingdao, Peoples R China.;Wang, M (corresponding author), Ocean Univ China, Inst Evolut &amp; Marine Biodivers, Qingdao, Peoples R China.;He, JF (corresponding author), Polar Res Inst China, SOA Key Lab Polar Sci, Shanghai, Peoples R China.;McMinn, A (corresponding author), Univ Tasmania, Inst Marine &amp; Antarctic Studies, Hobart, Tas, Australia.</t>
  </si>
  <si>
    <t>mingwang@ouc.edu.cn; hejianfeng@pric.gov.cn; andrew.mcminn@utas.edu.au</t>
  </si>
  <si>
    <t>Jiang, Yong/AGK-3016-2022; Gao, Chen/AAT-5126-2021; Wang, Min/AFR-9645-2022; McMinn, Andrew/A-9910-2008</t>
  </si>
  <si>
    <t>Jiang, Yong/0000-0002-4072-1668; Gao, Chen/0000-0001-9892-7928; Wang, Min/0000-0002-2357-589X; Jiang, Yong/0000-0001-6055-488X</t>
  </si>
  <si>
    <t>Qingdao National Laboratory for Marine Science and Technology [2016ASKJ14]; National Natural Science Foundation of China [41076088, 31500339, 41606153]; National Key Research and Development Program of China [2017YFA0603200]; Fundamental Research Funds for the Central University of Ocean University of China [201812002, 201762017, 201562018]; Marine S&amp;T Fund of Shandong Province for Pilot National Laboratory for Marine Science and Technology (Qingdao) [2018SDKJ 0406-6]</t>
  </si>
  <si>
    <t>Qingdao National Laboratory for Marine Science and Technology; National Natural Science Foundation of China(National Natural Science Foundation of China (NSFC)); National Key Research and Development Program of China; Fundamental Research Funds for the Central University of Ocean University of China; Marine S&amp;T Fund of Shandong Province for Pilot National Laboratory for Marine Science and Technology (Qingdao)</t>
  </si>
  <si>
    <t>This study was funded by Scientific and Technological Innovation Project Financially Supported by Qingdao National Laboratory for Marine Science and Technology (No. 2016ASKJ14), National Natural Science Foundation of China (No. 41076088, 31500339, and 41606153), National Key Research and Development Program of China (2017YFA0603200), Fundamental Research Funds for the Central University of Ocean University of China (Grant Nos. 201812002, 201762017, 201562018), and the Marine S&amp;T Fund of Shandong Province for Pilot National Laboratory for Marine Science and Technology (Qingdao) (No. 2018SDKJ 0406-6).</t>
  </si>
  <si>
    <t>10.3389/fmicb.2018.02981</t>
  </si>
  <si>
    <t>HC6XL</t>
  </si>
  <si>
    <t>WOS:000451944900001</t>
  </si>
  <si>
    <t>Farmery, AK; Hendrie, GA; O'Kane, G; McManus, A; Green, BS</t>
  </si>
  <si>
    <t>Farmery, Anna K.; Hendrie, Gilly A.; O'Kane, Gabrielle; McManus, Alexandra; Green, Bridget S.</t>
  </si>
  <si>
    <t>Sociodemographic Variation in Consumption Patterns of Sustainable and Nutritious Seafood in Australia</t>
  </si>
  <si>
    <t>FRONTIERS IN NUTRITION</t>
  </si>
  <si>
    <t>dietary guidelines; omega-3 fatty acids; sustainable seafood; wild capture; aquaculture; nutrition</t>
  </si>
  <si>
    <t>GREENHOUSE-GAS EMISSIONS; ENVIRONMENTAL SUSTAINABILITY; DIETARY GUIDELINES; FISH CONSUMPTION; FOOD-PRODUCTS; HEALTHY DIET; RECOMMENDATIONS; DISEASE; IMPACT; FUTURE</t>
  </si>
  <si>
    <t>National dietary guidelines (DGs) consistently recommend consuming seafood for health benefits, however, the sustainability of increasing seafood consumption is often challenged. Seafood products vary in environmental performance as well as health benefits, yet there is no information integrating the health and ecological impacts of different seafood choices. The first step in optimising improved health and environmental outcomes is to examine more closely the types of seafood being consumed at population and individual levels, to develop the means to increase the intake of seafood that is optimal for human health and the environment. The purpose of this analysis was to better understand the specific types and amounts of seafood consumed by the Australian population, and by socioeconomic subgroups within the population, to determine the relative nutritional content and sustainability of seafood consumed by these groups. Secondary analysis of the Australian Health Survey (AHS) (2011-2013), which reached 32,000 people (25,000 households) was undertaken. The majority of respondents (83%) did not consume any seafood on the day of the survey. Results indicated the proportion of seafood consumers was lowest among adults who were unemployed, had the least education and were the most socio-economically disadvantaged. Crustaceans and farmed fish with low omega 3-content, such as basa and tilapia, were identified as the least nutritious and least sustainable seafood categories. These two categories constituted a substantial amount of total seafood intake for the lowest socio-economic consumers, and over 50% for unemployed consumers. In contrast, consumers in the highest socio-demographic group consumed mainly high trophic level fish (moderate nutrition and sustainability) and farmed fish with high omega-3 content (high nutrition, moderate sustainability). Fewer than 1% of adults or children reported eating seafood identified as both more nutritious and less resource intensive, such as small pelagics or molluscs. Opportunities exist to increase seafood intakes to improve health outcomes by varying current seafood consumption patterns to maximise nutritional outcomes and minimise environmental impacts. Initiatives to promote the health and environmental benefits of seafood should be promoted at the population level, with targeted interventions for specific groups, and should encourage consumption of highly nutritious low resource intensive types of seafood.</t>
  </si>
  <si>
    <t>[Farmery, Anna K.] Univ Wollongong, Australian Natl Ctr Ocean Resources &amp; Secur, Wollongong, NSW, Australia; [Hendrie, Gilly A.] CSIRO, Hlth &amp; Biosecur, Adelaide, SA, Australia; [O'Kane, Gabrielle] Univ Canberra, Hlth Res Inst, ACT Australia, Canberra, ACT, Australia; [McManus, Alexandra] Curtin Univ, Fac Hlth Sci, Perth, WA, Australia; [Green, Bridget S.] Univ Tasmania, Inst Marine &amp; Antarctic Studies, Taroona, Tas, Australia</t>
  </si>
  <si>
    <t>University of Wollongong; Commonwealth Scientific &amp; Industrial Research Organisation (CSIRO); University of Canberra; Curtin University; University of Tasmania</t>
  </si>
  <si>
    <t>Farmery, AK (corresponding author), Univ Wollongong, Australian Natl Ctr Ocean Resources &amp; Secur, Wollongong, NSW, Australia.</t>
  </si>
  <si>
    <t>afarmety@uow.edu.au</t>
  </si>
  <si>
    <t>Farmery, Anna/H-9696-2014; Green, Bridget S/G-3368-2014; Hendrie, Gilly A/F-4615-2011; McManus, Alexandra/D-2952-2011</t>
  </si>
  <si>
    <t>Farmery, Anna/0000-0002-8938-0040; Hendrie, Gilly/0000-0001-7387-2422; McManus, Alexandra/0000-0002-3348-3809</t>
  </si>
  <si>
    <t>Early Career Researcher Program, University of Canberra</t>
  </si>
  <si>
    <t>This work was supported by the Early Career Researcher Program, University of Canberra.</t>
  </si>
  <si>
    <t>2296-861X</t>
  </si>
  <si>
    <t>FRONT NUTR</t>
  </si>
  <si>
    <t>Front. Nutr.</t>
  </si>
  <si>
    <t>10.3389/fnut.2018.00118</t>
  </si>
  <si>
    <t>Nutrition &amp; Dietetics</t>
  </si>
  <si>
    <t>HC7AR</t>
  </si>
  <si>
    <t>WOS:000451953300001</t>
  </si>
  <si>
    <t>Yadav, S; Stow, AJ; Harris, RMB; Dudaniec, RY</t>
  </si>
  <si>
    <t>Yadav, Sonu; Stow, Adam J.; Harris, Rebecca M. B.; Dudaniec, Rachael Y.</t>
  </si>
  <si>
    <t>Morphological Variation Tracks Environmental Gradients in an Agricultural Pest, Phaulacridium vittatum (Orthoptera: Acrididae)</t>
  </si>
  <si>
    <t>JOURNAL OF INSECT SCIENCE</t>
  </si>
  <si>
    <t>wingless grasshopper; Phaulacridium vittatum; agricultural pest; relative abundance; morphological variation</t>
  </si>
  <si>
    <t>COLOR PATTERN POLYMORPHISM; HISTORY TRADE-OFF; BODY-SIZE; WINGLESS GRASSHOPPER; GEOGRAPHIC-VARIATION; SJOSTEDT ORTHOPTERA; CLIMATE-CHANGE; DISPERSAL POLYMORPHISMS; INTRASPECIFIC VARIATION; LATITUDINAL CLINE</t>
  </si>
  <si>
    <t>Invertebrate pests often show high morphological variation and wide environmental tolerances. Knowledge of how phenotypic variation is associated with environmental heterogeneity can elucidate the processes underpinning these patterns. Here we examine morphological variation and relative abundance along environmental gradients in a widespread agricultural pest, native to Australia, the wingless grasshopper Phaulacridium vittatum (Sjostedt). We test for correlations between body size, wing presence, and stripe polymorphism with environmental variables. Using multiple regression and mixed-effects modeling, body size and stripe polymorphism were positively associated with solar radiation, and wing presence was positively associated with foliage projective cover (FPC). There were no associations between body size or morphological traits with relative abundance. However, relative abundance was positively associated with latitude, soil moisture, and wind speed, but was negatively associated with FPC. Therefore, sites with low relative abundance and high forest cover were more likely to contain winged individuals. Overall, our results suggest that environmental and climatic conditions strongly influence the relative abundance and the distribution of morphotypes in P. vittatum, which is likely to affect dispersal and fitness in different landscapes. This knowledge is useful for informing how environmental change might influence the future spread and impact of this agricultural pest.</t>
  </si>
  <si>
    <t>[Yadav, Sonu; Stow, Adam J.; Dudaniec, Rachael Y.] Macquarie Univ, Dept Biol Sci, Sydney, NSW 2109, Australia; [Harris, Rebecca M. B.] Univ Tasmania, Antarctic Climate &amp; Ecosyst Cooperat Res Ctr, Hobart, Tas 7001, Australia</t>
  </si>
  <si>
    <t>Macquarie University; University of Tasmania; Antarctic Climate &amp; Ecosystems Cooperative Research Centre (ACE CRC)</t>
  </si>
  <si>
    <t>Yadav, S (corresponding author), Macquarie Univ, Dept Biol Sci, Sydney, NSW 2109, Australia.</t>
  </si>
  <si>
    <t>sonu.yadav@students.mq.edu.au</t>
  </si>
  <si>
    <t>Dudaniec, Rachael/AAR-7034-2020; Yadav, Sonu/AAF-7479-2021; Harris, Rebecca/N-2790-2013</t>
  </si>
  <si>
    <t>Dudaniec, Rachael/0000-0002-1854-6808; Yadav, Sonu/0000-0001-5521-2789; Stow, Adam/0000-0002-6796-4854; Harris, Rebecca/0000-0002-6426-2179</t>
  </si>
  <si>
    <t>Macquarie University</t>
  </si>
  <si>
    <t>We thank Bridget Campbell and Eloise Pons for their help with fieldwork. We thank Drew Allen for advice on statistical analysis and two anonymous reviewers for their useful suggestions. This project was funded by Macquarie University with start-up funding to R.Y.D. and Macquarie graduate student research funding to S.Y. R.Y.D., S.Y., A.J.S., and R.M.B.H. conceptualized the study. S.Y. performed fieldwork and conducted all statistical analyses. S.Y. and R.Y.D. wrote the manuscript with editing from A.J.S. and R.M.B.H.</t>
  </si>
  <si>
    <t>OXFORD UNIV PRESS INC</t>
  </si>
  <si>
    <t>CARY</t>
  </si>
  <si>
    <t>JOURNALS DEPT, 2001 EVANS RD, CARY, NC 27513 USA</t>
  </si>
  <si>
    <t>1536-2442</t>
  </si>
  <si>
    <t>J INSECT SCI</t>
  </si>
  <si>
    <t>J Insect Sci.</t>
  </si>
  <si>
    <t>10.1093/jisesa/iey121</t>
  </si>
  <si>
    <t>Entomology</t>
  </si>
  <si>
    <t>HE1WZ</t>
  </si>
  <si>
    <t>WOS:000453065800003</t>
  </si>
  <si>
    <t>Pour, AB; Hashim, M; Park, Y; Hong, JK</t>
  </si>
  <si>
    <t>Pour, Amin Beiranvand; Hashim, Mazlan; Park, Yongcheol; Hong, Jong Kuk</t>
  </si>
  <si>
    <t>Mapping alteration mineral zones and lithological units in Antarctic regions using spectral bands of ASTER remote sensing data</t>
  </si>
  <si>
    <t>GEOCARTO INTERNATIONAL</t>
  </si>
  <si>
    <t>Remote sensing; Antarctica; ASTER; alteration mineral mapping; CEM</t>
  </si>
  <si>
    <t>SPACEBORNE THERMAL EMISSION; REFLECTION RADIOMETER ASTER; ADAPTIVE COHERENCE ESTIMATOR; SUBPIXEL TARGET DETECTION; OPHIOLITE COMPLEX; ALTERED ROCKS; SNOW-COVER; BETSIMISARAKA SUTURE; DIFFERENT GRANITOIDS; DHARWAR CRATON</t>
  </si>
  <si>
    <t>Geological mapping is one of the primary tasks of remote sensing. Remote sensing applications are especially useful when extreme environmental conditions inhibit direct survey such as in Antarctica. In this investigation, a satellite-based remote sensing approach was used for mapping alteration mineral zones and lithological units using Advanced Spaceborne Thermal Emission and Reflection Radiometer (ASTER) data in the Oscar II coast area, north-eastern Graham Land, Antarctic Peninsula. Specialized band ratios and band combinations were developed using visible and near infrared, shortwave infrared (SWIR) and thermal infrared spectral bands of ASTER for detecting alteration mineral assemblages and lithological units in Antarctic environments. Constrained Energy Minimization, Orthogonal Subspace Projection and Adaptive Coherence Estimator algorithms were tested to ASTER SWIR bands for detecting sub-pixels' abundance of spectral features related to muscovite, kaolinite, illite, montmorillonite, epidote, chlorite and biotite. Results indicate valuable applicability of ASTER data for Antarctic geological mapping.</t>
  </si>
  <si>
    <t>[Pour, Amin Beiranvand; Hashim, Mazlan] Univ Teknol Malaysia, UTM JB, RISE, Geosci &amp; Digital Earth Ctr Geo DEC, Johor Baharu, Malaysia; [Pour, Amin Beiranvand; Park, Yongcheol; Hong, Jong Kuk] Korea Polar Res Inst KOPRI, Incheon, South Korea</t>
  </si>
  <si>
    <t>Universiti Teknologi Malaysia; Korea Polar Research Institute (KOPRI)</t>
  </si>
  <si>
    <t>Pour, AB (corresponding author), Univ Teknol Malaysia, UTM JB, RISE, Geosci &amp; Digital Earth Ctr Geo DEC, Johor Baharu, Malaysia.;Pour, AB (corresponding author), Korea Polar Res Inst KOPRI, Incheon, South Korea.</t>
  </si>
  <si>
    <t>beiranvand.amin80@gmail.com</t>
  </si>
  <si>
    <t>Hashim, Mazlan/J-7291-2012; Beiranvand Pour, Amin/E-1723-2013</t>
  </si>
  <si>
    <t>Hashim, Mazlan/0000-0001-8284-3332; Beiranvand Pour, Amin/0000-0001-8783-5120</t>
  </si>
  <si>
    <t>Yayasan Penyelidikan Antartika Sultan Mizan (YPASM) research grant [R.J130000.7309.4B221]; Sultan Mizan Antarctic Research Foundation, Malaysia; KOPRI [PE17050]</t>
  </si>
  <si>
    <t>Yayasan Penyelidikan Antartika Sultan Mizan (YPASM) research grant; Sultan Mizan Antarctic Research Foundation, Malaysia; KOPRI(Korea Polar Research Institute of Marine Research Placement (KOPRI))</t>
  </si>
  <si>
    <t>This work was supported by the Yayasan Penyelidikan Antartika Sultan Mizan (YPASM) research grant [Vote no: R.J130000.7309.4B221]; Sultan Mizan Antarctic Research Foundation, Malaysia. This study was also supported by KOPRI grant PE17050 for field data and laboratory analysis.</t>
  </si>
  <si>
    <t>1010-6049</t>
  </si>
  <si>
    <t>1752-0762</t>
  </si>
  <si>
    <t>GEOCARTO INT</t>
  </si>
  <si>
    <t>Geocarto Int.</t>
  </si>
  <si>
    <t>DEC 2</t>
  </si>
  <si>
    <t>10.1080/10106049.2017.1347207</t>
  </si>
  <si>
    <t>HC3GF</t>
  </si>
  <si>
    <t>WOS:000451689000001</t>
  </si>
  <si>
    <t>Zhou, Y; Li, YH; Yu, HB; Liu, XY; Lu, XL; Jiao, BH</t>
  </si>
  <si>
    <t>Zhou, Yue; Li, Yun-Hai; Yu, Hao-Bing; Liu, Xiao-Yu; Lu, Xiao-Ling; Jiao, Bing-Hua</t>
  </si>
  <si>
    <t>Furanone derivative and sesquiterpene from Antarctic marine-derived fungus Penicillium sp. S-1-18</t>
  </si>
  <si>
    <t>JOURNAL OF ASIAN NATURAL PRODUCTS RESEARCH</t>
  </si>
  <si>
    <t>Penicillium sp; furanone derivative; sesquiterpene; bioactivity</t>
  </si>
  <si>
    <t>CELL-CYCLE PROGRESSION; SPONGE</t>
  </si>
  <si>
    <t>A new furanone derivative, butanolide A (1), and a new sesquiterpene, guignarderemophilane F (2), together with six known compounds, were isolated from the fungus Penicillium sp. S-1-18 derived from Antarctic marine. The new structures were determined by spectroscopic studies such as 1D- and 2D-NMR and MS analyses. The absolute configuration of 1 was determined by the modified Mosher's method, while the absolute configuration of 2 was determined by calculated ECD spectroscopy. The isolated secondary metabolites were evaluated for their protein tyrosine phosphatase 1B (PTP1B) inhibitory activity. Compound 1 showed moderate inhibitory activity against PTP1B with IC50 value of 27.4 mu M. [GRAPHICS] .</t>
  </si>
  <si>
    <t>[Zhou, Yue; Li, Yun-Hai; Yu, Hao-Bing; Liu, Xiao-Yu; Lu, Xiao-Ling; Jiao, Bing-Hua] Second Mil Med Univ, Marine Biopharmaceut Inst, Shanghai 200433, Peoples R China; [Zhou, Yue; Li, Yun-Hai; Yu, Hao-Bing; Liu, Xiao-Yu; Lu, Xiao-Ling; Jiao, Bing-Hua] Second Mil Med Univ, Coll Basic Med Sci, Dept Biochem &amp; Mol Biol, Shanghai 200433, Peoples R China</t>
  </si>
  <si>
    <t>Naval Medical University; Naval Medical University</t>
  </si>
  <si>
    <t>Lu, XL; Jiao, BH (corresponding author), Second Mil Med Univ, Marine Biopharmaceut Inst, Shanghai 200433, Peoples R China.;Lu, XL; Jiao, BH (corresponding author), Second Mil Med Univ, Coll Basic Med Sci, Dept Biochem &amp; Mol Biol, Shanghai 200433, Peoples R China.</t>
  </si>
  <si>
    <t>luxiaoling80@126.com; jiaobh@live.cn</t>
  </si>
  <si>
    <t>lu, xl/HDO-8340-2022; Liu, Xiaoyu/HJH-8805-2023</t>
  </si>
  <si>
    <t>Yu, Hao-Bing/0000-0003-0516-4664</t>
  </si>
  <si>
    <t>National Hi-tech R&amp;D Program of China [863 Program] [SS2012AA09160703]; National Natural Science Foundation of China (NSFC) [41306197, 41606173]; Guangdong Innovative Development of Marine Economy Regional Demonstration Project [GD2012-D01-001]</t>
  </si>
  <si>
    <t>National Hi-tech R&amp;D Program of China [863 Program](National High Technology Research and Development Program of China); National Natural Science Foundation of China (NSFC)(National Natural Science Foundation of China (NSFC)); Guangdong Innovative Development of Marine Economy Regional Demonstration Project</t>
  </si>
  <si>
    <t>The work was funded by National Hi-tech R&amp;D Program of China [863 Program; grant number SS2012AA09160703]; National Natural Science Foundation of China (NSFC) [grant number 41306197], [grant number 41606173]; and Guangdong Innovative Development of Marine Economy Regional Demonstration Project [grant number GD2012-D01-001].</t>
  </si>
  <si>
    <t>1028-6020</t>
  </si>
  <si>
    <t>1477-2213</t>
  </si>
  <si>
    <t>J ASIAN NAT PROD RES</t>
  </si>
  <si>
    <t>J. Asian Nat. Prod. Res.</t>
  </si>
  <si>
    <t>10.1080/10286020.2017.1385604</t>
  </si>
  <si>
    <t>Plant Sciences; Chemistry, Applied; Chemistry, Medicinal; Pharmacology &amp; Pharmacy</t>
  </si>
  <si>
    <t>Science Citation Index Expanded (SCI-EXPANDED); Index Chemicus (IC)</t>
  </si>
  <si>
    <t>Plant Sciences; Chemistry; Pharmacology &amp; Pharmacy</t>
  </si>
  <si>
    <t>HN0MN</t>
  </si>
  <si>
    <t>WOS:000459882800002</t>
  </si>
  <si>
    <t>Choudhary, S; Nayak, GN; Tiwari, AK; Khare, N</t>
  </si>
  <si>
    <t>Choudhary, Shabnam; Nayak, G. N.; Tiwari, Anoop Kumar; Khare, N.</t>
  </si>
  <si>
    <t>Source, processes and productivity from distribution of surface sediments, Prydz Bay, East Antarctica</t>
  </si>
  <si>
    <t>POLAR SCIENCE</t>
  </si>
  <si>
    <t>Surface sediments; Source; Processes</t>
  </si>
  <si>
    <t>CONTINENTAL-SHELF; ORGANIC-CARBON; ELEMENT GEOCHEMISTRY; ISOTOPIC SIGNATURES; LARSEMANN HILLS; LATE QUATERNARY; ODP SITE-1166; TRACE-METALS; NITROGEN; SEA</t>
  </si>
  <si>
    <t>Source of sediments and depositional processes of surface sediments along the Prydz Bay were investigated through grain size, organic carbon, nitrogen, phosphorus, calcium carbonate and metal concentration. High content of sand and higher values of Al2O3 and TiO2 at shallow water depth indicate their terrigenous source and relatively higher hydrodynamic conditions near the coast Al2O3/TiO2 ratio ranging from 3.77-12.73 suggests a mafic source for the sediments. C/N ratio ranging from 5.76 to 9.13 indicates autochthonous (in-situ) source for organic matter, for which phytoplanktons and algae may be the major contributors. However, N/P ratio lower than the Redfield ratio indicated a limitation of either N or P in the study area. Calcium carbonate concentration is low possibly due to increased loads of clay which must have caused the dilution of carbonates. Metals like Fe, Mn and Mg exhibit strong correlation with lithogenic elements while, the trace metals such as Cd, Co, Cu, Ni and Zn show significant correlation with organic elements indicating that lithogenic and biogenic inputs are their main sources. Trace elements namely, Cd and Zn show nutrient like behavior suggest the role of trace metal in addition to nutrients in the regulation of productivity. Thus, the present study provides an understanding of recent sedimentary environments and processes, which are used as a tool to interpret palacoenvironmental records.</t>
  </si>
  <si>
    <t>[Choudhary, Shabnam; Nayak, G. N.] Goa Univ, Dept Marine Sci, Taleigao Plateau 403206, Goa, India; [Tiwari, Anoop Kumar] Govt India, Natl Ctr Antarctic &amp; Ocean Res, ESSO, Minist Earth Sci, Vasco 403804, Goa, India; [Khare, N.] Govt India, Minist Earth Sci, New Delhi 110003, India</t>
  </si>
  <si>
    <t>Goa University; Earth System Science Organization (ESSO); Ministry of Earth Sciences (MoES) - India; National Centre for Polar and Ocean Research (NCPOR); Ministry of Earth Sciences (MoES) - India</t>
  </si>
  <si>
    <t>Nayak, GN (corresponding author), Goa Univ, Dept Marine Sci, Taleigao Plateau 403206, Goa, India.</t>
  </si>
  <si>
    <t>gnnayak57@gmail.com</t>
  </si>
  <si>
    <t>TIWARI, ANOOP KUMAR/AAY-8915-2021</t>
  </si>
  <si>
    <t>KHARE, NELOY/0000-0001-8348-5696</t>
  </si>
  <si>
    <t>Inter-University Accelerator Centre (IUAC) [UFR/55317]; University Grants Commission [F117.1/2015-16/MANF2015-17-UTT-51739]</t>
  </si>
  <si>
    <t>Inter-University Accelerator Centre (IUAC); University Grants Commission(University Grants Commission, India)</t>
  </si>
  <si>
    <t>The authors place on record thanks to the gs1:Ministry of Earth Sciences for providing the logistic support required for the collection of samples. One of the authors (GNN) thank Inter-University Accelerator Centre (IUAC) for sanctioning a research project UFR/55317 under which this research was carried out. The author (SC) thank the University Grants Commission (Grant no. F117.1/2015-16/MANF2015-17-UTT-51739), for providing fellowship. The authors thank Dr. Waliur Rehman, Scientist-D, Ms. Lathika N. Padmanabhan, Scientist-B, Dr. Manish Tiwari, Scientist-E and Mr. Siddesh Nagoji ESSO-NCAOR, Goa are thanked for kindly extending the instrumental facility of the elemental analyser (Marine stable isotope Lab (MASTIL) and ICPMS.</t>
  </si>
  <si>
    <t>1873-9652</t>
  </si>
  <si>
    <t>1876-4428</t>
  </si>
  <si>
    <t>POLAR SCI</t>
  </si>
  <si>
    <t>Polar Sci.</t>
  </si>
  <si>
    <t>DEC</t>
  </si>
  <si>
    <t>10.1016/j.polar.2018.06.002</t>
  </si>
  <si>
    <t>HD5SU</t>
  </si>
  <si>
    <t>WOS:000452591600009</t>
  </si>
  <si>
    <t>Han, H; Lee, CK</t>
  </si>
  <si>
    <t>Han, Hyangsun; Lee, Choon-Ki</t>
  </si>
  <si>
    <t>Analysis of Ice Velocity Variations of Nansen Ice Shelf, East Antarctica, from 2000 to 2017 Using Landsat Multispectral Image Matching</t>
  </si>
  <si>
    <t>KOREAN JOURNAL OF REMOTE SENSING</t>
  </si>
  <si>
    <t>Korean</t>
  </si>
  <si>
    <t>Nansen Ice Shelf; Landsat; multispectral image matching; ice velocity; rift</t>
  </si>
  <si>
    <t>ORBIT GEOMETRIC CALIBRATION; CAMPBELL GLACIER TONGUE; FLOW VELOCITY; KRONEBREEN; PENINSULA; TRACKING; SVALBARD</t>
  </si>
  <si>
    <t>Collapse of an Antarctic ice shelf and its flow velocity changes has the potential to reduce the restraining stress to the seaward flow of the Antarctic Ice Sheet, which can cause sea level rising. In this study, variations in ice velocity from 2000 to 2017 for the Nansen Ice Shelf in East Antarctica that experienced a large-scale collapse in April 2016 were analyzed using Landsat-7 Enhanced Thematic Mapper Plus (ETM+) and Landsat-8 Operational Land Imager (OLI) images. To extract ice velocity, image matching based on orientation correlation was applied to the image pairs of blue, green, red, near-infrared, panchromatic, and the first principal component image of the Landsat multispectral data, from which the results were combined. The Landsat multispectral image matching produced reliable ice velocities for at least 14% wider area on the Nansen Ice Shelf than for the case of using single band (i.e., panchromatic) image matching. The ice velocities derived from the Landsat multispectral image matching have the error of 2.1 m a(-1) compared to the in situ Global Positioning System (GPS) observation data. The region adjacent to the Drygalski Ice Tongue showed the fastest increase in ice velocity between 2000 and 2017. The ice velocity along the central flow line of the Nansen Ice Shelf was stable before 2010 (similar to 228 m a(-1)). In 2011-2012, when a rift began to develop near the ice front, the ice flow was accelerated (similar to 255 m a(-1)) but the velocity was only about 11% faster than 2010. Since 2014, the massive rift had been fully developed, and the ice velocity of the upper region of the rift slightly decreased (similar to 225 m a(-1)) and stabilized. This means that the development of the rift and the resulting collapse of the ice front had little effect on the ice velocity of the Nansen Ice Shelf.</t>
  </si>
  <si>
    <t>[Han, Hyangsun] Korea Polar Res Inst, Unit Arctic Sea Ice Predict, Incheon, South Korea; [Lee, Choon-Ki] Korea Polar Res Inst, Unit Ice Sheet &amp; Sea Level Changes, Incheon, South Korea</t>
  </si>
  <si>
    <t>Korea Polar Research Institute (KOPRI); Korea Polar Research Institute (KOPRI)</t>
  </si>
  <si>
    <t>Han, H (corresponding author), Korea Polar Res Inst, Unit Arctic Sea Ice Predict, Incheon, South Korea.</t>
  </si>
  <si>
    <t>hyangsun@kopri.re.kr</t>
  </si>
  <si>
    <t>Han, Hyangsun/AAE-7670-2022</t>
  </si>
  <si>
    <t>Han, Hyangsun/0000-0002-0414-519X</t>
  </si>
  <si>
    <t>KOREAN SOC REMOTE SENSING</t>
  </si>
  <si>
    <t>SEOUL</t>
  </si>
  <si>
    <t>KOREAN SOC REMOTE SENSING, SEOUL, 00000, SOUTH KOREA</t>
  </si>
  <si>
    <t>1225-6161</t>
  </si>
  <si>
    <t>2287-9307</t>
  </si>
  <si>
    <t>KOREAN J REMOTE SENS</t>
  </si>
  <si>
    <t>Korean J. Remote Sensing</t>
  </si>
  <si>
    <t>10.7780/kjrs.2018.34.6.2.2</t>
  </si>
  <si>
    <t>HG0VF</t>
  </si>
  <si>
    <t>WOS:000454666300025</t>
  </si>
  <si>
    <t>Lim, PKC; Lee, XC; Nazmi, NMAM; Tang, YY; Wong, SF; Mak, JW; Convey, P</t>
  </si>
  <si>
    <t>Lim, P. K. C.; Lee, X. C.; Nazmi, Mohd N. M. A.; Tang, Y. Y.; Wong, S. F.; Mak, J. W.; Convey, P.</t>
  </si>
  <si>
    <t>Parasites in soil samples from Signy island, Antarctica</t>
  </si>
  <si>
    <t>TROPICAL BIOMEDICINE</t>
  </si>
  <si>
    <t>CONTAMINATION; PREVALENCE; TOXOCARA; TESTS; URBAN; FAUNA</t>
  </si>
  <si>
    <t>Studies on parasite populations in Antarctic soils are scarce and thus little is known about the threat of these parasites towards either the natural fauna or human visitors. However, human presence in Antarctica, mainly through research and tourism, keeps increasing over time, potentially exposing visitors to zoonotic infections from Antarctic wildlife and environment. Most available literature to date has focused on faecal samples from Antarctic vertebrates. Therefore, this study addressed the possible presence of parasites in Antarctic soil that may be infectious to humans. Soil samples were obtained from five locations on Signy Island (South Orkney Islands, maritime Antarctic), namely North Point and Gourlay Peninsula (penguin rookeries), Pumphouse (relic coal-powered pump house), Jane Col (barren high altitude fellfield) and Berntsen Point (low altitude vegetated fellfield close to current research station). Approximately 10% of the soil samples (14/135) from 3 out of the 5 study sites had parasites which included Diphyllobotridae spp. eggs, Cryptosporidium sp., an apicomplexan protozoa (gregarine), Toxoplasma gondii, helminths (a cestode, Tetrabothrius sp., and a nematode larva) and mites. The presence of parasites in the 3 sites are most likely due to the presence of animal and human activities as two of these sites are penguin rookeries (North Point and Gourlay Peninsula) while the third site (Pumphouse Lake) has human activity. While some of the parasite species found in the soil samples appear to be distinctive, there were also parasites such as Cryptosporidium and Toxoplasma gondii that have a global distribution and are potentially pathogenic.</t>
  </si>
  <si>
    <t>[Lim, P. K. C.; Wong, S. F.; Mak, J. W.] Int Med Univ, Sch Med, Pathol Dept, 126,Jalan Jalil Perkasa 19, Kuala Lumpur, Malaysia; [Lee, X. C.; Nazmi, Mohd N. M. A.; Tang, Y. Y.] Int Med Univ, Sch Hlth Sci, 126,Jalan Jalil Perkasa 19, Kuala Lumpur, Malaysia; [Convey, P.] NERC, British Antarctic Survey, Madingley Rd, Cambridge CB3 0ET, England</t>
  </si>
  <si>
    <t>International Medical University Malaysia; International Medical University Malaysia; UK Research &amp; Innovation (UKRI); Natural Environment Research Council (NERC); NERC British Antarctic Survey</t>
  </si>
  <si>
    <t>Lim, PKC (corresponding author), Int Med Univ, Sch Med, Pathol Dept, 126,Jalan Jalil Perkasa 19, Kuala Lumpur, Malaysia.</t>
  </si>
  <si>
    <t>kimchooi_jim@imu.edu.my</t>
  </si>
  <si>
    <t>Convey, Peter/AAV-5728-2020; Mak, Joon Wah/C-9174-2011</t>
  </si>
  <si>
    <t>Convey, Peter/0000-0001-8497-9903; Mak, Joon Wah/0000-0002-2538-0797</t>
  </si>
  <si>
    <t>MOSTI [IMU R 149/2014, FP1213E036]; International Medical University [BMSc 1/2015 (05)]; NERC</t>
  </si>
  <si>
    <t>MOSTI(Ministry of Energy, Science, Technology, Environment and Climate Change (MESTECC), Malaysia); International Medical University; NERC(UK Research &amp; Innovation (UKRI)Natural Environment Research Council (NERC))</t>
  </si>
  <si>
    <t>We thank Dr. Chan Kok Keong who collected the soil samples on Signy Island. This project was co-funded by two grants: i) A research grant (IMU R 149/2014) from a sub-project under the Flagship Program FP1213E036 Diversity and Adaptation of Microbes: Across Latitudinal Study funded by MOSTI and ii) a grant [BMSc 1/2015 (05)] provided by the International Medical University. P. Convey is funded by NERC core funding to the British Antarctic Survey's 'Biodiversity, Evolution and Adaptation' Team.</t>
  </si>
  <si>
    <t>MALAYSIAN SOC PARASITOLOGY TROPICAL MEDICINE</t>
  </si>
  <si>
    <t>KUALA LUMPUR</t>
  </si>
  <si>
    <t>C/O INST MEDICAL REEARCH, JALAN PAHANG, KUALA LUMPUR, 50588, MALAYSIA</t>
  </si>
  <si>
    <t>0127-5720</t>
  </si>
  <si>
    <t>TROP BIOMED</t>
  </si>
  <si>
    <t>Trop. Biomed.</t>
  </si>
  <si>
    <t>HR1XN</t>
  </si>
  <si>
    <t>WOS:000462929600014</t>
  </si>
  <si>
    <t>Screen, JA; Bracegirdle, TJ; Simmonds, I</t>
  </si>
  <si>
    <t>Screen, J. A.; Bracegirdle, T. J.; Simmonds, I</t>
  </si>
  <si>
    <t>Polar Climate Change as Manifest in Atmospheric Circulation</t>
  </si>
  <si>
    <t>CURRENT CLIMATE CHANGE REPORTS</t>
  </si>
  <si>
    <t>Arctic; Antarctic; Climate change; Stratospheric polar vortex; Annular modes; Cyclones</t>
  </si>
  <si>
    <t>SEA-ICE LOSS; SOUTHERN ANNULAR MODE; ARCTIC CYCLONE ACTIVITY; EDDY-DRIVEN JET; STRATOSPHERIC OZONE; EXTRATROPICAL CYCLONES; MIDLATITUDE CIRCULATION; WEST ANTARCTICA; HIGH-LATITUDE; VARIABILITY</t>
  </si>
  <si>
    <t>Purpose of Review Dynamic manifestations of climate change, i.e. those related to circulation, are less well understood than are thermodynamic, or temperature-related aspects. However, this knowledge gap is narrowing. We review recent progress in understanding the causes of observed changes in polar tropospheric and stratospheric circulation, and in interpreting climate model projections of their future changes. Recent Findings Trends in the annular modes reflect the influences of multiple drivers. In the Northern Hemisphere, there appears to be a tug-of-war between the opposing effects of Arctic near-surface warming and tropical upper tropospheric warming, two predominant features of the atmospheric response to increasing greenhouse gases. Future trends in the Southern Hemisphere largely depend on the competing effects of stratospheric ozone recovery and increasing greenhouse gases. Summary Human influence on the Antarctic circulation is detectable in the strengthening of the stratospheric polar vortex and the poleward shift of the tropospheric westerly winds. Observed Arctic circulation changes cannot be confidently separated from internal atmospheric variability.</t>
  </si>
  <si>
    <t>[Screen, J. A.] Univ Exeter, 920 Laver Bldg,North Palk Rd, Exeter EX4 4QE, Devon, England; [Bracegirdle, T. J.] British Antarctic Survey, Cambridge, England; [Simmonds, I] Univ Melbourne, Melbourne, Vic, Australia</t>
  </si>
  <si>
    <t>University of Exeter; UK Research &amp; Innovation (UKRI); Natural Environment Research Council (NERC); NERC British Antarctic Survey; University of Melbourne; Melbourne Bioinformatics</t>
  </si>
  <si>
    <t>Screen, JA (corresponding author), Univ Exeter, 920 Laver Bldg,North Palk Rd, Exeter EX4 4QE, Devon, England.</t>
  </si>
  <si>
    <t>j.screen@exeter.ac.uk</t>
  </si>
  <si>
    <t>Bracegirdle, Tom/AAD-6060-2020; Screen, James A/D-7588-2013</t>
  </si>
  <si>
    <t>Screen, James/0000-0003-1728-783X</t>
  </si>
  <si>
    <t>Leverhulme Trust [PLP-2015-215]; Natural Environment Research Council (NERC) [NE/N018486/1]; NERC, British Antarctic Survey Polar Science for Planet Earth Programme [NE/N01829X/1]; Australian Research Council [DP160101997]; NERC [NE/N01829X/1, NE/P006760/1, NE/N018486/1] Funding Source: UKRI</t>
  </si>
  <si>
    <t>Leverhulme Trust(Leverhulme Trust); Natural Environment Research Council (NERC)(UK Research &amp; Innovation (UKRI)Natural Environment Research Council (NERC)); NERC, British Antarctic Survey Polar Science for Planet Earth Programme; Australian Research Council(Australian Research Council); NERC(UK Research &amp; Innovation (UKRI)Natural Environment Research Council (NERC))</t>
  </si>
  <si>
    <t>James Screen received funding from The Leverhulme Trust (PLP-2015-215) and the Natural Environment Research Council (NERC; Grant NE/N018486/1). Thomas Bracegirdle was funded by NERC, both as part of the British Antarctic Survey Polar Science for Planet Earth Programme and Grant NE/N01829X/1. Parts of this work were made possible by an Australian Research Council grant (DP160101997) to Ian Simmonds and James Screen.</t>
  </si>
  <si>
    <t>2198-6061</t>
  </si>
  <si>
    <t>CURR CLIM CHANGE REP</t>
  </si>
  <si>
    <t>Curr. Clim. Chang. Rep.</t>
  </si>
  <si>
    <t>10.1007/s40641-018-0111-4</t>
  </si>
  <si>
    <t>HO7HI</t>
  </si>
  <si>
    <t>Green Accepted, Green Submitted, hybrid, Green Published</t>
  </si>
  <si>
    <t>WOS:000461111800008</t>
  </si>
  <si>
    <t>Liu, Z; Huang, SP; Jin, ZD</t>
  </si>
  <si>
    <t>Liu, Zhi; Huang, Shaopeng; Jin, Zhangdong</t>
  </si>
  <si>
    <t>A last deglacial climate dataset comprising ice core data, marine data, and stalagmite data</t>
  </si>
  <si>
    <t>DATA IN BRIEF</t>
  </si>
  <si>
    <t>Article; Data Paper</t>
  </si>
  <si>
    <t>SEA-SURFACE TEMPERATURE; PACIFIC WARM POOL; SOUTH CHINA SEA; HIGH-RESOLUTION; NORTH-ATLANTIC; ASIAN MONSOON; TROPICAL ATLANTIC; TERMINATION-I; NEW-ZEALAND; VARIABILITY</t>
  </si>
  <si>
    <t>In this data article, a dataset of paleoclimatic records ranging from 22 to 9 thousand years before present is reported, which is related to the research article entitled Breakpoint lead-lag analysis of the last deglacial climate change and atmospheric CO2 concentration on global and hemispheric scales published in the journal of Quaternary International by Liu et al. (2018). In the dataset, 4 delta O-18 records derived from Greenlandic ice cores, 2 delta D records and 7 delta O-18 records derived from Antarctic ice cores, 32 U-37(K') records and 26 Mg/Ca records derived from marine deposits, and 17 delta O-18 records derived from cave stalagmites were collected and collated. General and statistical characteristics of these 88 proxy records are showed here. All of the data are stored in separate Microsoft Excel spreadsheets that are available for researchers. Published by Elsevier Inc.</t>
  </si>
  <si>
    <t>[Liu, Zhi; Huang, Shaopeng; Jin, Zhangdong] Xi An Jiao Tong Univ, Sch Human Settlements &amp; Civil Engn, Xian 710049, Shaanxi, Peoples R China; [Huang, Shaopeng] Univ Michigan, Dept Earth &amp; Environm Sci, Ann Arbor, MI 48109 USA; [Jin, Zhangdong] Chinese Acad Sci, State Key Lab Loess &amp; Quaternary Geol, Inst Earth Environm, Xian 710075, Shaanxi, Peoples R China; [Liu, Zhi] Baoji Univ Arts &amp; Sci, Coll Geog &amp; Environm, Baoji 721013, Peoples R China; [Liu, Zhi] Key Lab Disaster Monitoring &amp; Mech Simulat Shaanx, Baoji 721013, Peoples R China</t>
  </si>
  <si>
    <t>Xi'an Jiaotong University; University of Michigan System; University of Michigan; Chinese Academy of Sciences; Institute of Earth Environment, CAS; Baoji University of Arts &amp; Sciences</t>
  </si>
  <si>
    <t>Huang, SP (corresponding author), Xi An Jiao Tong Univ, Sch Human Settlements &amp; Civil Engn, Xian 710049, Shaanxi, Peoples R China.</t>
  </si>
  <si>
    <t>shaopeng@mail.xjtu.edu.cn</t>
  </si>
  <si>
    <t>Huang, Shaopeng/GZG-9834-2022</t>
  </si>
  <si>
    <t>Huang, Shaopeng/0000-0002-5428-9853; LIU, ZHI/0000-0003-1320-4355</t>
  </si>
  <si>
    <t>State Key Laboratory of Loess and Quaternary Geology, Institute of Earth Environment, Chinese Academy of Sciences [SKLLQGZR1701]</t>
  </si>
  <si>
    <t>State Key Laboratory of Loess and Quaternary Geology, Institute of Earth Environment, Chinese Academy of Sciences(Chinese Academy of Sciences)</t>
  </si>
  <si>
    <t>We are indebted to all the researchers who made their data available. Data collection and collation are supported by the Open Fund (SKLLQGZR1701) from the State Key Laboratory of Loess and Quaternary Geology, Institute of Earth Environment, Chinese Academy of Sciences.</t>
  </si>
  <si>
    <t>2352-3409</t>
  </si>
  <si>
    <t>DATA BRIEF</t>
  </si>
  <si>
    <t>Data Brief</t>
  </si>
  <si>
    <t>10.1016/j.dib.2018.11.008</t>
  </si>
  <si>
    <t>HK4MP</t>
  </si>
  <si>
    <t>WOS:000457925900245</t>
  </si>
  <si>
    <t>Skakun, AA; Volobuev, DM; Mordvinov, AV</t>
  </si>
  <si>
    <t>Skakun, A. A.; Volobuev, D. M.; Mordvinov, A. V.</t>
  </si>
  <si>
    <t>Problems in Forecasting of the Decennial Solar Activity in Terms of TSI by the Method of Analogs</t>
  </si>
  <si>
    <t>GEOMAGNETISM AND AERONOMY</t>
  </si>
  <si>
    <t>TOTAL IRRADIANCE; RECONSTRUCTION; CYCLE</t>
  </si>
  <si>
    <t>Reconstruction and forecasting the data series of total solar irradiation (TSI) is one of the most urgent scientific problems at the moment. In this paper, we review three reconstructions of TSI based on the data of cosmogenic C-14 and Be-10 isotopes and sunspots and tested their predictability by a modified analog method for a one-step prediction of decadal averages. The data of cosmogenic isotopes allow us to estimate changes of the open magnetic flux of the Sun, the magnitude of which is indirectly associated with TSI changes. We establish that the quality of the TSI forecast decreases if we consider a composite timeseries compiled from different data sources. In particular, the analog method does not work for reconstruction, various parts of which were recovered according to cosmogenic isotopes, the number of sunspots, and also according to modern satellite observations. However, at the same time, it operates for reconstructions recovered using cosmogenic isotopes for the whole series. Thus, the predictability of the series manifests the presence of a nonlinear deterministic component and is one of the criteria of the quality of reconstructions.</t>
  </si>
  <si>
    <t>[Skakun, A. A.; Volobuev, D. M.] Russian Acad Sci, Cent Pulkovo Astron Observ, St Petersburg, Russia; [Skakun, A. A.] Arctic &amp; Antarctic Res Inst, St Petersburg, Russia; [Mordvinov, A. V.] Russian Acad Sci, Siberian Branch, Inst Solar Terr Phys, Irkutsk, Russia</t>
  </si>
  <si>
    <t>Pulkovo Observatory; Russian Academy of Sciences; St. Petersburg Scientific Centre of the Russian Academy of Sciences; Arctic &amp; Antarctic Research Institute; Irkutsk Science Centre of the Russian Academy of Sciences; Russian Academy of Sciences; Institute of Solar-Terrestrial Physics of the Siberian Branch of the Russian Academy of Sciences</t>
  </si>
  <si>
    <t>Skakun, AA (corresponding author), Russian Acad Sci, Cent Pulkovo Astron Observ, St Petersburg, Russia.;Skakun, AA (corresponding author), Arctic &amp; Antarctic Res Inst, St Petersburg, Russia.</t>
  </si>
  <si>
    <t>a_skakun@mail.ru</t>
  </si>
  <si>
    <t>Volobuev, Dmitry/C-2953-2014; Mordvinov, Alexander V/J-3335-2018; Skakun, Aleksandra/AAS-7787-2020</t>
  </si>
  <si>
    <t>Volobuev, Dmitry/0000-0002-5407-3155;</t>
  </si>
  <si>
    <t>Russian Foundation for Basic Research [17-32-50046 mol_nr]</t>
  </si>
  <si>
    <t>The work was supported by the Russian Foundation for Basic Research, project no. 17-32-50046 mol_nr.</t>
  </si>
  <si>
    <t>0016-7932</t>
  </si>
  <si>
    <t>1555-645X</t>
  </si>
  <si>
    <t>GEOMAGN AERONOMY+</t>
  </si>
  <si>
    <t>Geomagn. Aeron.</t>
  </si>
  <si>
    <t>10.1134/S0016793218080157</t>
  </si>
  <si>
    <t>HL2CX</t>
  </si>
  <si>
    <t>WOS:000458511900010</t>
  </si>
  <si>
    <t>Mordvinov, AV; Skakun, AA; Volobuev, DM</t>
  </si>
  <si>
    <t>Mordvinov, A. V.; Skakun, A. A.; Volobuev, D. M.</t>
  </si>
  <si>
    <t>Long-term Changes in Total Solar Irradiance and Their Predictions</t>
  </si>
  <si>
    <t>GRAND MINIMA; CYCLES; RECONSTRUCTION; LUMINOSITY; EXPONENT; PERIOD; FIELD</t>
  </si>
  <si>
    <t>The Total Solar Irradiance (TSI) index of solar activity attracts the attention of a wide scientific audience due to its direct influence on the Earth's climate. A number of reconstructions of inter-decadal TSI variability have been extended back to the early Holocene but these estimates still remain uncertain and depend on the model and proxy data used for the particular reconstruction. Here we compare the accuracy of nonlinear forecasts for different reconstructions, confirmed by the global Hurst exponent and pointwise Holder regularity estimates with the only persistent, regular and predictable reconstruction. The deterministic reconstruction identified predicts a further slow decrease in average TSI level in Cycle 25. We applied the empirical mode decomposition to determine major TSI modes which mainly describe long-term changes in the Sun's radiative output. We found a crucial role of 100- and 200-yr cycles in the occurrence of long-term TSI depressions related to grand minima in the Sun's magnetic activity. A necessary condition for grand minima occurrence is established in terms of the major TSI modes. Based on the relationship, we conclude that a moderate TSI depression is possible in future decades without a grand minimum.</t>
  </si>
  <si>
    <t>[Mordvinov, A. V.] Russian Acad Sci, Siberian Branch, Inst Solar Terr Phys, Irkutsk 664033, Russia; [Skakun, A. A.; Volobuev, D. M.] Russian Acad Sci, Pulkovo Astron Observ, St Petersburg 196140, Russia; [Skakun, A. A.] Arctic &amp; Antarctic Res Inst, St Petersburg 199397, Russia</t>
  </si>
  <si>
    <t>Irkutsk Science Centre of the Russian Academy of Sciences; Russian Academy of Sciences; Institute of Solar-Terrestrial Physics of the Siberian Branch of the Russian Academy of Sciences; Pulkovo Observatory; Russian Academy of Sciences; St. Petersburg Scientific Centre of the Russian Academy of Sciences; Arctic &amp; Antarctic Research Institute</t>
  </si>
  <si>
    <t>Mordvinov, AV (corresponding author), Russian Acad Sci, Siberian Branch, Inst Solar Terr Phys, Irkutsk 664033, Russia.</t>
  </si>
  <si>
    <t>avm@mail.iszf.irk.ru</t>
  </si>
  <si>
    <t>Mordvinov, Alexander V/J-3335-2018; Volobuev, Dmitry/C-2953-2014; Skakun, Aleksandra/AAS-7787-2020</t>
  </si>
  <si>
    <t>Russian Foundation for Basic Research [17-32-50046, 17-02-00016]; Basic Research program II.16</t>
  </si>
  <si>
    <t>Russian Foundation for Basic Research(Russian Foundation for Basic Research (RFBR)Spanish Government); Basic Research program II.16</t>
  </si>
  <si>
    <t>The authors thank F. Steinhilber and his coauthors for making it possible to analyze their TSI reconstruction. We thank Alexander Shapiro and Tatiana Egorova for kindly supporting us with data and details about the Egorova et al. (2018) reconstruction. The work was supported by the Russian Foundation for Basic Research, Projects nos. 17-32-50046 and 17-02-00016, and Basic Research program II.16.</t>
  </si>
  <si>
    <t>10.1134/S0016793218080248</t>
  </si>
  <si>
    <t>WOS:000458511900023</t>
  </si>
  <si>
    <t>Zhuravskiy, DM; Ivanov, BV; Kaschin, SV; Kuprikov, NM</t>
  </si>
  <si>
    <t>Zhuravskiy, D. M.; Ivanov, B. V.; Kaschin, S. V.; Kuprikov, N. M.</t>
  </si>
  <si>
    <t>Remote Evaluation of Albedo Using Photorecording Equipment</t>
  </si>
  <si>
    <t>IZVESTIYA ATMOSPHERIC AND OCEANIC PHYSICS</t>
  </si>
  <si>
    <t>albedo; remote sensing; solar radiation; the exposure meter; photogrammetry</t>
  </si>
  <si>
    <t>We developed and tested the method for determining the surface albedo using photorecording devices and solar radiation equipment. Our method is based on the utilization of commercially available measurement equipment, which allows us to correctly estimate the albedo, reducing the time spent on data collection. The calculated exposure data, parameters of the lens and photorecording devices affecting the exposure, and data on capture parameters are taken into account in the analysis of the collected photographic data to calculate the brightness of the scene. The brightness is normalized to exclude the impact of exposure metering errors. Albedo is represented as a function of the measured total solar radiation and the normalized luminance. The theoretical basics of the developed method and the results of field tests have been considered. We concluded based on the obtained results on the possibility of using the method, its further improvement and its use to collect field data.</t>
  </si>
  <si>
    <t>[Zhuravskiy, D. M.; Ivanov, B. V.; Kaschin, S. V.; Kuprikov, N. M.] Arctic &amp; Antarctic Res Inst, St Petersburg 199397, Russia; [Ivanov, B. V.] St Petersburg State Univ, St Petersburg 199034, Russia</t>
  </si>
  <si>
    <t>Ivanov, BV (corresponding author), Arctic &amp; Antarctic Res Inst, St Petersburg 199397, Russia.;Ivanov, BV (corresponding author), St Petersburg State Univ, St Petersburg 199034, Russia.</t>
  </si>
  <si>
    <t>Kuprikov, Mikhail/AAB-7336-2020; Kuprikov, Nikita/O-6851-2017</t>
  </si>
  <si>
    <t>Kuprikov, Mikhail/0000-0002-5296-7630; Kuprikov, Nikita/0000-0003-3152-0941</t>
  </si>
  <si>
    <t>Russian Foundation for Basic Research [18-05-00471]; AARI project [1.5.6.1]; Russian Antarctic Expedition [63]</t>
  </si>
  <si>
    <t>Russian Foundation for Basic Research(Russian Foundation for Basic Research (RFBR)Spanish Government); AARI project; Russian Antarctic Expedition</t>
  </si>
  <si>
    <t>This work was supported by the Russian Foundation for Basic Research, project no. 18-05-00471, AARI project (no. 1.5.6.1) Studies of climatic characteristics of the Antarctic and the Southern Ocean and Russian Antarctic Expedition no. 63.</t>
  </si>
  <si>
    <t>0001-4338</t>
  </si>
  <si>
    <t>1555-628X</t>
  </si>
  <si>
    <t>IZV ATMOS OCEAN PHY+</t>
  </si>
  <si>
    <t>Izv. Atmos. Ocean. Phys.</t>
  </si>
  <si>
    <t>10.1134/S0001433818090463</t>
  </si>
  <si>
    <t>Meteorology &amp; Atmospheric Sciences; Oceanography</t>
  </si>
  <si>
    <t>HL1FX</t>
  </si>
  <si>
    <t>WOS:000458442000033</t>
  </si>
  <si>
    <t>Lyubaykina, NA; Okhrimenko, IS; Volkov, D; Soloviov, D; Popov, PA; Antonenko, YN; Rokitskaya, TI; Gordeliy, VI; Bueldt, G</t>
  </si>
  <si>
    <t>Lyubaykina, N. A.; Okhrimenko, I. S.; Volkov, D.; Soloviov, D.; Popov, P. A.; Antonenko, Y. N.; Rokitskaya, T., I; Gordeliy, V., I; Bueldt, G.</t>
  </si>
  <si>
    <t>Characterization of rhodopsin from Antarctic UV-resistant bacteria Hymenobacter sp. (LR1)</t>
  </si>
  <si>
    <t>JOURNAL OF BIOENERGETICS AND BIOMEMBRANES</t>
  </si>
  <si>
    <t>International Conference on Biomembranes (BIOMEMBRANES)</t>
  </si>
  <si>
    <t>OCT 01-05, 2018</t>
  </si>
  <si>
    <t>[Lyubaykina, N. A.; Okhrimenko, I. S.; Soloviov, D.; Popov, P. A.; Gordeliy, V., I; Bueldt, G.] Moscow Inst Phys &amp; Technol, Res Ctr Mol Mech Aging &amp; Age Related Dis, Dolgoprudnyi, Russia; [Volkov, D.; Gordeliy, V., I] Res Ctr Juelich, ICS, ICS 6 Struct Biochem, Julich, Germany; [Antonenko, Y. N.; Rokitskaya, T., I] Lomonosov Moscow State Univ, Belozersky Inst Physicochem Biol, Moscow, Russia; [Gordeliy, V., I] Univ Grenoble Alpes, CNRS, Commissariat Energie Atom &amp; Energies Alternat, Inst Biol Struct Jean Pierre Ebel, Grenoble, France</t>
  </si>
  <si>
    <t>Moscow Institute of Physics &amp; Technology; Helmholtz Association; Research Center Julich; Lomonosov Moscow State University; Communaute Universite Grenoble Alpes; Universite Grenoble Alpes (UGA); CEA; Centre National de la Recherche Scientifique (CNRS)</t>
  </si>
  <si>
    <t>natalia.luybaykina@phystech.edu</t>
  </si>
  <si>
    <t>Soloviov, Dmytro/Q-8104-2016; Okhrimenko, Ivan/I-4293-2016; Popov, Petr/H-1496-2018; Gordeliy, Valentin I/J-3636-2013</t>
  </si>
  <si>
    <t>Soloviov, Dmytro/0000-0001-7945-2218; Okhrimenko, Ivan/0000-0002-1053-2778; Popov, Petr/0000-0003-4155-0386;</t>
  </si>
  <si>
    <t>[16-15-00242 RSF]; Russian Science Foundation [16-15-00242] Funding Source: Russian Science Foundation</t>
  </si>
  <si>
    <t>; Russian Science Foundation(Russian Science Foundation (RSF))</t>
  </si>
  <si>
    <t>This work is supported by 16-15-00242 RSF.</t>
  </si>
  <si>
    <t>SPRINGER/PLENUM PUBLISHERS</t>
  </si>
  <si>
    <t>0145-479X</t>
  </si>
  <si>
    <t>1573-6881</t>
  </si>
  <si>
    <t>J BIOENERG BIOMEMBR</t>
  </si>
  <si>
    <t>J. Bioenerg. Biomembr.</t>
  </si>
  <si>
    <t>Biophysics; Cell Biology</t>
  </si>
  <si>
    <t>HK9FF</t>
  </si>
  <si>
    <t>WOS:000458294600187</t>
  </si>
  <si>
    <t>Golovin, PN; Antipov, NN; Klepikov, AV</t>
  </si>
  <si>
    <t>Golovin, P. N.; Antipov, N. N.; Klepikov, A. V.</t>
  </si>
  <si>
    <t>Peculiarities of Dense Water Cascading off the Deep Part of Antarctic Continental Slope (A Case Study for the Commonwealth Sea)</t>
  </si>
  <si>
    <t>RUSSIAN METEOROLOGY AND HYDROLOGY</t>
  </si>
  <si>
    <t>Antarctic continental slope; dense water cascading; deep water cascading; conditional potential density; meander; plume; intrusion; eddy lense</t>
  </si>
  <si>
    <t>The developed approach to the calculation and construction of adequate local and common fields of potential density for the whole continental slope (to 2000 m) allows the representative detailed analysis of the downflow of cold and dense shelfwaters in all parts ofthe slope (cascading) in the Commonwealth Sea including the poorly explored deep part. Most often the slope cascading is manifested in the form of discrete meanders (in the steep part of the slope) or discrete plumes (both in the steep and deep parts). More rarely, it occurs in the form of intrusions and eddies (lenses). The pattern and stability of cascading depend on the slope steepness. The detected local irregularities of bottom topography also affect the cascading: they lead to the instability of density flows, intrusive layering, and eddy formation.</t>
  </si>
  <si>
    <t>[Golovin, P. N.; Antipov, N. N.; Klepikov, A. V.] Arctic &amp; Antarctic Res Inst, Ul Beringa 38, St Petersburg 199397, Russia</t>
  </si>
  <si>
    <t>Golovin, PN (corresponding author), Arctic &amp; Antarctic Res Inst, Ul Beringa 38, St Petersburg 199397, Russia.</t>
  </si>
  <si>
    <t>golovin@aari.ru</t>
  </si>
  <si>
    <t>Russian Foundation for Basic Research [17-05-00037 A]</t>
  </si>
  <si>
    <t>The research was supported by the Russian Foundation for Basic Research (grant 17-05-00037 A).</t>
  </si>
  <si>
    <t>1068-3739</t>
  </si>
  <si>
    <t>1934-8096</t>
  </si>
  <si>
    <t>RUSS METEOROL HYDRO+</t>
  </si>
  <si>
    <t>Russ. Meteorol. Hydrol.</t>
  </si>
  <si>
    <t>10.3103/S1068373918120063</t>
  </si>
  <si>
    <t>HL4KG</t>
  </si>
  <si>
    <t>WOS:000458686300006</t>
  </si>
  <si>
    <t>Beck, PJ</t>
  </si>
  <si>
    <t>Beck, Peter J.</t>
  </si>
  <si>
    <t>Frozen Empires: An Environmental History of the Antarctic Peninsula</t>
  </si>
  <si>
    <t>ENGLISH HISTORICAL REVIEW</t>
  </si>
  <si>
    <t>[Beck, Peter J.] Kingston Univ, London, England</t>
  </si>
  <si>
    <t>Kingston University</t>
  </si>
  <si>
    <t>Beck, PJ (corresponding author), Kingston Univ, London, England.</t>
  </si>
  <si>
    <t>0013-8266</t>
  </si>
  <si>
    <t>1477-4534</t>
  </si>
  <si>
    <t>ENGL HIST REV</t>
  </si>
  <si>
    <t>Engl. Hist. Rev.</t>
  </si>
  <si>
    <t>10.1093/ehr/cey326</t>
  </si>
  <si>
    <t>Social Science Citation Index (SSCI); Arts &amp; Humanities Citation Index (A&amp;HCI)</t>
  </si>
  <si>
    <t>HK0TA</t>
  </si>
  <si>
    <t>WOS:000457613200059</t>
  </si>
  <si>
    <t>Park, I; Lee, J; Cho, J</t>
  </si>
  <si>
    <t>Park, Inkyung; Lee, Jaekoo; Cho, Jaiesoon</t>
  </si>
  <si>
    <t>Production of Extracellular Lipase from the Antarctic Bacterial Isolate Pseudomonas sp. INK1 by Solid State Fermentation of Soybean Meal</t>
  </si>
  <si>
    <t>PHILIPPINE AGRICULTURAL SCIENTIST</t>
  </si>
  <si>
    <t>lipase; Pseudomonas sp.; solid state fermentation; soybean meal</t>
  </si>
  <si>
    <t>INEXPENSIVE SUBSTRATE; ASPERGILLUS-NIGER; ALKALINE LIPASE; SEED CAKE; OPTIMIZATION; PURIFICATION; PROTEASE</t>
  </si>
  <si>
    <t>The production of extracellular lipase from the Antarctic bacterial isolate, Pseudomonas sp. INK1, by solid state fermentation using agricultural residues as substrate was evaluated. Among the substrates tested, soybean meal was most favorable for the lipase production, increasing the enzyme activity 1.7- and 2.5-fold in comparison with wheat bran and corn flour, respectively, and it was chosen for further work. Maximum lipase production (7,553 +/- 235 U/g) was observed at 84 h of fermentation. Lipase production was optimal at moisture content of 71.4%, pH of 6-7, and inoculum size of 6%. The addition of maltose as the carbon source and peptone as the nitrogen source was most effective for enhancing lipase production. This solid state fermentation is meaningful in converting inexpensive agricultural residues into highly valued biotechnological products such as lipase. It may benefit the conventional sector of crop agriculture.</t>
  </si>
  <si>
    <t>[Park, Inkyung; Lee, Jaekoo; Cho, Jaiesoon] Konkuk Univ, Dept Anim Sci &amp; Technol, 120 Neungdong Ro, Seoul 05029, South Korea</t>
  </si>
  <si>
    <t>Konkuk University</t>
  </si>
  <si>
    <t>Cho, J (corresponding author), Konkuk Univ, Dept Anim Sci &amp; Technol, 120 Neungdong Ro, Seoul 05029, South Korea.</t>
  </si>
  <si>
    <t>chojs70@konkuk.ac.kr</t>
  </si>
  <si>
    <t>UNIV PHILIPPINES LOS BANOS</t>
  </si>
  <si>
    <t>LAGUNA</t>
  </si>
  <si>
    <t>COLLEGE AGRICULTURE, LAGUNA 4031, PHILIPPINES</t>
  </si>
  <si>
    <t>0031-7454</t>
  </si>
  <si>
    <t>PHILIPP AGRIC SCI</t>
  </si>
  <si>
    <t>Philipp. Agric. Sci.</t>
  </si>
  <si>
    <t>Agriculture, Multidisciplinary</t>
  </si>
  <si>
    <t>HK6MY</t>
  </si>
  <si>
    <t>WOS:000458096000006</t>
  </si>
  <si>
    <t>Núñez-Montero, K; Barrientos, L</t>
  </si>
  <si>
    <t>Nunez-Montero, Kattia; Barrientos, Leticia</t>
  </si>
  <si>
    <t>Advances in Antarctic Research for Antimicrobial Discovery: A Comprehensive Narrative Review of Bacteria from Antarctic Environments as Potential Sources of Novel Antibiotic Compounds Against Human Pathogens and Microorganisms of Industrial Importance</t>
  </si>
  <si>
    <t>ANTIBIOTICS-BASEL</t>
  </si>
  <si>
    <t>Antarctic ecosystem; novel antibiotics; Antarctic bacteria; multidrug-resistant pathogens; extreme environment; bacterial cold-adaptation</t>
  </si>
  <si>
    <t>KING GEORGE ISLAND; NATURAL-PRODUCTS; PSYCHROTROPHIC BACTERIA; HETEROTROPHIC BACTERIA; ANTIFUNGAL ACTIVITY; MARINE BACTERIUM; ADMIRALTY BAY; SP-NOV; DIVERSITY; SOIL</t>
  </si>
  <si>
    <t>The recent emergence of antibiotic-resistant bacteria has become a critical public health problem. It is also a concern for industries, since multidrug-resistant microorganisms affect the production of many agricultural and food products of economic importance. Therefore, discovering new antibiotics is crucial for controlling pathogens in both clinical and industrial spheres. Most antibiotics have resulted from bioprospecting in natural environments. Today, however, the chances of making novel discoveries of bioactive molecules from various well-known sources have dramatically diminished. Consequently, unexplored and unique environments have become more likely avenues for discovering novel antimicrobial metabolites from bacteria. Due to their extreme polar environment, Antarctic bacteria in particular have been reported as a potential source for new antimicrobial compounds. We conducted a narrative review of the literature about findings relating to the production of antimicrobial compounds by Antarctic bacteria, showing how bacterial adaptation to extreme Antarctic conditions confers the ability to produce these compounds. We highlighted the diversity of antibiotic-producing Antarctic microorganisms, including the phyla Proteobacteria, Actinobacteria, Cyanobacteria, Firmicutes, and Bacteroidetes, which has led to the identification of new antibiotic molecules and supports the belief that research on Antarctic bacterial strains has important potential for biotechnology applications, while providing a better understanding of polar ecosystems.</t>
  </si>
  <si>
    <t>[Nunez-Montero, Kattia; Barrientos, Leticia] Univ La Frontera, Ctr Excelencia Med Traslac, Lab Biol Mol Aplicada, Ave Alemania 0458, Temuco 4810296, Chile; [Nunez-Montero, Kattia; Barrientos, Leticia] Univ La Frontera, Nucleo Cient &amp; Tecnol Biorecursos BIOREN, Ave Francisco Salazar 01145, Temuco 481123, Chile; [Nunez-Montero, Kattia] Inst Tecnol Costa Rica, Escuela Biol, Ctr Invest Biotecnol, Cartago 30101, Costa Rica</t>
  </si>
  <si>
    <t>Universidad de La Frontera; Universidad de La Frontera; Instituto Tecnologico de Costa Rica</t>
  </si>
  <si>
    <t>Barrientos, L (corresponding author), Univ La Frontera, Ctr Excelencia Med Traslac, Lab Biol Mol Aplicada, Ave Alemania 0458, Temuco 4810296, Chile.;Barrientos, L (corresponding author), Univ La Frontera, Nucleo Cient &amp; Tecnol Biorecursos BIOREN, Ave Francisco Salazar 01145, Temuco 481123, Chile.</t>
  </si>
  <si>
    <t>k.nunez03@gmail.com; leticia.barrientos@ufrontera.cl</t>
  </si>
  <si>
    <t>Núñez-Montero, Kattia/AAM-6767-2021; Barrientos, Leticia/R-6205-2017</t>
  </si>
  <si>
    <t>Núñez-Montero, Kattia/0000-0002-8629-5107; Barrientos, Leticia/0000-0002-5344-054X</t>
  </si>
  <si>
    <t>Chilean National Commission for Scientific and Technological Research [CONICYT-PFCHA/Doctorado Nacional/2017-21170263]; Universidad de La Frontera [DI17-0116]; Network for Extreme Environments Research (NEXER) Grant</t>
  </si>
  <si>
    <t>Chilean National Commission for Scientific and Technological Research; Universidad de La Frontera; Network for Extreme Environments Research (NEXER) Grant</t>
  </si>
  <si>
    <t>This research was funded by the Chilean National Commission for Scientific and Technological Research [CONICYT-PFCHA/Doctorado Nacional/2017-21170263 to K.N-M], and by Universidad de La Frontera, Grant DI17-0116 and partially funded by Network for Extreme Environments Research (NEXER) Grant.</t>
  </si>
  <si>
    <t>2079-6382</t>
  </si>
  <si>
    <t>Antibiotics-Basel</t>
  </si>
  <si>
    <t>10.3390/antibiotics7040090</t>
  </si>
  <si>
    <t>Infectious Diseases; Pharmacology &amp; Pharmacy</t>
  </si>
  <si>
    <t>HJ3HW</t>
  </si>
  <si>
    <t>WOS:000457062100006</t>
  </si>
  <si>
    <t>Harry, DL; Anoka, JL; Jha, S</t>
  </si>
  <si>
    <t>Harry, Dennis L.; Anoka, Jourdan L.; Jha, Sumant</t>
  </si>
  <si>
    <t>Geodynamic models of the West Antarctic Rift System: Implications for the mantle thermal state</t>
  </si>
  <si>
    <t>GEOSPHERE</t>
  </si>
  <si>
    <t>MARIE-BYRD-LAND; NORTHERN VICTORIA-LAND; ROSS-SEA-RIFT; TRANSANTARCTIC MOUNTAINS; STRUCTURE BENEATH; MCMURDO SOUND; LITHOSPHERIC MANTLE; CRUSTAL STRUCTURE; NEW-ZEALAND; CONTINENTAL EXTENSION</t>
  </si>
  <si>
    <t>Two-dimensional finite element models simulating extension of the West Antarctic Rift System (WARS) exhibit three classes of behavior, which are dependent upon the pre-rift thermal state of the upper mantle. All of the models begin with relatively cool East Antarctica lithosphere juxtaposed against warmer West Antarctica. The models all undergo an initial period of extension that is broadly distributed across the WARS. Class 1 models continue to extend in this way for more than 80 m.y. before abruptly developing a lithospheric neck at the edge of the model furthest from East Antarctica. The behavior of Class 1 models is dominated by a horizontal temperature gradient caused by juxtaposition of the warm WARS lithosphere against the cooler East Antarctica lithosphere. This produces a corresponding strength gradient, which causes a neck to eventually develop at the warm, weak edge of the model. Class 1 models have relatively high pre-rift temperatures at the base of the crust (&gt;800 degrees C), which inhibits focusing of strain during the first 80 m.y. of extension. In Class 2 models the rift axis develops within the interior of the WARS. Class 2 models differ from Class 1 models in that the net heat production in the crust plays a larger role in determining the temperature at the top of the mantle prior to and during rifting. Necking at the edge of these models is inhibited because crustal thinning leads to cooling and strengthening of the lithosphere at the edge of the model. This causes the locus of extension to shift toward the weaker interior of the WARS. In Class 3 models, the rift axis forms where the pre-rift lithosphere transitions between relatively cool and thick East Antarctica and warmer and thinner West Antarctica. In these models, syn-extensional cooling and strengthening of the lithosphere causes the locus of strain to shift into the transitional region rather than the interior of the WARS. Class 3 models resemble the evolution of the WARS, which underwent a period of broad extension during the Late Cretaceous through late Paleogene Periods and more focused extension near the West Antarctica/East Antarctica boundary during the Neogene Period. All Class 3 models require the mantle potential temperature during the Late Cretaceous through Paleogene phase of broad extension to be no greater than 1270 degrees C, suggesting that an active mantle plume was not present beneath the WARS during the early stages of extension.</t>
  </si>
  <si>
    <t>[Harry, Dennis L.; Jha, Sumant] Colorado State Univ, Dept Geosci, Ft Collins, CO 80523 USA; [Anoka, Jourdan L.] Excel Geophys Serv, 5655 S Yosemite St Suite 470, Greenwood Village, CO 80111 USA</t>
  </si>
  <si>
    <t>Colorado State University</t>
  </si>
  <si>
    <t>Harry, DL (corresponding author), Colorado State Univ, Dept Geosci, Ft Collins, CO 80523 USA.</t>
  </si>
  <si>
    <t>dharry@warnercnr.colostate.edu</t>
  </si>
  <si>
    <t>National Science Foundation [1043700, 1644251, 0342484]</t>
  </si>
  <si>
    <t>This material is based upon work supported by the National Science Foundation under Grant Nos. 1043700 and 1644251 and under Cooperative Agreement No. 0342484 through subawards administered and issued by the ANDRILL (Antarctic Geological Drilling) Science Management Office at the University of Nebraska-Lincoln, as part of the ANDRILL U.S. Science Support Program. We thank two anonymous reviewers whose comments helped to greatly improve this manuscript.</t>
  </si>
  <si>
    <t>GEOLOGICAL SOC AMER, INC</t>
  </si>
  <si>
    <t>BOULDER</t>
  </si>
  <si>
    <t>PO BOX 9140, BOULDER, CO 80301-9140 USA</t>
  </si>
  <si>
    <t>1553-040X</t>
  </si>
  <si>
    <t>Geosphere</t>
  </si>
  <si>
    <t>10.1130/GES01594.1</t>
  </si>
  <si>
    <t>HJ3XG</t>
  </si>
  <si>
    <t>WOS:000457106600007</t>
  </si>
  <si>
    <t>Gamma ray tolerance in an Antarctic black meristematic fungus</t>
  </si>
  <si>
    <t>IMA FUNGUS</t>
  </si>
  <si>
    <t>INT MYCOLOGICAL ASSOC</t>
  </si>
  <si>
    <t>BERKELEY</t>
  </si>
  <si>
    <t>C/O J TAYLOR, DEPT PLANT &amp; MICROBIAL BIOLOGY, BERKELEY, CA 94720 USA</t>
  </si>
  <si>
    <t>2210-6340</t>
  </si>
  <si>
    <t>2210-6359</t>
  </si>
  <si>
    <t>IMA Fungus</t>
  </si>
  <si>
    <t>HJ6PX</t>
  </si>
  <si>
    <t>WOS:000457315600012</t>
  </si>
  <si>
    <t>Su, JW; Mathur, R; Brumm, G; D'Amico, P; Godfrey, L; Ruiz, J; Song, SM</t>
  </si>
  <si>
    <t>Su, Jingwen; Mathur, Ryan; Brumm, Glen; D'Amico, Peter; Godfrey, Linda; Ruiz, Joaquin; Song, Shiming</t>
  </si>
  <si>
    <t>Tracing Copper Migration in the Tongling Area through Copper Isotope Values in Soils and Waters</t>
  </si>
  <si>
    <t>INTERNATIONAL JOURNAL OF ENVIRONMENTAL RESEARCH AND PUBLIC HEALTH</t>
  </si>
  <si>
    <t>copper isotopes; Tongling; copper concentration; mining</t>
  </si>
  <si>
    <t>ZN ISOTOPES; CU; FRACTIONATION; RATIOS; IRON; PORPHYRY; GEOCHEMISTRY; INSIGHTS; DEPOSITS; BEHAVIOR</t>
  </si>
  <si>
    <t>Copper mining in Tongling has occurred since the Bronze Age, and this area is known as one of the first historic places where copper has been, and is currently, extracted. Multiple studies have demonstrated, through concentrated work on soils and waters, the impact of mining in the area. Here we present copper isotope values of 13 ore samples, three tailing samples, 20 water samples (surface and groundwater), and 94 soil samples (15 different profiles ranging in depth from 0-2 m) from proximal to distal (up to 10 km) locations radiating from a tailings dam and tailings pile. Oxidation of the copper sulfide minerals results in isotopically heavier oxidized copper. Thus, copper sourced from sulfide minerals has been used to trace copper in mining and environmental applications. At Tongling, higher copper isotope values (greater than 1 per mil, which are interpreted to be derived from copper sulfide weathering) are found both in waters and the upper portions of soils (5-100 cm) within 1 km of the source tailings. At greater than 1 km, the soils do not possess heavier copper isotope values; however, the stream water samples that have low copper concentrations have heavier values up to 6.5 km from the source. The data suggest that copper derived from the mining activities remains relatively proximal in the soils but can be traced in the waters at greater distances.</t>
  </si>
  <si>
    <t>[Su, Jingwen; Song, Shiming] Nanjing Ctr, Chinese Geol Survey, Nanjing 210016, Jiangsu, Peoples R China; [Mathur, Ryan; Brumm, Glen; D'Amico, Peter] Juniata Coll, Geol Dept, Huntingdon, PA 16652 USA; [Godfrey, Linda] Rutgers State Univ, Dept Earth &amp; Planetary Sci, New Brunswick, NJ 08854 USA; [Ruiz, Joaquin] Univ Arizona, Dept Geosci, Tucson, AZ 85721 USA</t>
  </si>
  <si>
    <t>Rutgers University System; Rutgers University New Brunswick; University of Arizona</t>
  </si>
  <si>
    <t>Mathur, R (corresponding author), Juniata Coll, Geol Dept, Huntingdon, PA 16652 USA.</t>
  </si>
  <si>
    <t>jwsu@sina.com; mathurr@juniata.edu; brummgx15@juniata.edu; DAMICPA16@juniata.edu; linda.v.godfrey@gmail.com; jruiz@geo.arizona.edu; njumao@163.com</t>
  </si>
  <si>
    <t>China Geological Survey Projects: 1:50,000 scale environmental geological survey of Anqing-Ma'an'shan section of Economic Belt along Yangtze River in Anhui Province [DD20160247]; National Natural Science Fund of China: Characteristics of biomarkers in Antarctic Lake sediment and Its Response to the ancient environment [41206187]</t>
  </si>
  <si>
    <t>China Geological Survey Projects: 1:50,000 scale environmental geological survey of Anqing-Ma'an'shan section of Economic Belt along Yangtze River in Anhui Province; National Natural Science Fund of China: Characteristics of biomarkers in Antarctic Lake sediment and Its Response to the ancient environment</t>
  </si>
  <si>
    <t>We would like to thank the following funding agencies for supporting this work: China Geological Survey Projects: 1:50,000 scale environmental geological survey of Anqing-Ma'an'shan section of Economic Belt along Yangtze River in Anhui Province (No. DD20160247) and The National Natural Science Fund of China: Characteristics of biomarkers in Antarctic Lake sediment and Its Response to the ancient environment (No. 41206187).</t>
  </si>
  <si>
    <t>1660-4601</t>
  </si>
  <si>
    <t>INT J ENV RES PUB HE</t>
  </si>
  <si>
    <t>Int. J. Environ. Res. Public Health</t>
  </si>
  <si>
    <t>10.3390/ijerph15122661</t>
  </si>
  <si>
    <t>HI5XH</t>
  </si>
  <si>
    <t>WOS:000456527000052</t>
  </si>
  <si>
    <t>Gao, B; He, L; Wei, DZ; Zhang, LJ</t>
  </si>
  <si>
    <t>Gao, Bei; He, Lei; Wei, Dongzhi; Zhang, Lujia</t>
  </si>
  <si>
    <t>Identification and magnetic immobilization of a pyrophilous aspartic protease from Antarctic psychrophilic fungus</t>
  </si>
  <si>
    <t>JOURNAL OF FOOD BIOCHEMISTRY</t>
  </si>
  <si>
    <t>aspartic protease; bond specificity; cheese-making; magnetic immobilization</t>
  </si>
  <si>
    <t>ALPHA-AMYLASE; FUNCTIONAL EXPRESSION; ACID PROTEASE; CLONING; PURIFICATION; PROTEINASE; GENE</t>
  </si>
  <si>
    <t>Aspartic protease is a versatile protease used in the food processing industry. A novel aspartic protease gene (P10) was cloned from an Antarctic psychrophilic fungus Geomyces pannorum and successfully expressed in Aspergillus oryzae when cultured at 20 degrees C. However, purified P10 exhibited optimal activity at 60 degrees C and retained approximately 80% activity at 50-70 degrees C. The Km and Vmax values for this protease toward BSA were 1.01 mg/ml and 4.4 x 10-2 mg/(ml min), respectively, with a specific activity of 585 U/mg. P10 showed broad substrate specificity, with an increased affinity for hydrolyzing kappa-casein than for alpha-casein and beta-casein, indicating a potential value for cheese-making. P10 also presented wide peptide bond specificity toward the oxidized insulin B chain with high affinity for the C-terminus. Furthermore, P10 was immobilized on iron oxide nanoparticles, wherein it displayed improved thermo-stability and pH tolerance. These results provide novel insights into psychrophilic fungal enzymes, suggesting P10 as a potential biocatalyst.</t>
  </si>
  <si>
    <t>[Gao, Bei; He, Lei; Wei, Dongzhi] East China Univ Sci &amp; Technol, New World Inst Biotechnol, State Key Lab Bioreactor Engn, Shanghai, Peoples R China; [Zhang, Lujia] East China Normal Univ, Sch Mol Engn, Dept Chem, Shanghai Engn Res Ctr Mol Therapeut &amp; New Drug De, 500 Dongchuan Rd, Shanghai 200062, Peoples R China; [Zhang, Lujia] NYU Shanghai, NYU ECNU Ctr Computat Chem, Shanghai, Peoples R China</t>
  </si>
  <si>
    <t>East China University of Science &amp; Technology; East China Normal University; NYU Shanghai</t>
  </si>
  <si>
    <t>Zhang, LJ (corresponding author), East China Normal Univ, Sch Mol Engn, Dept Chem, Shanghai Engn Res Ctr Mol Therapeut &amp; New Drug De, 500 Dongchuan Rd, Shanghai 200062, Peoples R China.</t>
  </si>
  <si>
    <t>ljzhang@chem.ecnu.edu.cn</t>
  </si>
  <si>
    <t>Wei, Dongzhi/AAJ-3404-2021; Zhang, Lujia/ABI-3724-2020</t>
  </si>
  <si>
    <t>Zhang, Lujia/0000-0003-3566-917X</t>
  </si>
  <si>
    <t>National Key Research Program of China [2016YFA0501701]; National Natural Foundation of China [31772007, 31571786]; Natural Science Foundation of Shanghai [16ZR1449500]; Innovation Program of Shanghai Municipal Education Commission [201701070005E00020]</t>
  </si>
  <si>
    <t>National Key Research Program of China; National Natural Foundation of China(National Natural Science Foundation of China (NSFC)); Natural Science Foundation of Shanghai(Natural Science Foundation of Shanghai); Innovation Program of Shanghai Municipal Education Commission(Innovation Program of Shanghai Municipal Education Commission)</t>
  </si>
  <si>
    <t>This work was funded by the National Key Research Program of China (No. 2016YFA0501701), National Natural Foundation of China (No. 31772007, and No. 31571786), and Natural Science Foundation of Shanghai (No. 16ZR1449500), Innovation Program of Shanghai Municipal Education Commission; Grant number: 201701070005E00020. We are grateful to Institute of Ocean and Earth Sciences, University of Malaya for offering the strain, Geomyces pannorum.</t>
  </si>
  <si>
    <t>0145-8884</t>
  </si>
  <si>
    <t>1745-4514</t>
  </si>
  <si>
    <t>J FOOD BIOCHEM</t>
  </si>
  <si>
    <t>J. Food Biochem.</t>
  </si>
  <si>
    <t>e12691</t>
  </si>
  <si>
    <t>10.1111/jfbc.12691</t>
  </si>
  <si>
    <t>Biochemistry &amp; Molecular Biology; Food Science &amp; Technology</t>
  </si>
  <si>
    <t>HJ1RP</t>
  </si>
  <si>
    <t>WOS:000456942100053</t>
  </si>
  <si>
    <t>Canuto, VM; Cheng, Y; Howard, AM</t>
  </si>
  <si>
    <t>Canuto, V. M.; Cheng, Y.; Howard, A. M.</t>
  </si>
  <si>
    <t>Subduction by Submesoscales</t>
  </si>
  <si>
    <t>subduction; obduction; submesoscales; ACC</t>
  </si>
  <si>
    <t>MIXED-LAYER; PART I; OCEAN; MESOSCALE; PARAMETERIZATION; EDDIES; MODEL; IMPACT; EQUATION; PHYSICS</t>
  </si>
  <si>
    <t>Several studies have demonstrated the relevance of submesoscales (SM) to the production of phytoplankton and the ocean absorption of anthropogenic CO2. One variable that thus far has not been fully quantified is the SM-induced rates of subduction and obduction at the bottom of the mixed layer. In this work, we use an SM parameterization that had been previously assessed to estimate the rates of subduction-obduction using a coarse resolution stand-alone ocean code to compute the large-scale fields. To separate the contributions of baroclinic instabilities from those due to wind stress, we derive an analytic expression for the SM subduction-obduction rates. Since there are no numerical simulations and/or measurements to assess the results, we compare them to subduction rates due to mesoscales for which an eddy-permitting southern ocean state estimate is available. An interesting result is that in the Antarctic Circumpolar Current the maximum SM subduction rates are not significantly smaller than those due to mesoscales, but the SM subduction rates exhibit a topology opposite to that of mesoscales: obduction is equatorward and subduction is poleward. Sensitivity studies are presented to explore the dependence of the results on the depth of the SM vertical extent and the SM kinetic energy. On the basis of these results, it is suggested that the SM-induced subduction should not be neglected because topology and magnitude indicate that mesoscales and submesoscales may add to or subtract from one another. Plain Language Summary The ocean contains much more heat and carbon dioxide than the atmosphere, but in most places the transfer, called subduction, is slow between the large volume of the deep ocean, where almost all is stored and the much smaller volume near the surface that exchanges with the atmosphere. North of Antarctica is a region where ocean current circles the globe, known as the Antarctic Circumpolar Current (ACC). There subduction is faster and much is done by very large ocean eddies similar to 10-100km in size called mesoscales and somewhat smaller ones similar to 1-10km called submesoscales. Because it links the ocean reservoir with the atmosphere, subduction by ACC eddies plays an important role in climate. Estimates had previously been made of mesoscale, but not submesoscale, subduction. Using a physical model of submesoscales, taking into account their energy and how wind stress drives them, we have derived expressions for the submesoscale subduction in terms of the density and velocity obtained from a large-scale ocean simulation suitable for climate studies. Our result is that the rate of ACC submesoscale subduction is comparable to that of mesoscales but the pattern is roughly opposite, so it is important to include both.</t>
  </si>
  <si>
    <t>[Canuto, V. M.; Cheng, Y.; Howard, A. M.] NASA, Goddard Inst Space Studies, New York, NY 10025 USA; [Canuto, V. M.] Columbia Univ, Dept Appl Phys &amp; Appl Math, New York, NY 10027 USA; [Cheng, Y.] Columbia Univ, Ctr Climate Syst Res, New York, NY USA; [Howard, A. M.] CUNY, Medgar Evers Coll, Dept Phys &amp; Comp Sci, New York, NY 10021 USA</t>
  </si>
  <si>
    <t>National Aeronautics &amp; Space Administration (NASA); NASA Goddard Space Flight Center; Goddard Institute for Space Studies; Columbia University; Columbia University; City University of New York (CUNY) System; Medgar Evers College</t>
  </si>
  <si>
    <t>Canuto, VM (corresponding author), NASA, Goddard Inst Space Studies, New York, NY 10025 USA.;Canuto, VM (corresponding author), Columbia Univ, Dept Appl Phys &amp; Appl Math, New York, NY 10027 USA.</t>
  </si>
  <si>
    <t>vmcanuto@gmail.com</t>
  </si>
  <si>
    <t>Howard, Armando/0000-0001-6310-6070; Cheng, Ye/0000-0002-0372-9214</t>
  </si>
  <si>
    <t>10.1029/2018JC014142</t>
  </si>
  <si>
    <t>HI4FG</t>
  </si>
  <si>
    <t>WOS:000456405900002</t>
  </si>
  <si>
    <t>de Boer, AM; Pascual-Ahuir, EG; Stevens, DP; Chafik, L; Hutchinson, DK; Zhang, Q; Sime, LC; Willmott, AJ</t>
  </si>
  <si>
    <t>de Boer, Agatha M.; Pascual-Ahuir, Estanislao Gavilan; Stevens, David P.; Chafik, Leon; Hutchinson, David K.; Zhang, Qiong; Sime, Louise C.; Willmott, Andrew J.</t>
  </si>
  <si>
    <t>Interconnectivity Between Volume Transports Through Arctic Straits</t>
  </si>
  <si>
    <t>Arctic; ocean circulation; climate modes; strait transports; winds; sea level height</t>
  </si>
  <si>
    <t>DYNAMIC SEA-LEVEL; BERING STRAIT; FRESH-WATER; DAVIS STRAIT; ICE DECLINE; CIRCULATION; PACIFIC; MODEL; FLOW; OSCILLATION</t>
  </si>
  <si>
    <t>Arctic heat and freshwater budgets are highly sensitive to volume transports through the Arctic-Subarctic straits. Here we study the interconnectivity of volume transports through Arctic straits in three models; two coupled global climate models, one with a third-degree horizontal ocean resolution (High Resolution Global Environmental Model version 1.1 [HiGEM1.1]) and one with a twelfth-degree horizontal ocean resolution (Hadley Centre Global Environment Model 3 [HadGEM3]), and one ocean-only model with an idealized polar basin (tenth-degree horizontal resolution). The two global climate models indicate that there is a strong anticorrelation between the Bering Strait throughflow and the transport through the Nordic Seas, a second strong anticorrelation between the transport through the Canadian Arctic Archipelago and the Nordic Seas transport, and a third strong anticorrelation is found between the Fram Strait and the Barents Sea throughflows. We find that part of the strait correlations is due to the strait transports being coincidentally driven by large-scale atmospheric forcing patterns. However, there is also a role for fast wave adjustments of some straits flows to perturbations in other straits since atmospheric forcing of individual strait flows alone cannot lead to near mass balance fortuitously every year. Idealized experiments with an ocean model (Nucleus for European Modelling of the Ocean version 3.6) that investigate such causal strait relations suggest that perturbations in the Bering Strait are compensated preferentially in the Fram Strait due to the narrowness of the western Arctic shelf and the deeper depth of the Fram Strait. Plain Language Summary The Arctic is one of the most fragile places on the Earth, facing double the rate of warming as the rest of the globe. This warming is partly due to melting of sea ice because open water reflects less sunlight than ice. One of the major controls on Arctic sea ice concentration is the heat flowing into the Arctic through its straits. However, due to the harsh conditions in the Arctic, there are limited long-term observations of the currents flowing through these straits. Here we turn to climate models to investigate these Arctic straits flows and in particular focus on how flows into and out of the Arctic balance each other. We find that in some instances specific pairs of strait flows are simultaneously affected by large-scale atmospheric. In other instances, the inflow through one strait flows out through another distant strait because of the way the ocean floor guides the currents. Traditionally, the flows through Arctic straits are studied in relation to local forces such as wind and sea level. Our work suggests value in a more holistic approach; one that also accounts for flow changes in a strait as a response to flow changes in other straits.</t>
  </si>
  <si>
    <t>[de Boer, Agatha M.; Hutchinson, David K.] Stockholm Univ, Dept Geol Sci, Stockholm, Sweden; [de Boer, Agatha M.; Chafik, Leon; Zhang, Qiong] Stockholm Univ, Bolin Ctr Climate Res, Stockholm, Sweden; [Pascual-Ahuir, Estanislao Gavilan] Newcastle Univ, Sch Nat &amp; Environm Sci, Newcastle Upon Tyne, Tyne &amp; Wear, England; [Stevens, David P.] Univ East Anglia, Sch Math, Ctr Ocean &amp; Atmospher Sci, Norwich, Norfolk, England; [Chafik, Leon] Stockholm Univ, Dept Meteorol, Stockholm, Sweden; [Zhang, Qiong] Stockholm Univ, Dept Phys Geog, Stockholm, Sweden; [Sime, Louise C.] British Antarctic Survey, Cambridge, England; [Willmott, Andrew J.] Newcastle Univ, Sch Math Stat &amp; Phys, Newcastle Upon Tyne, Tyne &amp; Wear, England</t>
  </si>
  <si>
    <t>Stockholm University; Newcastle University - UK; University of East Anglia; Stockholm University; Stockholm University; UK Research &amp; Innovation (UKRI); Natural Environment Research Council (NERC); NERC British Antarctic Survey; Newcastle University - UK</t>
  </si>
  <si>
    <t>de Boer, AM (corresponding author), Stockholm Univ, Dept Geol Sci, Stockholm, Sweden.;de Boer, AM (corresponding author), Stockholm Univ, Bolin Ctr Climate Res, Stockholm, Sweden.</t>
  </si>
  <si>
    <t>agatha.deboer@geo.su.se</t>
  </si>
  <si>
    <t>Hutchinson, David/F-4564-2016; De Boer, Agatha M/H-4202-2012; Chafik, Léon/GZK-6599-2022; Sime, Louise/AAX-7730-2021; Stevens, David/F-2509-2010</t>
  </si>
  <si>
    <t>Hutchinson, David/0000-0001-9385-4782; Sime, Louise/0000-0002-9093-7926; De Boer, Agatha/0000-0002-3943-7694; Stevens, David/0000-0002-7283-4405; Chafik, Leon/0000-0002-5538-545X</t>
  </si>
  <si>
    <t>NERC; Foreign and Commonwealth Office Global Opportunities Fund; DECC/Defra Met Office Hadley Centre Climate Programme; NERC ACSIS program [NE/N018044/1]; Swedish Research Council project [2016-03912]; Swedish Research Council for the Swedish-French project GIWA; NERC [NE/M006069/1]; Swedish National Space Board (SNSB) [133/17]; NERC [NE/P009271/1, NE/M006069/1, NE/J004804/1, bas0100034] Funding Source: UKRI; Swedish Research Council [2016-03912] Funding Source: Swedish Research Council</t>
  </si>
  <si>
    <t>NERC(UK Research &amp; Innovation (UKRI)Natural Environment Research Council (NERC)); Foreign and Commonwealth Office Global Opportunities Fund; DECC/Defra Met Office Hadley Centre Climate Programme; NERC ACSIS program; Swedish Research Council project(Swedish Research Council); Swedish Research Council for the Swedish-French project GIWA(Swedish Research Council); NERC(UK Research &amp; Innovation (UKRI)Natural Environment Research Council (NERC)); Swedish National Space Board (SNSB); NERC(UK Research &amp; Innovation (UKRI)Natural Environment Research Council (NERC)); Swedish Research Council(Swedish Research Council)</t>
  </si>
  <si>
    <t>HiGEM1.1 was developed from the Met Office Hadley Centre Model by the UK High-Resolution Modelling Project and the UK Japan Climate Collaboration (UJCC) and was supported by NERC, the Foreign and Commonwealth Office Global Opportunities Fund, and the DECC/Defra Met Office Hadley Centre Climate Programme. The model integrations were performed using the Japanese Earth Simulator supercomputer, supported by JAMSTEC. The work of Pier Luigi Vidale and Malcolm Roberts in leading the effort in Japan is particularly valued. HadGEM3 was developed by the UK Met Office, and the high-resolution integration was undertaken by Andrew Coward as part of the NERC ACSIS program (NE/N018044/1). This work used the ARCHER UK National Supercomputing Service. Model analysis was carried out on resources provided by the Swedish National Infrastructure for Computing (SNIC) at the National Supercomputer Centre (NSC). De Boer gratefully acknowledges support from the Swedish Research Council project (2016-03912). Zhang was supported through the Swedish Research Council for the Swedish-French project GIWA. Stevens gratefully acknowledges funding from NERC [NE/M006069/1]. Chafik acknowledges support from the Swedish National Space Board (SNSB; Dnr 133/17). All modeling output used to produce the figures in this paper are available at https://bolin.su.se/data/DeBoer-2018. We gratefully acknowledge provision of the transport measurements. The data can be obtained as follows. The Bering Strait data are stored at http://psc.apl.washington.edu/HLD/Bstrait/bstrait.html, the Fram Strait transports are at https://doi.org/10.1594/PANGAEA.150016, the Davis Strait data are available from Beth Curry (beth4-cu@uw.edu), and the Barents Sea Opening transports are available from Randi Ingvaldsen (randi.ingvaldsen@hi.no).</t>
  </si>
  <si>
    <t>10.1029/2018JC014320</t>
  </si>
  <si>
    <t>Green Accepted, hybrid, Green Published</t>
  </si>
  <si>
    <t>WOS:000456405900004</t>
  </si>
  <si>
    <t>Crawford, AJ; Mueller, D; Desjardins, L; Myers, PG</t>
  </si>
  <si>
    <t>Crawford, Anna J.; Mueller, Derek; Desjardins, Luc; Myers, Paul G.</t>
  </si>
  <si>
    <t>The Aftermath of Petermann Glacier Calving Events (2008-2012): Ice Island Size Distributions and Meltwater Dispersal</t>
  </si>
  <si>
    <t>ice islands; icebergs; freshwater flux; Petermann Glacier; ice hazards; calving</t>
  </si>
  <si>
    <t>ANTARCTIC ICEBERG DISTRIBUTION; FRESH-WATER; SEA-ICE; NORTH GREENLAND; OCEAN; MELT; GLETSCHER; IMPACT; SHELF; CLIMATOLOGY</t>
  </si>
  <si>
    <t>Three large calving events occurred at Petermann Glacier in northwest Greenland between 2008 and 2012 that generated ice islands (large tabular icebergs) that ranged from similar to 30 to 300km(2) in areal extent. Ice islands are known to deteriorate, via fracture and melt, during their drift through regional water bodies where they pose a potential risk to offshore resource extraction operations and disperse freshwater from the Greenland Ice Sheet. This study presents the first analysis of the deterioration occurring across the flux of ice islands that travel between Nares Strait and the North Atlantic after Petermann Glacier calving events. The evolution of Petermann ice island size distributions was evaluated, and the spatial dispersal of meltwater was quantified, through analyses that utilized the newly developed Canadian Ice Island Drift, Deterioration and Detection Database. Size-frequency distributions remained relatively consistent, both spatially and temporally, and were well fit by power law models with slopes of approximately -1.7. This suggested that fracture was an important process by which the Petermann ice islands deteriorated, regardless of elapsed time or distance from the glacier. Ice island meltwater fluxes into the Baffin Island and Labrador currents were not large enough to slow down the Atlantic Meridional Overturning Circulation by weakening deep-water convection in the Labrador Sea. However, augmented meltwater input was calculated within Petermann Fjord (2.0mSv) and in the vicinity of grounding locations (0.4mSv). Further research is necessary to better understand how this freshwater alters fjord circulation and influences the composition of local ocean waters. Plain Language Summary Three large tabular icebergs (ice islands) broke away from Petermann Glacier, northwest Greenland, between 2008 and 2012. We use the Canadian Ice Island Drift, Deterioration and Detection Database to investigate the ice island size distributions as well as how meltwater, generated through their drift and deterioration, is dispersed through water bodies such as Baffin Bay and the Labrador Sea. The size-frequency distributions were best fit by power law models, which suggests that fracture was an important process by which the Petermann ice islands deteriorated. While augmented meltwater input was calculated within Petermann Fjord and at grounding locations, ice island meltwater fluxes were not large enough to slow down the Atlantic Meridional Overturning Circulation. Our results contribute to the two dominant themes of ice island research: their role in the dispersal of freshwater from the major Arctic and Antarctic ice sheets and the risk that they pose to shipping and offshore resource extraction operations.</t>
  </si>
  <si>
    <t>[Crawford, Anna J.; Mueller, Derek; Desjardins, Luc] Carleton Univ, Dept Geog &amp; Environm Studies, Water &amp; Ice Res Lab, Ottawa, ON, Canada; [Desjardins, Luc] Environm &amp; Climate Change Canada, Canadian Ice Serv, Ottawa, ON, Canada; [Myers, Paul G.] Univ Alberta, Dept Earth &amp; Atmospher Sci, Edmonton, AB, Canada</t>
  </si>
  <si>
    <t>Carleton University; Environment &amp; Climate Change Canada; Meteorological Service of Canada; Canadian Ice Service; University of Alberta</t>
  </si>
  <si>
    <t>Crawford, AJ (corresponding author), Carleton Univ, Dept Geog &amp; Environm Studies, Water &amp; Ice Res Lab, Ottawa, ON, Canada.</t>
  </si>
  <si>
    <t>anna.crawford@carleton.ca</t>
  </si>
  <si>
    <t>Mueller, Derek/0000-0003-1974-319X</t>
  </si>
  <si>
    <t>Environment and Climate Change Canada; Polar Knowledge Canada; Canada Foundation for Innovation; Ontario Research Fund; Canadian Program for the International Polar Year within the Canadian Arctic Through-flow project [2006-SR1-CC-135]; Natural Sciences and Engineering Research Council (NSERC) of Canada [227438-09]; Climate Change and Atmospheric Research Grants [VITALS-RGPCC 5 433898]; Climate Change and Atmospheric Research (Canadian Arctic Geotraces program) [RGPCC 433848]; A. Crawford through the W. Garfield Weston Foundation; NSERC</t>
  </si>
  <si>
    <t>Environment and Climate Change Canada; Polar Knowledge Canada; Canada Foundation for Innovation(Canada Foundation for InnovationCGIARSpanish Government); Ontario Research Fund; Canadian Program for the International Polar Year within the Canadian Arctic Through-flow project; Natural Sciences and Engineering Research Council (NSERC) of Canada(Natural Sciences and Engineering Research Council of Canada (NSERC)); Climate Change and Atmospheric Research Grants; Climate Change and Atmospheric Research (Canadian Arctic Geotraces program); A. Crawford through the W. Garfield Weston Foundation; NSERC(Natural Sciences and Engineering Research Council of Canada (NSERC))</t>
  </si>
  <si>
    <t>We greatly appreciate all of the individuals who were involved in the creation of the CI2D3 Database. The CI2D3 Database is publically available under record number 12678 in the Polar Data Catalogue (https://www.polardata.ca/pdcsearch/PDCSearch.jsp?doi_id=12678) and is fully documented in Crawford, Desjardins, et al. (2018). The project received funding from Environment and Climate Change Canada and Polar Knowledge Canada, both within the Government of Canada, as well as funding for computing resources by the Canada Foundation for Innovation and the Ontario Research Fund. SAR scenes used to generate the CI2D3 Database were acquired from the Canadian Ice Service (Environment and Climate Change Canada) archive. We thank Doug King and Gregory Crocker (Geography and Environmental Studies, Carleton University), Shawn Kenny (Department of Civil and Environmental Engineering, Carleton University), and Douglas MacAyeal (Department of Geophysical Sciences, University of Chicago) for their reviews of the manuscript. Data from ice-profiling sonar in Kennedy Channel (e.g., ice island thickness) were collected with support from the Canadian Program for the International Polar Year within the Canadian Arctic Through-flow project (2006-SR1-CC-135). These data are available from archives maintained by Fisheries and Oceans Canada at the Institute of Ocean Sciences, Sidney, BC: Project name-Canadian Arctic Through-flow Study. Lead scientist-Dr. Humfrey Melling(humfrey.melling@dfo-mpo.gc.ca).Data from ice island modeling analyses are available from archives maintained by Environment and Climate Change Canada at the Canadian Ice Service, Ottawa, ON. Lead scientist-Hai Tran(hai.tran@canada.ca).The numerical modeling using NEMO was funded by Natural Sciences and Engineering Research Council (NSERC) of Canada to Paul G. Myers, including a Discovery Grant (rgpin 227438-09) and Climate Change and Atmospheric Research Grants (VITALS-RGPCC 5 433898 and the Canadian Arctic Geotraces program-RGPCC 433848). The experiment was run on Jasper, a Compute Canada computational cluster, and the model output is held at a repository at the University of Alberta, Edmonton, AB. Lead scientist-Paul Myers (pmyers@ualberta.ca). Visit http://knossos.eas.ualberta.ca/anha/anhatable.html to access the model output. We also thank G. Smith for the CGRF forcing fields that were made available by Environment and Climate Change Canada. Personal academic funding was provided to A. Crawford through the W. Garfield Weston Foundation and NSERC.</t>
  </si>
  <si>
    <t>10.1029/2018JC014388</t>
  </si>
  <si>
    <t>WOS:000456405900009</t>
  </si>
  <si>
    <t>Arndt, S; Paul, S</t>
  </si>
  <si>
    <t>Arndt, Stefanie; Paul, Stephan</t>
  </si>
  <si>
    <t>Variability of Winter Snow Properties on Different Spatial Scales in the Weddell Sea</t>
  </si>
  <si>
    <t>sea ice; snow; snow metamorphism; snow stratigraphy; seasonal processes</t>
  </si>
  <si>
    <t>EARLY-SUMMER; FREEBOARD RETRIEVAL; ICE; COVER; DEPTH; THICKNESS; IMPACT; CONDUCTIVITY; TRANSMISSION; PATTERNS</t>
  </si>
  <si>
    <t>The snow cover on Antarctic sea ice persists during most of the year, contributing significantly to the sea ice mass budget due to comprehensive seasonal transition processes within the snowpack as well as at the snow/ice interface. Consequently, snow on sea ice varies not only in depth but also in particular in its physical characteristics such as snow density and stratigraphy. In order to quantify the heterogeneous nature of the Antarctic snowpack on different spatial scales, that is, small (&lt;10m), floe-size (1-2km), and regional (seasonal/perennial ice) scales, we present here a case study of snow analyses in the Weddell Sea in austral winter 2013. The resulting high variability of snow parameters in the basal snow layer reveals the need to distinguish between seasonal and perennial ice regimes, when retrieving, for example, snow depth using satellite microwave radiometry. Considering the full vertical snow column, a more detailed distinction of the perennial sea ice regime into, for example, more ice classes is suggested in order to represent the high variability range. For the internal snowpack variability, however, we identify the grain size variability as the main driver, while snow density variations can be neglected. Moving from regional to floe-size scales, a similar variability range of the studied snow properties is found, suggesting that a large number of snow samples on a few floes is more crucial than covering a large region with fewer floe-scale measurements. The spatiotemporally heterogeneous variability in snow accumulation, redistribution, and metamorphism is, however, too large to upscale the given findings beyond regional scale. Plain Language Summary Snow on sea ice alters the properties of the underlying ice cover as well as associated exchange processes at the interfaces between atmosphere, sea ice, and ocean due to its highly insulative and reflective properties. The snow cover on Antarctic sea ice generally persists throughout the year but undergoes substantial seasonal changes in its internal snowpack properties, as, for example, snow density, grain size, and grain shape. However, the spatial variability of these properties is poorly understood, yet this knowledge is crucial for sea ice mass budget calculations as well as the analysis of satellite remote sensing data. In this case study, we present a comprehensive snow data set covering different spatial scales. Thus, snow was sampled on seasonal and perennial sea ice floes across the Weddell Sea, while one floe was more frequently sampled, respectively. An additional 10-m transect allows to conclude also on small-scale variability. Revealed scale-dependent snow property variability is discussed in the context of assumptions in energy and mass budget calculations as well as in recent retrievals of, for example, sea ice thickness, from satellite remote sensing observations in the ice-covered Southern Ocean.</t>
  </si>
  <si>
    <t>[Arndt, Stefanie; Paul, Stephan] Helmholtz Zentrum Polar &amp; Meeresforsch, Alfred Wegener Inst, Bremerhaven, Germany; [Paul, Stephan] Ludwig Maximilians Univ Munchen, Dept Geog, Munich, Germany</t>
  </si>
  <si>
    <t>Helmholtz Association; Alfred Wegener Institute, Helmholtz Centre for Polar &amp; Marine Research; University of Munich</t>
  </si>
  <si>
    <t>Arndt, S (corresponding author), Helmholtz Zentrum Polar &amp; Meeresforsch, Alfred Wegener Inst, Bremerhaven, Germany.</t>
  </si>
  <si>
    <t>stefanie.arndt@awi.de</t>
  </si>
  <si>
    <t>Arndt, Stefanie/AAA-6178-2021; Paul, Stephan/I-5918-2019</t>
  </si>
  <si>
    <t>Arndt, Stefanie/0000-0001-9782-3844; Paul, Stephan/0000-0002-5136-714X</t>
  </si>
  <si>
    <t>R/V Polarstern [ANT-29/6]; German Research Council (DFG) [SPP1158, NI1096/5-1, KA2694/7-1, HE2740/12, NI1092/2]; Alfred-Wegener-Institut Helmholtz-Zentrum fur Polar-und Meeresforschung; University of Trier</t>
  </si>
  <si>
    <t>R/V Polarstern; German Research Council (DFG)(German Research Foundation (DFG)); Alfred-Wegener-Institut Helmholtz-Zentrum fur Polar-und Meeresforschung; University of Trier</t>
  </si>
  <si>
    <t>We gratefully acknowledge the support of the cruise leader Peter Lemke, all involved scientists, and the captain and crew of R/V Polarstern during expedition ANT-29/6 (AWECS). Especially, we thank the interdisciplinary sea ice group on board, including Stefan Hendricks and Priska Hunkeler, for the provided GEM-2 sea ice thickness data and Seth White for the provided Magna Probe snow depth data. This work was supported by the German Research Council (DFG) in the framework of the priority program Antarctic Research with comparative investigations in Arctic ice areas (SPP1158) by grants to projects Snow Cover impacts on Antarctic Sea Ice (SCASI) (NI1096/5-1 and KA2694/7-1) and Sea Ice Mass Balance influenced by Ice Shelves (SIMBIS) (HE2740/12 and NI1092/2), the Alfred-Wegener-Institut Helmholtz-Zentrum fur Polar-und Meeresforschung, and the University of Trier. All presented snow data are available at PANGAEA (snow temperature: https://doi.pangaea.de/10.1594/PANGAEA.881716, snow density: https://doi.pangaea.de/10.1594/PANGAEA.881717, and snow stratigraphy: https://doi.pangaea.de/10.1594/PANGAEA.881713).</t>
  </si>
  <si>
    <t>10.1029/2018JC014447</t>
  </si>
  <si>
    <t>WOS:000456405900012</t>
  </si>
  <si>
    <t>Jampana, V; Ravichandran, M; Sengupta, D; D'Asaro, EA; Rahaman, H; Joseph, S; Sreelekha, J; Chaudhuri, D</t>
  </si>
  <si>
    <t>Jampana, Venkata; Ravichandran, M.; Sengupta, Debasis; D'Asaro, E. A.; Rahaman, Hasibur; Joseph, Sudheer; Sreelekha, J.; Chaudhuri, Dipanjan</t>
  </si>
  <si>
    <t>Shear Flow Instabilities and Unstable Events Over the North Bay of Bengal</t>
  </si>
  <si>
    <t>stratification; shear; buoyancy</t>
  </si>
  <si>
    <t>RICHARDSON-NUMBER; OCEAN; STABILITY; FLUXES; LAYER</t>
  </si>
  <si>
    <t>A year-long mooring data are used to study the upper ocean unstable events and instabilities at 18 degrees N 89 degrees E, which is a climatologically important region in the North Bay of Bengal. Near-surface stability is studied from the context of the buoyancy frequency normalized shear (V-z/N) and reduced shear (S-2-4N(2)) which are convenient measures to quantify flow stability, compared to the more widely used Richardson number (Ri). The analysis is carried out across three contrasting time periods, the monsoon, postmonsoon, and the winter of year 2012. Although it is well known that the flow stability changes from stable to unstable at Ri=Ri(cr)=0.25, the relative importance of the perturbations of shear and buoyancy frequency in driving the unstable events is not well studied over the open oceans and more particularly over the Bay of Bengal. At 18 degrees N, 89 degrees E both higher than average shear and lower than average buoyancy frequency perturbations are crucial in driving the unstable events during the summer and premonsoon period. However, at increasing depths, the influence of shear perturbations becomes more dominant. Invoking the Miles-Howard criteria for flow instability, it is seen that during the postmonsoon period, the buoyancy frequency perturbations are more critical than shear perturbations in driving the unstable events. In winter, the unstable events are influenced by both the buoyancy frequency and shear perturbations. Plain Language Summary This study is about upper ocean mixing in the Bay of Bengal. The Bay of Bengal is one of the least explored when compared with other oceans and seas. It is peculiar in the sense that it is landlocked from three directions. The Indian subcontinent is the home for more than a billion people and the economy crucially depends on the monsoons. Understanding near-surface air-sea interaction processes would help give fundamental insight into the weather over the subcontinent. The last decade was witness to a number of buoys that were deployed in the Bay of Bengal to measure key meteorological and ocean parameters. The Bay of Bengal is characterized by a strong and shallow stratification. This inhibits mixing. Lack of mixing has strong ramifications. Some of the mechanisms that inhibit or drive the near-surface mixing are studied. This study is of fundamental importance and has relevance to weather modeling and air-sea interaction across a broad scales of motion.</t>
  </si>
  <si>
    <t>[Jampana, Venkata; Rahaman, Hasibur; Joseph, Sudheer] Indian Natl Ctr Ocean Informat Serv, Hyderabad, India; [Ravichandran, M.] Natl Ctr Antarctic &amp; Ocean Res, Vasco Da Gama, Goa, India; [Sengupta, Debasis; Sreelekha, J.; Chaudhuri, Dipanjan] Indian Inst Sci, Ctr Atmospher &amp; Ocean Sci, Bangalore, Karnataka, India; [D'Asaro, E. A.] Univ Washington, Appl Phys Lab, Seattle, WA 98105 USA</t>
  </si>
  <si>
    <t>Ministry of Earth Sciences (MoES) - India; Indian National Centre for Ocean Information Services (INCOIS); Ministry of Earth Sciences (MoES) - India; National Centre for Polar and Ocean Research (NCPOR); Indian Institute of Science (IISC) - Bangalore; University of Washington; University of Washington Seattle</t>
  </si>
  <si>
    <t>Jampana, V (corresponding author), Indian Natl Ctr Ocean Informat Serv, Hyderabad, India.</t>
  </si>
  <si>
    <t>jampana.raju@gmail.com</t>
  </si>
  <si>
    <t>Jarugula, Sreelekha/HHN-7474-2022; Ravichandran, M./AAM-1351-2020; Joseph, Sudheer/N-8662-2016</t>
  </si>
  <si>
    <t>Jarugula, Sreelekha/0000-0003-2171-2480; Joseph, Sudheer/0000-0002-9163-3027</t>
  </si>
  <si>
    <t>Ministry of Earth Sciences (MoES), Govt. of India, under the National Monsoon Mission</t>
  </si>
  <si>
    <t>The authors wish to thank Satheesh Shenoi, Director INCOIS for the constant encouragement and support to carry out this study at INCOIS. The data request can be made from the link http://www.incois.gov.in/portal/datainfo/insituhome.jsp.Thanks to NDBP/NIOT for sharing the data. Thanks to N. Kiran Kumar Scientist-D, INCOIS for helping replot some of the figures of the manuscript. Venkata Jampana acknowledges Eric Kunze for sharing his insights on shear instabilities. Sutanu Sarkar evinced keen interest in this work and discussions helped to improve the article. Venkata Jampana is grateful to Jennifer Mackinnon, Jonathan Nash, and Amy Waterhouse for helpful advice on the processing of subsurface data. The authors are also grateful to the anonymous reviewers for their very comprehensive and critical comments which have vastly improved the quality of the manuscript. This work is supported by the Ministry of Earth Sciences (MoES), Govt. of India, under the National Monsoon Mission. This is INCOIS contribution number 329.</t>
  </si>
  <si>
    <t>10.1029/2017JC013272</t>
  </si>
  <si>
    <t>WOS:000456405900018</t>
  </si>
  <si>
    <t>Jüling, A; Viebahn, JP; Drijfhout, SS; Dijkstra, HA</t>
  </si>
  <si>
    <t>Juling, A.; Viebahn, J. P.; Drijfhout, S. S.; Dijkstra, H. A.</t>
  </si>
  <si>
    <t>Energetics of the Southern Ocean Mode</t>
  </si>
  <si>
    <t>multidecadal variability; Lorenz energy cycle; Southern Ocean; Parallel Ocean Program; Southern Ocean Mode</t>
  </si>
  <si>
    <t>LORENZ ENERGY CYCLE; CENTENNIAL VARIABILITY; POTENTIAL-ENERGY; CONVECTION; WEDDELL; CIRCULATION; MESOSCALE; TRANSPORT; MOMENTUM</t>
  </si>
  <si>
    <t>Recently, multidecadal variability in the Southern Ocean has been found in a strongly eddying global ocean circulation model. In this paper, we study the Lorenz energy cycle of this so-called Southern Ocean Mode (SOM). The Lorenz energy cycle analysis provides details on the energy pathways associated with the SOM. It shows that ocean eddies and the baroclinic energy pathway together with variations in the kinetic energy input by the wind are crucial aspects of the variability. It is also shown how convective mixing, which is induced by the SOM in particular in the Weddell Gyre, is responsible for the large-scale multidecadal variability in Antarctic Bottom Water and Atlantic Meridional Overturning Circulation. Plain Language Summary Recently, large fluctuations of the oceanic heat content were discovered in the Atlantic sector of the Southern Ocean in an ocean simulation. These changes are periodic and repeat every 50years, which is why we cannot confirm them from out limited observational record. We investigate this phenomenon through a mechanical energy perspective and find that it is likely caused by an interplay between eddies (the oceanic equivalent of atmospheric storms with 10- to 100-km diameter) and the average flow around Antarctica. In addition, we find connected sinking events that influence the ocean's overturning strength. If this phenomenon is found in the real ocean, it may influence the global mean surface temperature significantly over decades.</t>
  </si>
  <si>
    <t>[Juling, A.; Drijfhout, S. S.; Dijkstra, H. A.] Univ Utrecht, Dept Phys, Inst Marine &amp; Atmospher Res Utrecht, Utrecht, Netherlands; [Viebahn, J. P.] Ctr Wiskunde &amp; Informat, Amsterdam, Netherlands; [Drijfhout, S. S.] Natl Ocean Ctr, Southampton, Hants, England; [Drijfhout, S. S.] Royal Netherlands Meteorol Inst, De Bilt, Netherlands</t>
  </si>
  <si>
    <t>Utrecht University; NERC National Oceanography Centre; Royal Netherlands Meteorological Institute</t>
  </si>
  <si>
    <t>Jüling, A (corresponding author), Univ Utrecht, Dept Phys, Inst Marine &amp; Atmospher Res Utrecht, Utrecht, Netherlands.</t>
  </si>
  <si>
    <t>a.juling@uu.nl</t>
  </si>
  <si>
    <t>Dijkstra, Henk A./H-2559-2016</t>
  </si>
  <si>
    <t>Juling, Andre/0000-0003-2554-9641; Drijfhout, Sybren/0000-0001-5325-7350</t>
  </si>
  <si>
    <t>Netherlands Earth System Science Centre (NESSC) - Ministry of Education, Culture and Science (OCW) [024.002.001]; Netherlands Organization for Scientific Research (NWO) through the Vidi project; SURFsara [SH-284-15]</t>
  </si>
  <si>
    <t>Netherlands Earth System Science Centre (NESSC) - Ministry of Education, Culture and Science (OCW); Netherlands Organization for Scientific Research (NWO) through the Vidi project; SURFsara</t>
  </si>
  <si>
    <t>A. Juling and H. A. Dijkstra acknowledge support by the Netherlands Earth System Science Centre (NESSC), financially supported by the Ministry of Education, Culture and Science (OCW), Grant 024.002.001. J. P. Viebahn acknowledges support by the Netherlands Organization for Scientific Research (NWO) through the Vidi project Stochastic models for unresolved scales in geophysical flows, The POP simulations were performed on the Cartesius supercomputer at SURFsara (https://www.surfsara.nl) through the project SH-284-15. Michael Kliphuis (IMAU-UU) is thanked for his assistance in carrying out the numerical computations with the POP model. The authors thank two anonymous reviewers for their helpful comments. The analysis code is licensed under BSD-3-Clause and is archived at Zenodo as https://doi.org/10.5281/zenodo.1414359.Output from the ocean model simulation used in this work is available upon request to the corresponding author.</t>
  </si>
  <si>
    <t>10.1029/2018JC014191</t>
  </si>
  <si>
    <t>WOS:000456405900035</t>
  </si>
  <si>
    <t>Tanaka, Y</t>
  </si>
  <si>
    <t>Tanaka, Yoshifumi</t>
  </si>
  <si>
    <t>Reflections on Locus Standi in Response to a Breach of Obligations Erga Omnes Partes: A Comparative Analysis of the Whaling in the Antarctic and South China Sea Cases</t>
  </si>
  <si>
    <t>LAW &amp; PRACTICE OF INTERNATIONAL COURTS AND TRIBUNALS</t>
  </si>
  <si>
    <t>obligations erga omnes partes; locus standi; whaling; South China Sea; community interests; arbitration; ICJ; State responsibility</t>
  </si>
  <si>
    <t>The concept of obligations erga omnes partes can be regarded as one of the key elements in the protection of common interests in international law. A particular issue that arises in this context is whether not directly injured States are entitled to institute proceedings against a State responsible for the breach of obligations erga omnes partes enshrined in a multilateral treaty. Two recent cases, i.e. the Whaling in the Antarctic and South China Sea cases, provide an interesting insight into this issue. Thus, this article seeks to examine issues of the locus standi of not directly injured States in response to a breach of obligations erga omnes partes by analysing the Whaling in the Antarctic and South China Sea cases. In so doing, this article considers the role of an international court or tribunal in effectuating obligations erga omnes partes and its limitations.</t>
  </si>
  <si>
    <t>[Tanaka, Yoshifumi] Univ Copenhagen, Copenhagen, Denmark</t>
  </si>
  <si>
    <t>University of Copenhagen</t>
  </si>
  <si>
    <t>Tanaka, Y (corresponding author), Univ Copenhagen, Copenhagen, Denmark.</t>
  </si>
  <si>
    <t>yoshifumi.tanaka@jur.ku.dk</t>
  </si>
  <si>
    <t>1569-1853</t>
  </si>
  <si>
    <t>1571-8034</t>
  </si>
  <si>
    <t>LAW PRACT INT COURTS</t>
  </si>
  <si>
    <t>Law Pract. Int. Courts Trib.</t>
  </si>
  <si>
    <t>10.1163/15718034-12341391</t>
  </si>
  <si>
    <t>Law</t>
  </si>
  <si>
    <t>Government &amp; Law</t>
  </si>
  <si>
    <t>HI9VA</t>
  </si>
  <si>
    <t>WOS:000456804600004</t>
  </si>
  <si>
    <t>Keen, P; Saw, K; Rundle, N; Brown, R; Wyatt, J; Shorter, S; Edwards, M; Siegert, M; Mowlem, M</t>
  </si>
  <si>
    <t>Keen, Peter; Saw, Kevin; Rundle, Nicholas; Brown, Robin; Wyatt, James; Shorter, Stephen; Edwards, Michael; Siegert, Martin; Mowlem, Matthew</t>
  </si>
  <si>
    <t>A mini-corer for precision sampling of the water-sediment interface in subglacial lakes and other remote aqueous environments</t>
  </si>
  <si>
    <t>LIMNOLOGY AND OCEANOGRAPHY-METHODS</t>
  </si>
  <si>
    <t>PISTON SAMPLER</t>
  </si>
  <si>
    <t>Recent interest in Antarctic subglacial lakes has seen the development of bespoke systems for sampling them. These systems are considered pristine environments potentially harboring undisturbed sedimentary sequences and ecosystems adapted to these cold oligotrophic environments in the absence of sunlight. The water/sediment interface is considered a prime location for the detection of microbial life and so is of particular interest. This article describes the development of a small corer to capture and retain a short core that includes the water/sediment interface specifically to address the question of whether life exists in these lakes. This apparatus was developed as part of the UK led project to access, measure, and sample subglacial Lake Ellsworth. In addition to addressing the constraints of coring in this difficult environment, the results of subsequent testing suggest that this corer can be applied to sampling sediments in other environments and would be particularly useful in low energy environments when the water-sediment interface is indistinct or unconsolidated.</t>
  </si>
  <si>
    <t>[Keen, Peter] Keen Marine Ltd, East Cowes, England; [Saw, Kevin; Rundle, Nicholas; Brown, Robin; Wyatt, James; Shorter, Stephen; Mowlem, Matthew] Natl Oceanog Ctr, Southampton, Hants, England; [Edwards, Michael] British Ocean Sediment Core Res Facil, Southampton, Hants, England; [Siegert, Martin] Imperial Coll London, London, England</t>
  </si>
  <si>
    <t>NERC National Oceanography Centre; Imperial College London</t>
  </si>
  <si>
    <t>Keen, P (corresponding author), Keen Marine Ltd, East Cowes, England.</t>
  </si>
  <si>
    <t>pwk@keen-marine.com</t>
  </si>
  <si>
    <t>Siegert, Martin/M-9939-2019; Siegert, Martin J/A-3826-2008</t>
  </si>
  <si>
    <t>Siegert, Martin/0000-0002-0090-4806; Siegert, Martin J/0000-0002-0090-4806; Keen, Peter/0000-0001-6107-0940; Saw, Kevin/0000-0001-7461-3430; Mowlem, Matthew/0000-0001-7613-6121</t>
  </si>
  <si>
    <t>UK Natural Environment Research Council [NE/G006326/1, NE/G004242/1]; NERC [NE/G00465X/3, NE/G004242/1, NE/G006326/1, noc010013] Funding Source: UKRI</t>
  </si>
  <si>
    <t>UK Natural Environment Research Council(UK Research &amp; Innovation (UKRI)Natural Environment Research Council (NERC)); NERC(UK Research &amp; Innovation (UKRI)Natural Environment Research Council (NERC))</t>
  </si>
  <si>
    <t>The authors extend their thanks and gratitude to Thanos Gkritzalis-Papadopoulos for project management and liason during the first stage of the project. To the British Ocean Sediment Core Research Facility (BOSCORF), in particular, we would like to thank Guy Rothwell and Suzanne MacLachlan as well as Lewis Bailey for making available BOS-CORF facilities and assisting with the examination of the test cores. Our thanks are also due to Bramley Murton, PI on the JC142 expedition for making time in his programme to allow us to test the corer at depth on the ISIS ROV as well as to the ROV team on board at the time. Finally we would like to extend our thanks to Dominic Hodgson of the British Antarctic Survey for reviewing and commenting on drafts of this paper. This research was supported by UK Natural Environment Research Council Consortium Grant (NE/G006326/1) and subcontract NE/G004242/1.</t>
  </si>
  <si>
    <t>1541-5856</t>
  </si>
  <si>
    <t>LIMNOL OCEANOGR-METH</t>
  </si>
  <si>
    <t>Limnol. Oceanogr. Meth.</t>
  </si>
  <si>
    <t>10.1002/lom3.10288</t>
  </si>
  <si>
    <t>HJ2KJ</t>
  </si>
  <si>
    <t>WOS:000456997200005</t>
  </si>
  <si>
    <t>Andrei, CO; Lahtinen, S; Nordman, M; Näränen, J; Koivula, H; Poutanen, M; Hyyppä, J</t>
  </si>
  <si>
    <t>Andrei, Constantin-Octavian; Lahtinen, Sonja; Nordman, Maaria; Naranen, Jyri; Koivula, Hannu; Poutanen, Markku; Hyyppa, Juha</t>
  </si>
  <si>
    <t>GPS Time Series Analysis from Aboa the Finnish Antarctic Research Station</t>
  </si>
  <si>
    <t>GPS; Antarctica; time series; coordinates; velocity; trend; periodicity; noise; uncertainty</t>
  </si>
  <si>
    <t>PHASE AMBIGUITY RESOLUTION; DRONNING MAUD LAND; ISOSTATIC-ADJUSTMENT; PARTICLE FORMATION; BEDROCK-UPLIFT; VICTORIA LAND; ICE; MODEL; DEFORMATION; VELOCITIES</t>
  </si>
  <si>
    <t>Continuous Global Positioning System (GPS) observations have been logged at the Finnish Antarctic research station (Aboa) since February 2003. The station is located in Dronning Maud Land, East Antarctica. Almost 5000 daily observation files have been archived based on yearly scientific expeditions. These files have not been fully analysed until now. This study reports for the first time on the consistent and homogeneous data processing and analysis of the 15-year long time series. Daily coordinates are obtained using Precise Point Positioning (PPP) processing based on two approaches. The first approach is based on the Kalman filter and uses the RTKLIB open source library to produce daily solutions by unconventionally running the filter in the forward and backward direction. The second approach uses APPS web service and is based on GIPSY scientific processing engine. The two approaches show an excellent agreement with less than 3 mm rms error horizontally and 6 mm rms error vertically. The derived position time series is analysed in terms of trend, periodicity and noise characteristics. The noise of the time series was found to be power-law noise model with spectral index closer to flicker noise. In addition, several periodic signals were found at 5, 14, 183 and 362 days. Furthermore, most of the horizontal movement was found to be in the North direction at a rate of 11.23 +/- 0.09 mm/y, whereas the rate in the East direction was estimated to be 1.46 +/- 0.05 mm/y. Lastly, the 15-year long time series revealed a movement upwards at a rate of 0.79 +/- 0.35 mm/y. Despite being an unattended station, Aboa provides one of the most continuous and longest GPS time series in Antarctica. Therefore, we believe that this research increases the awareness of local geophysical phenomena in a less reported area of the Antarctic continent.</t>
  </si>
  <si>
    <t>[Andrei, Constantin-Octavian; Lahtinen, Sonja; Nordman, Maaria; Naranen, Jyri; Koivula, Hannu; Poutanen, Markku] Finnish Geospatial Res Inst FGI, Dept Geodesy &amp; Geodynam, Geodeetinrinne 2, FI-02430 Masala, Finland; [Nordman, Maaria] Stockholm Univ, Dept Phys Geog, Geomorphol &amp; Glaciol, S-11419 Stockholm, Sweden; [Hyyppa, Juha] Finnish Geospatial Res Inst FGI, Dept Remote Sensing &amp; Photogrammetry, Geodeetinrinne 2, FI-02430 Masala, Finland</t>
  </si>
  <si>
    <t>The National Land Survey of Finland; Finnish Geospatial Research Institute (FGI); Stockholm University; The National Land Survey of Finland; Finnish Geospatial Research Institute (FGI)</t>
  </si>
  <si>
    <t>Andrei, CO (corresponding author), Finnish Geospatial Res Inst FGI, Dept Geodesy &amp; Geodynam, Geodeetinrinne 2, FI-02430 Masala, Finland.</t>
  </si>
  <si>
    <t>octavian.andrei@nls.fi; sonja.lahtinen@nls.fi; maaria.nordman@nls.fi; jyri.naranen@nls.fi; hannu.koivula@nls.fi; markku.poutanen@nls.fi; juha.hyyppa@nls.fi</t>
  </si>
  <si>
    <t>Andrei, Octavian/AAR-9156-2020; Andrei, Octavian/B-1782-2010; Poutanen, Matti/I-1700-2018; Hyyppä, Juha M./ABH-1852-2021; Koivula, Hannu/AAK-9504-2020</t>
  </si>
  <si>
    <t>Andrei, Octavian/0000-0002-7360-7204; Andrei, Octavian/0000-0002-7360-7204; Koivula, Hannu/0000-0002-2950-796X; Poutanen, Markku/0000-0001-9721-0589; Hyyppa, Juha/0000-0001-5360-4017</t>
  </si>
  <si>
    <t>Academy of Finland [305867]; Academy of Finland (AKA) [305867] Funding Source: Academy of Finland (AKA)</t>
  </si>
  <si>
    <t>Academy of Finland(Research Council of Finland); Academy of Finland (AKA)(Research Council of Finland)</t>
  </si>
  <si>
    <t>This research was funded by Academy of Finland grant number 305867.</t>
  </si>
  <si>
    <t>10.3390/rs10121937</t>
  </si>
  <si>
    <t>HH3RS</t>
  </si>
  <si>
    <t>WOS:000455637600079</t>
  </si>
  <si>
    <t>Song, ZJ; Li, RH; Qiu, RY; Liu, SY; Tan, C; Li, QP; Ge, W; Han, XJ; Tang, XG; Shi, WY; Song, LS; Yu, WP; Yang, H; Ma, MG</t>
  </si>
  <si>
    <t>Song, Zengjing; Li, Ruihai; Qiu, Ruiyang; Liu, Siyao; Tan, Chao; Li, Qiuping; Ge, Wei; Han, Xujun; Tang, Xuguang; Shi, Weiyu; Song, Lisheng; Yu, Wenping; Yang, Hong; Ma, Mingguo</t>
  </si>
  <si>
    <t>Global Land Surface Temperature Influenced by Vegetation Cover and PM2.5 from 2001 to 2016</t>
  </si>
  <si>
    <t>land surface temperature; SINDVI; PM2.5; air pollution; time-series analysis; Arctic; Antarctic</t>
  </si>
  <si>
    <t>URBAN HEAT-ISLAND; FILTER PHYSICAL RETRIEVAL; AIR-TEMPERATURE; RIVER-BASIN; NDVI; VALIDATION; GROWTH; CHINA; INDEX; EMISSIVITY</t>
  </si>
  <si>
    <t>Land surface temperature (LST) is an important parameter to evaluate environmental changes. In this paper, time series analysis was conducted to estimate the interannual variations in global LST from 2001 to 2016 based on moderate resolution imaging spectroradiometer (MODIS) LST, and normalized difference vegetation index (NDVI) products and fine particulate matter (PM2.5) data from the Atmospheric Composition Analysis Group. The results showed that LST, seasonally integrated normalized difference vegetation index (SINDVI), and PM2.5 increased by 0.17 K, 0.04, and 1.02 g/m(3) in the period of 2001-2016, respectively. During the past 16 years, LST showed an increasing trend in most areas, with two peaks of 1.58 K and 1.85 K at 72 degrees N and 48 degrees S, respectively. Marked warming also appeared in the Arctic. On the contrary, remarkable decrease in LST occurred in Antarctic. In most parts of the world, LST was affected by the variation in vegetation cover and air pollutant, which can be detected by the satellite. In the Northern Hemisphere, positive relations between SINDVI and LST were found; however, in the Southern Hemisphere, negative correlations were detected. The impact of PM2.5 on LST was more complex. On the whole, LST increased with a small increase in PM2.5 concentrations but decreased with a marked increase in PM2.5. The study provides insights on the complex relationship between vegetation cover, air pollution, and land surface temperature.</t>
  </si>
  <si>
    <t>[Song, Zengjing; Tan, Chao; Li, Qiuping; Ge, Wei; Han, Xujun; Tang, Xuguang; Shi, Weiyu; Song, Lisheng; Yu, Wenping; Yang, Hong; Ma, Mingguo] Southwest Univ, Chongqing Engn Res Ctr Remote Sensing Big Data Ap, Sch Geog Sci, Chongqing 400715, Peoples R China; [Song, Zengjing; Tan, Chao; Li, Qiuping; Ge, Wei; Han, Xujun; Tang, Xuguang; Shi, Weiyu; Song, Lisheng; Yu, Wenping; Ma, Mingguo] Southwest Univ, Res Base Karst Ecoenvironm Nanchuan Chongqing, Minist Nat Resources, Sch Geog Sci, Chongqing 400715, Peoples R China; [Song, Zengjing; Tan, Chao; Li, Qiuping; Ge, Wei; Han, Xujun; Tang, Xuguang; Shi, Weiyu; Song, Lisheng; Yu, Wenping; Ma, Mingguo] Southwest Univ, Sch Geog Sci, Chongqing Jinfo Mt Field Sci Observat &amp; Res Stn K, Chongqing 400715, Peoples R China; [Song, Zengjing; Tan, Chao; Li, Qiuping; Ge, Wei; Han, Xujun; Tang, Xuguang; Shi, Weiyu; Song, Lisheng; Yu, Wenping; Yang, Hong; Ma, Mingguo] Southwest Univ, Chongqing Key Lab Karst Environm, Sch Geog Sci, Chongqing 400715, Peoples R China; [Li, Ruihai; Qiu, Ruiyang; Liu, Siyao] Southwest Univ, High Sch, Chongqing 400700, Peoples R China; [Yang, Hong] Univ Reading, Dept Geog &amp; Environm Sci, Reading RG6 6AB, Berks, England</t>
  </si>
  <si>
    <t>Southwest University - China; Southwest University - China; Ministry of Natural Resources of the People's Republic of China; Southwest University - China; Southwest University - China; Southwest University - China; University of Reading</t>
  </si>
  <si>
    <t>Yang, H; Ma, MG (corresponding author), Southwest Univ, Chongqing Engn Res Ctr Remote Sensing Big Data Ap, Sch Geog Sci, Chongqing 400715, Peoples R China.;Ma, MG (corresponding author), Southwest Univ, Res Base Karst Ecoenvironm Nanchuan Chongqing, Minist Nat Resources, Sch Geog Sci, Chongqing 400715, Peoples R China.;Ma, MG (corresponding author), Southwest Univ, Sch Geog Sci, Chongqing Jinfo Mt Field Sci Observat &amp; Res Stn K, Chongqing 400715, Peoples R China.;Yang, H; Ma, MG (corresponding author), Southwest Univ, Chongqing Key Lab Karst Environm, Sch Geog Sci, Chongqing 400715, Peoples R China.;Yang, H (corresponding author), Univ Reading, Dept Geog &amp; Environm Sci, Reading RG6 6AB, Berks, England.</t>
  </si>
  <si>
    <t>hongyanghy@gmail.com; mmg@swu.edu.cn</t>
  </si>
  <si>
    <t>Song, Lisheng/AFL-6837-2022; Mingguo, Ma/A-8087-2013; 邱, 瑞洋/IAO-0754-2023; Song, Lisheng/AAG-6953-2022; Yang, Hong/C-1739-2008; Shi, Weiyu/I-8628-2014; Han, Xujun/O-7747-2014</t>
  </si>
  <si>
    <t>Han, Xujun/0000-0002-8290-9837; Song, Zengjing/0000-0002-2345-9741; shi, wei yu/0000-0002-9152-228X</t>
  </si>
  <si>
    <t>National Natural Science Foundation of China [41771453, 41601448]; National Key Technology R&amp;D Program of China [2016YFC0500106]; Special Project of Science and Technology Basic Work [2014FY210800-5]; Open Research Fund Program of Chongqing Engineering Research Center for Remote Sensing Big Data Application; Open Research Fund Program of Chongqing Key Laboratory of Karst Environment</t>
  </si>
  <si>
    <t>National Natural Science Foundation of China(National Natural Science Foundation of China (NSFC)); National Key Technology R&amp;D Program of China(National Key Technology R&amp;D Program); Special Project of Science and Technology Basic Work; Open Research Fund Program of Chongqing Engineering Research Center for Remote Sensing Big Data Application; Open Research Fund Program of Chongqing Key Laboratory of Karst Environment</t>
  </si>
  <si>
    <t>This work was jointly supported by the National Natural Science Foundation of China (grant number: 41771453 &amp; 41601448), National Key Technology R&amp;D Program of China (grant number: 2016YFC0500106), Special Project of Science and Technology Basic Work (grant number: 2014FY210800-5) and the Open Research Fund Program of Chongqing Engineering Research Center for Remote Sensing Big Data Application, and Open Research Fund Program of Chongqing Key Laboratory of Karst Environment.</t>
  </si>
  <si>
    <t>10.3390/rs10122034</t>
  </si>
  <si>
    <t>WOS:000455637600176</t>
  </si>
  <si>
    <t>Kemeny, PC; Kast, ER; Hain, MP; Fawcett, SE; Fripiat, F; Studer, AS; Martínez-García, A; Haug, GH; Sigman, DM</t>
  </si>
  <si>
    <t>Kemeny, P. C.; Kast, E. R.; Hain, M. P.; Fawcett, S. E.; Fripiat, F.; Studer, A. S.; Martinez-Garcia, A.; Haug, G. H.; Sigman, D. M.</t>
  </si>
  <si>
    <t>A Seasonal Model of Nitrogen Isotopes in the Ice Age Antarctic Zone: Support for Weakening of the Southern Ocean Upper Overturning Cell</t>
  </si>
  <si>
    <t>PARTICULATE ORGANIC-MATTER; DIATOM-BOUND NITROGEN; WESTERLY WIND CHANGES; ATMOSPHERIC CO2; SEA-ICE; NUTRIENT UTILIZATION; CIRCUMPOLAR CURRENT; IRON FERTILIZATION; WATER COLUMN; UPPER BRANCH</t>
  </si>
  <si>
    <t>In the Antarctic Zone of the Southern Ocean, the coupled observations of elevated diatom-bound N-15/N-14 (delta N-15(db)) and reduced export production during the ice ages indicates more complete nitrate (NO3-) consumption. This evidence points to an ice age decline in gross NO3- supply from the deep ocean to the surface wind-mixed layer, which may help to explain the reduced CO2 levels of the ice age atmosphere. We use a seasonally resolved, two-layer model of the N isotopes in the Antarctic Zone upper ocean to quantify the ice age decline in gross NO3- supply implied by the data. When model parameters are varied to reflect reduced gross NO3- supply, the concentration of wintertime upper ocean NO3- is lowered, but with a much weaker increase in NO3- delta N-15 than predicted by analytical models such as the Rayleigh and steady state models. Physical mixing is the dominant cause, with a modest contribution from foodweb dynamics. As a result, the observed delta N-15(db) rise of similar to 3 parts per thousand-4 parts per thousand must be explained mostly by a greater summertime increase in NO3- delta N-15 during the ice ages. The high degree of NO3- consumption required to generate this summertime delta N-15 rise indicates a &gt;80% reduction in gross NO3- supply. Half or more of the modern gross NO3- supply is from wind-forced Antarctic upwelling that drives the upper cell of Southern Ocean overturning. Thus, the decrease in NO3- supply cannot be achieved solely by a decline in vertical mixing or wintertime convection; rather, it requires an ice age weakening of the upper cell.</t>
  </si>
  <si>
    <t>[Kemeny, P. C.; Kast, E. R.; Sigman, D. M.] Princeton Univ, Dept Geosci, Princeton, NJ 08544 USA; [Kemeny, P. C.] CALTECH, Div Geol &amp; Planetary Sci, Pasadena, CA 91125 USA; [Hain, M. P.] Univ Calif Santa Cruz, Dept Earth &amp; Planetary Sci, Santa Cruz, CA 95064 USA; [Fawcett, S. E.] Univ Cape Town, Dept Oceanog, Rondebosch, South Africa; [Fripiat, F.; Studer, A. S.; Martinez-Garcia, A.; Haug, G. H.] Max Planck Inst Chem, Climate Geochem Dept, Mainz, Germany; [Haug, G. H.] Swiss Fed Inst Technol, Dept Earth Sci, Zurich, Switzerland</t>
  </si>
  <si>
    <t>Princeton University; California Institute of Technology; University of California System; University of California Santa Cruz; University of Cape Town; Max Planck Society; Swiss Federal Institutes of Technology Domain; ETH Zurich</t>
  </si>
  <si>
    <t>Kemeny, PC (corresponding author), Princeton Univ, Dept Geosci, Princeton, NJ 08544 USA.;Kemeny, PC (corresponding author), CALTECH, Div Geol &amp; Planetary Sci, Pasadena, CA 91125 USA.</t>
  </si>
  <si>
    <t>pkemeny@caltech.edu</t>
  </si>
  <si>
    <t>Fripiat, François/ABB-8918-2021; Sigman, Daniel M./A-2649-2008; Sigman, Daniel M./IYJ-2613-2023; Hain, Mathis P/I-5252-2012; Studer, Anja S/JVZ-4104-2024; Martinez-Garcia, Alfredo/A-6244-2010</t>
  </si>
  <si>
    <t>Sigman, Daniel M./0000-0002-7923-1973; Hain, Mathis P/0000-0002-8478-1857; Studer, Anja S/0000-0001-7354-8497; Martinez-Garcia, Alfredo/0000-0002-7206-5079; Fripiat, Francois/0000-0002-2591-6301; Kemeny, Preston Cosslett/0000-0003-1693-4142; Fawcett, Sarah/0000-0002-0878-6496; Kast, Emma/0000-0002-2905-3793</t>
  </si>
  <si>
    <t>Fannie and John Hertz Foundation Susan &amp; Richard Miles Graduate Fellowship; Princeton Environmental Institute's Undergraduate Research Fund; DoD, Air Force Office of Scientific Research, National Defense Science and Engineering Graduate (NDSEG) Fellowship [32 CFR 168a]; National Science Foundation [PLR-1401489]; ExxonMobil through the Andlinger Center for Energy; Environment at Princeton University; Grand Challenges Program of Princeton University; NERC Independent Research Fellowship [NE/K00901X/1]; South African National Research Foundation [105895, 105539]; NERC [NE/K00901X/1] Funding Source: UKRI</t>
  </si>
  <si>
    <t>Fannie and John Hertz Foundation Susan &amp; Richard Miles Graduate Fellowship; Princeton Environmental Institute's Undergraduate Research Fund; DoD, Air Force Office of Scientific Research, National Defense Science and Engineering Graduate (NDSEG) Fellowship; National Science Foundation(National Science Foundation (NSF)); ExxonMobil through the Andlinger Center for Energy(Exxon Mobil Corporation); Environment at Princeton University; Grand Challenges Program of Princeton University(Princeton University); NERC Independent Research Fellowship(UK Research &amp; Innovation (UKRI)Natural Environment Research Council (NERC)); South African National Research Foundation(National Research Foundation - South Africa); NERC(UK Research &amp; Innovation (UKRI)Natural Environment Research Council (NERC))</t>
  </si>
  <si>
    <t>P. C. K. was supported by the Fannie and John Hertz Foundation Susan &amp; Richard Miles Graduate Fellowship and the Princeton Environmental Institute's Undergraduate Research Fund for senior thesis research. This research was conducted with government support under and awarded by DoD, Air Force Office of Scientific Research, National Defense Science and Engineering Graduate (NDSEG) Fellowship, 32 CFR 168a. The research was also supported by the National Science Foundation through grant PLR-1401489 (D. M. S.), by ExxonMobil through the Andlinger Center for Energy and the Environment at Princeton University, and by the Grand Challenges Program of Princeton University. M. P. H. acknowledges the NERC Independent Research Fellowship NE/K00901X/1, and S. E. F. acknowledges the South African National Research Foundation (grants 105895 and 105539). We are grateful to J. Adkins and R. Abernathey for insightful discussions regarding the residual circulation of the Southern Ocean, G. Viglione for sharing observations from the Southern Ocean, J. Rae for suggesting that we address possible changes in CDW [NO3-], R. Keeling and T. Trull for suggesting possible roles for mixed layer depth change, N. Klimovich for mathematical assistance, and A. Philips for advice on figure design. We also thank T. Trull and E. Sikes as well as anonymous reviewers for insightful reviews. The model described in this article is available as supporting material and can be used to generate the output reported here.</t>
  </si>
  <si>
    <t>10.1029/2018PA003478</t>
  </si>
  <si>
    <t>HH6YJ</t>
  </si>
  <si>
    <t>WOS:000455877000009</t>
  </si>
  <si>
    <t>Fischer, MD; Uenzelmann-Neben, G</t>
  </si>
  <si>
    <t>Fischer, Maximilian D.; Uenzelmann-Neben, Gabriele</t>
  </si>
  <si>
    <t>Neogene Modifications of Circulation in the Northeastern African-Southern Ocean Gateway</t>
  </si>
  <si>
    <t>paleocean circulation; seismic reflection data; contourite; Southern Ocean; Africa; Neogene</t>
  </si>
  <si>
    <t>DEEP-WATER CIRCULATION; CURRENT-CONTROLLED SEDIMENTATION; BOTTOM CURRENT ACTIVITY; MOZAMBIQUE RIDGE; TRANSKEI BASIN; INTEROCEAN EXCHANGE; SEISMIC EXPRESSION; MIDDLE MIOCENE; ICE-SHEET; ATLANTIC</t>
  </si>
  <si>
    <t>In the African-Southern Ocean gateway, several water masses originating in the Atlantic, Indian, and Southern oceans meet and mix. As a consequence, the gateway is crucial for the maintenance of the global thermohaline circulation. Newly acquired multichannel seismic reflection data collected across the southern Mozambique Ridge are used to reconstruct the impact of paleoceanographic modifications on the Neogene and Quaternary circulation in the northeastern African-Southern Ocean gateway. The data show the occurrence of mid-Miocene (15Ma) to early Pliocene (5Ma) contourite drifts and erosional features interpreted as evidence for the onset of current-controlled sedimentation in the late Neogene resulting from mid-Miocene cooling and closure of the Indonesian gateway. The Quaternary is characterized by a relocation of Antarctic Bottom Water inflow and the inception of two branches of the North Atlantic Deep Water circulation subsequent to the final closure of the Central American Seaway and the Northern Hemisphere Glaciation. Therefore, the two events triggered the onset of unhindered deep and bottom water circulation from the Atlantic into the Indian Ocean, whereas the Antarctic Intermediate Water circulation decreased due to the final closure of the Indonesian gateway. Our results show that tectonic and climatic events, which themselves may be linked, continuously modified the Cenozoic paleoceanic circulation in the African-Southern Ocean gateway, and indicate that ocean gateways governing the global water mass exchange act as an excellent location to reconstruct such modifications based on the interpretation of contourite drifts and erosional features.</t>
  </si>
  <si>
    <t>[Fischer, Maximilian D.; Uenzelmann-Neben, Gabriele] Helmholtz Zentrum Polar &amp; Meeresforsch, Alfred Wegener Inst, Bremerhaven, Germany</t>
  </si>
  <si>
    <t>Fischer, MD (corresponding author), Helmholtz Zentrum Polar &amp; Meeresforsch, Alfred Wegener Inst, Bremerhaven, Germany.</t>
  </si>
  <si>
    <t>maximilian.fischer@awi.de</t>
  </si>
  <si>
    <t>Uenzelmann-Neben, Gabriele/AAI-8618-2020</t>
  </si>
  <si>
    <t>Uenzelmann-Neben, Gabriele/0000-0002-0115-5923; Fischer, Maximilian David/0000-0001-9869-7966</t>
  </si>
  <si>
    <t>German Federal Ministry of Education and Research (BMBF) [03G0232A]; Alfred-Wegener-Institut Helmholtz-Zentrum fur Polar- und Meeresforschung</t>
  </si>
  <si>
    <t>German Federal Ministry of Education and Research (BMBF)(Federal Ministry of Education &amp; Research (BMBF)); Alfred-Wegener-Institut Helmholtz-Zentrum fur Polar- und Meeresforschung</t>
  </si>
  <si>
    <t>We want to express our gratitude to Captain Detlef Korte and his officers and crew of RV Sonne for their professional and enthusiastic engagement and service during the scientific program of this leg. Data of cruise leg SO 232 will be published at PANGAEA database (https://pangaea.de/?q=SO232) after publication of this manuscript. The cruise leg SO 232 and the project SLIP were funded by the German Federal Ministry of Education and Research (BMBF) under project number 03G0232A. Additional funding has been provided by the Alfred-Wegener-Institut Helmholtz-Zentrum fur Polar- und Meeresforschung.</t>
  </si>
  <si>
    <t>10.1029/2018GC007644</t>
  </si>
  <si>
    <t>HH3VK</t>
  </si>
  <si>
    <t>WOS:000455647900003</t>
  </si>
  <si>
    <t>Panovska, S; Constable, CG; Korte, M</t>
  </si>
  <si>
    <t>Panovska, S.; Constable, C. G.; Korte, M.</t>
  </si>
  <si>
    <t>Extending Global Continuous Geomagnetic Field Reconstructions on Timescales Beyond Human Civilization</t>
  </si>
  <si>
    <t>geomagnetic field; geomagnetic excursion; paleosecular variations; relative paleointensity; dipole moment; GGF100k</t>
  </si>
  <si>
    <t>PALEOMAGNETIC SECULAR VARIATION; PALEOSECULAR VARIATION ACTIVITY; ANTARCTIC SOUTH ATLANTIC; HIGH-RESOLUTION RECORD; RELATIVE PALEOINTENSITY; MOMENT VARIATION; MAGNETIC RECORD; NORTH-ATLANTIC; ICE CORE; EXCURSION</t>
  </si>
  <si>
    <t>Study of the late Quaternary geomagnetic field contributes significantly to understanding the origin of millennial-scale paleomagnetic secular variations, the structure of geomagnetic excursions, and the long-term shielding by the geomagnetic field. A compilation of paleomagnetic sediment records and archeomagnetic and lava flow data covering the past 100ka enables reconstruction of the global geomagnetic field on such long-term scales. We use regularized inversion to build the first global, time-dependent, geomagnetic field model spanning the past 100ka, named GGF100k (Global Geomagnetic Field over the past 100 ka). Spatial parametrization of the model is in spherical harmonics and time variations with cubic splines. The model is heavily constrained by more than 100 continuous sediment records covering extended periods of time, which strongly prevail over the limited number of discrete snapshots provided by archeomagnetic and volcanic data. Following an assessment of temporal resolution in each sediment's magnetic record, we have introduced smoothing kernels into the forward modeling when assessing data misfit. This accommodates the smoothing inherent in the remanence acquisition in individual sediment paleomagnetic records, facilitating a closer fit to both high- and low-resolution records in regions where some sediments have variable temporal resolutions. The model has similar spatial resolution but less temporal complexity than current Holocene geomagnetic field models. Using the new reconstruction, we discuss dipole moment variations, the time-averaged field, and paleomagnetic secular variation activity. The new GGF100k model fills the gap in the geomagnetic power spectrum in the frequency range 100-1,000Ma(-1).</t>
  </si>
  <si>
    <t>[Panovska, S.; Korte, M.] Deutsch GeoForschungsZentrum GFZ, Helmholtz Zentrum Potsdam, Potsdam, Germany; [Panovska, S.; Constable, C. G.] Univ Calif San Diego, Scripps Inst Oceanog, Inst Geophys &amp; Planetary Phys, La Jolla, CA 92093 USA</t>
  </si>
  <si>
    <t>Helmholtz Association; Helmholtz-Center Potsdam GFZ German Research Center for Geosciences; University of California System; University of California San Diego; Scripps Institution of Oceanography</t>
  </si>
  <si>
    <t>Panovska, S (corresponding author), Deutsch GeoForschungsZentrum GFZ, Helmholtz Zentrum Potsdam, Potsdam, Germany.;Panovska, S (corresponding author), Univ Calif San Diego, Scripps Inst Oceanog, Inst Geophys &amp; Planetary Phys, La Jolla, CA 92093 USA.</t>
  </si>
  <si>
    <t>panovskasanja@yahoo.com</t>
  </si>
  <si>
    <t>Korte, Monika/A-6086-2009; Panovska, Sanja/JVO-5879-2024; Constable, Catherine/F-7784-2010</t>
  </si>
  <si>
    <t>Korte, Monika/0000-0003-2970-9075; Panovska, Sanja/0000-0003-4340-5668; Constable, Catherine/0000-0003-4534-4977</t>
  </si>
  <si>
    <t>NSF [EAR 1246826, EAR 1623786]; Swiss National Science Foundation [PBEZP2-142912]; GFZ Potsdam; Alexander von Humboldt Foundation; Swiss National Science Foundation (SNF) [PBEZP2_142912] Funding Source: Swiss National Science Foundation (SNF)</t>
  </si>
  <si>
    <t>NSF(National Science Foundation (NSF)); Swiss National Science Foundation(Swiss National Science Foundation (SNSF)); GFZ Potsdam; Alexander von Humboldt Foundation(Alexander von Humboldt Foundation); Swiss National Science Foundation (SNF)(Swiss National Science Foundation (SNSF))</t>
  </si>
  <si>
    <t>This work has been supported under NSF grants EAR 1246826 and EAR 1623786. S. P. gratefully acknowledges support from the Swiss National Science Foundation grant PBEZP2-142912. C. G. C. thanks GFZ Potsdam and the Alexander von Humboldt Foundation for their remarkable hospitality and generous support of repeated research visits over a number of years. We also thank Gillian Turner and an anonymous reviewer for their constructive comments and suggestions. The GGF100k model coefficients and its 100-ka time average are available from the EarthRef Digital Archive under the link https://earthref.org/ERDA/2382/and in the supporting information for this article.</t>
  </si>
  <si>
    <t>10.1029/2018GC007966</t>
  </si>
  <si>
    <t>WOS:000455647900007</t>
  </si>
  <si>
    <t>Georgiou, M; Daglis, IA; Rae, IJ; Zesta, E; Sibeck, DG; Mann, IR; Balasis, G; Tsinganos, K</t>
  </si>
  <si>
    <t>Georgiou, M.; Daglis, I. A.; Rae, I. J.; Zesta, E.; Sibeck, D. G.; Mann, I. R.; Balasis, G.; Tsinganos, K.</t>
  </si>
  <si>
    <t>Ultralow Frequency Waves as an Intermediary for Solar Wind Energy Input Into the Radiation Belts</t>
  </si>
  <si>
    <t>magnetic storms; radiation belts; relativistic electrons; ULF waves; solar wind; interplanetary coronal mass ejections</t>
  </si>
  <si>
    <t>RELATIVISTIC ELECTRON FLUX; ULF WAVE; GEOSYNCHRONOUS ORBIT; MAGNETIC STORMS; PLASMA SHEET; ACCELERATION; DIFFUSION; POWER; FIELD; ENHANCEMENTS</t>
  </si>
  <si>
    <t>Enhancements of electron fluxes in the outer radiation belt have been closely linked to increases in solar wind speed and density as well as to prolonged intervals of southward interplanetary magnetic field. Periodic oscillations in the Earth's magnetic field with frequencies in the range of a few millihertz (ultralow frequency or ultralow frequency waves) may be an intermediary through which these solar wind drivers influence radiation belt dynamics due to their potential for resonant interactions with energetic electrons causing the radial migration of resonant electrons. Using data from more than 180 ground magnetometers contributing to the worldwide SuperMAG collaboration, we explore possible relationships between relativistic electron flux variations and the spatial and temporal profiles of ultralow frequency wave power contained in the Pc5 frequency band (2-7 mHz). During 19 geomagnetic storms marked by relativistic (1.5 MeV &lt; E &lt; 6 MeV) electron flux enhancements and 19 storms that led to prolonged electron flux depletions, Pc5 wave power is found penetrating to L shells as low as 2-3. The enhancement of Pc5 wave power starts almost simultaneously with the storm onset. The depth of wave activity penetration was found associated with the strength of geomagnetic activity (Spearman's rho = 0.54), which is also related to the location of electron flux maximum observed in the recovery phase. Pc5 wave activity persists longer (for up to approximate to 62 hr) for those storms that produced relativistic electrons. We also investigate the combination of interplanetary conditions necessary to differentiate the response of relativistic electron fluxes to geomagnetic storms. A coupling function that captures the increased reconnection rate at the dayside magnetopause affecting magnetospheric processes which may produce Pc5 wave power offers an additional key to further understanding the outer belt dynamics.</t>
  </si>
  <si>
    <t>[Georgiou, M.; Rae, I. J.] Univ Coll London, Dept Space &amp; Climate Phys, Mullard Space Sci Lab, Dorking, Surrey, England; [Georgiou, M.; Daglis, I. A.; Tsinganos, K.] Univ Athens, Dept Phys, Athens, Greece; [Zesta, E.; Sibeck, D. G.] NASA, Goddard Space Flight Ctr, Greenbelt, MD USA; [Mann, I. R.] Univ Alberta, Dept Phys, Edmonton, AB, Canada; [Balasis, G.] Natl Observ Athens, Inst Astron Astrophys Space Applicat &amp; Remote Sen, Penteli, Greece</t>
  </si>
  <si>
    <t>University of London; University College London; National &amp; Kapodistrian University of Athens; National Aeronautics &amp; Space Administration (NASA); NASA Goddard Space Flight Center; University of Alberta; National Observatory of Athens</t>
  </si>
  <si>
    <t>Georgiou, M (corresponding author), Univ Coll London, Dept Space &amp; Climate Phys, Mullard Space Sci Lab, Dorking, Surrey, England.;Georgiou, M (corresponding author), Univ Athens, Dept Phys, Athens, Greece.</t>
  </si>
  <si>
    <t>marina.georgiou@ucl.ac.uk</t>
  </si>
  <si>
    <t>Daglis, Ioannis A./L-6100-2013; Balasis, Georgios/G-8680-2012; Rae, Jonathan/D-8132-2013</t>
  </si>
  <si>
    <t>Daglis, Ioannis A./0000-0002-0764-3442; Balasis, Georgios/0000-0001-7342-0557; Rae, Jonathan/0000-0002-2637-4786; Mann, Ian/0000-0003-1004-7841; Georgiou, Marina/0000-0001-6480-345X</t>
  </si>
  <si>
    <t>NERC [NE/P017185/1]; STFC [ST/N000722/1]; NERC [NE/P017185/1] Funding Source: UKRI; STFC [ST/N000722/1] Funding Source: UKRI</t>
  </si>
  <si>
    <t>NERC(UK Research &amp; Innovation (UKRI)Natural Environment Research Council (NERC)); STFC(UK Research &amp; Innovation (UKRI)Science &amp; Technology Facilities Council (STFC)); NERC(UK Research &amp; Innovation (UKRI)Natural Environment Research Council (NERC)); STFC(UK Research &amp; Innovation (UKRI)Science &amp; Technology Facilities Council (STFC))</t>
  </si>
  <si>
    <t>Part of the work leading to this paper received funding by NERC grant NE/P017185/1. I.J.R. was supported by STFC grant ST/N000722/1 and NERC grant NE/P017185/1. For the ground magnetometer data used in this study, we gratefully acknowledge the following people and organizations: Intermagnet; USGS, J. J. Love; CARISMA, PI I. R. Mann; CANMOS; the S-RAMP database, PI K. Yumoto and K. Shiokawa; the SPIDR database; AARI, PI O. Troshichev; the MACCS programme, PI M. Engebretson, Geomagnetism Unit of the Geological Survey of Canada; GIMA; MEASURE, UCLA IGPP and Florida Institute of Technology; SAMBA, PI E. Zesta; 210 MM Chain, PI K. Yumoto; SAMNET, PI F. Honary; the institutes who maintain the IMAGE magnetometer array, PI E. Tanskanen; PENGUIN; AUTUMN, PI M. Connors; DTU Space, PI J. Matzka; South Pole and McMurdo Magnetometer, PIs L.J. Lanzarotti and A. T. Weatherwax; ICESTAR; RAPIDMAG; British Antarctic Survey; Mc-Mac, PI P. Chi; BGS, PI S. Macmillan; Pushkov Institute of Terrestrial Magnetism, Ionosphere and RadioWave Propagation (IZMIRAN); GFZ, PI J. Matzka; MFGI, PI B. Heilig; IGFPAS, PI J. Reda; University of L'Aquila, PI M. Vellante; ENIGMA, PI G. Balasis and I. A. Daglis; and SuperMAG, PI J. W. Gjerloev. All ground magnetometer data can be accessed through the SuperMAG data service at http://supermag.jhuapl.edu/.We also acknowledge the following sources of additional data: the Kyoto WDC for Geomagnetism and the observatories that produce and make AE and SYM-H indices available at http://wdc.kugi.kyoto-u.ac.jp/, SPDF CDAWeb and the science teams that provided interplanetary data through http://cdaweb.gsfc.nasa.gov/, NOAA's Space Environment Center at http://www.ngdc.noaa.gov/stp/satellite/goes/, and the Johns Hopkins University's Applied Physics Laboratory teams for energetic particle data made available at http://www.srl.caltech.edu/sampex/.</t>
  </si>
  <si>
    <t>10.1029/2018JA025355</t>
  </si>
  <si>
    <t>HH3YF</t>
  </si>
  <si>
    <t>WOS:000455655700004</t>
  </si>
  <si>
    <t>Soina, VS; Mergelov, NS; Kudinova, AG; Lysak, LV; Demkina, EV; Vorobyova, EA; Dolgikh, AV; Shorkunov, IG</t>
  </si>
  <si>
    <t>Soina, V. S.; Mergelov, N. S.; Kudinova, A. G.; Lysak, L. V.; Demkina, E. V.; Vorobyova, E. A.; Dolgikh, A. V.; Shorkunov, I. G.</t>
  </si>
  <si>
    <t>Microbial Communities of Soils and Soil-like Bodies in Extreme Conditions of East Antarctica</t>
  </si>
  <si>
    <t>microbial communities; soils; biomass</t>
  </si>
  <si>
    <t>MCMURDO DRY VALLEYS; BACTERIAL DIVERSITY; LARSEMANN HILLS; PROKARYOTES; PERMAFROST; REGION; LAND; ROCK; COLD</t>
  </si>
  <si>
    <t>sResults of an integrated study of microbial communities in soils and soil-like bodies formed in the wet intermountain valleys of East Antarctic oases under moss-, lichen-, algae- or cyanobacteria-dominated associations are summarized. Colonization of soil horizons by microorganisms, microbial biomass, potential biological activity, high viability of soil microorganisms and their resistance to extreme environmental conditions are considered. Perspectives of microbiological studies addressed towards evaluation of the functional role of microorganisms in the formation of Antarctica soils are discussed.</t>
  </si>
  <si>
    <t>[Soina, V. S.; Kudinova, A. G.; Lysak, L. V.; Vorobyova, E. A.] Moscow MV Lomonosov State Univ, Moscow 119991, Russia; [Mergelov, N. S.; Dolgikh, A. V.; Shorkunov, I. G.] Russian Acad Sci, Inst Geog, Moscow 119017, Russia; [Demkina, E. V.] Russian Acad Sci, Fed Res Ctr Fundamentals Biotechnol, Moscow 119071, Russia</t>
  </si>
  <si>
    <t>Lomonosov Moscow State University; Institute of Geography, Russian Academy of Sciences; Russian Academy of Sciences; Russian Academy of Sciences; Research Center of Biotechnology RAS</t>
  </si>
  <si>
    <t>Soina, VS (corresponding author), Moscow MV Lomonosov State Univ, Moscow 119991, Russia.</t>
  </si>
  <si>
    <t>soina@yandex.ru</t>
  </si>
  <si>
    <t>Vorobyova, Elena/ABF-3374-2021; Kudinova, Alina/ABC-7359-2021; Dolgikh, Andrey/D-2575-2015; Mergelov, Nikita S/D-2585-2015; Shorkunov, Ilia/A-4818-2014; Lysak, Liudmila/AAR-3033-2020</t>
  </si>
  <si>
    <t>Vorobyova, Elena/0000-0002-4636-9933; Dolgikh, Andrey/0000-0002-9316-9440; Lysak, Liudmila/0000-0001-5348-8888; Shorkunov, Ilia/0000-0003-2465-3893</t>
  </si>
  <si>
    <t>RAS Presidium Program Evolution of the Organic World and Planetary Processes (PRAN 1.22P); Russian Science Foundation [14-50-00029, 14-27-00133]; Russian Foundation for Basic Research [16-04-01776a]</t>
  </si>
  <si>
    <t>RAS Presidium Program Evolution of the Organic World and Planetary Processes (PRAN 1.22P); Russian Science Foundation(Russian Science Foundation (RSF)); Russian Foundation for Basic Research(Russian Foundation for Basic Research (RFBR)Spanish Government)</t>
  </si>
  <si>
    <t>The work was supported in part by the RAS Presidium Program Evolution of the Organic World and Planetary Processes (PRAN 1.22P), the Russian Science Foundation project no. 14-50-00029 (in the separation of microbial cultures, their identification, and storage), the Russian Science Foundation project no.14-27-00133 (in the soil studies in East Antarctica), and the Russian Foundation for Basic Research, project no. 16-04-01776a (in the study of endolithic and hypolithic systems).</t>
  </si>
  <si>
    <t>10.1134/S0031030118100143</t>
  </si>
  <si>
    <t>HG9XF</t>
  </si>
  <si>
    <t>WOS:000455364700011</t>
  </si>
  <si>
    <t>Bulat, SA; Doronin, MV; Pavlov, GP; Karlov, DS; Marie, D; Petit, JR</t>
  </si>
  <si>
    <t>Bulat, S. A.; Doronin, M. V.; Pavlov, G. P.; Karlov, D. S.; Marie, D.; Petit, J. -R.</t>
  </si>
  <si>
    <t>Unknown Widespread Iron- and Sulfur-Oxidizing Bacteria beneath the East Antarctic Ice Sheet</t>
  </si>
  <si>
    <t>Antarctica; Vostok ice core; D10 ice core; mineral inclusions; bedrock; iron-oxidizing bacteria; Sideroxydans sp; Ferriphaselus sp; sulfur-oxidizing bacteria; Tumebacillus sp; shared findings</t>
  </si>
  <si>
    <t>Comparative analysis of the Vostok ice core (Central East Antarctica; one horizon, three boreholes) and D10 ice core (shoreline nearby the French Dumont d'Urville station) has reliably revealed three phylotypes (species) of aerobic iron-oxidizing betaproteobacteria of the family Gallionellaceae (closely related at the genus level to Sideroxydans lithotrophicus and Ferriphaselus amnicola), one of which has been detected from both the Vostok (borehole 5G-3) and D10 cores. In addition, the phylotype related to sulfur-oxidizing bacteria Tumebacillus sp. has been detected from both the Vostok (borehole 5G-2) and D10 cores. The both ice cores are almost equal in age, about 20000 years; however, they differ in origin: the ice from Dumont d'Urville is atmospheric, while that from Vostok is a lake ice. The ice samples greatly vary in the storage time before treatment in the laboratory (from 0.5 to 40 years) and in intervals between treatments (from 1 to 5 years). The drilling sites are more than 1000 km apart. No evident hydrological links (the transfer of water beneath the ice sheet) between the Lake Vostok and Dumont D'Urville station have been found. This coincidence can be explained by the fact that minerals from the bedrock under the glacier, containing ferrous iron and reduced sulfur compounds, as well as physical and chemical conditions in both sites, liquid fresh water at a temperature near the freezing point, are similar. These and other assumptions are considered in the present article.</t>
  </si>
  <si>
    <t>[Bulat, S. A.; Doronin, M. V.; Pavlov, G. P.; Karlov, D. S.] Petersburg Nucl Phys Inst, Gatchina 188300, Leningrad Oblas, Russia; [Bulat, S. A.] Ural Fed Univ, Inst Phys &amp; Technol, Ekaterinburg 620002, Russia; [Marie, D.] CNRS, Biol Stn, Roscoff, France; [Petit, J. -R.] UGA, CNRS, IGE, Grenoble, France</t>
  </si>
  <si>
    <t>National Research Centre - Kurchatov Institute; Petersburg Nuclear Physics Institute; Ural Federal University; Centre National de la Recherche Scientifique (CNRS); Centre National de la Recherche Scientifique (CNRS); Communaute Universite Grenoble Alpes; Universite Grenoble Alpes (UGA)</t>
  </si>
  <si>
    <t>Bulat, SA (corresponding author), Petersburg Nucl Phys Inst, Gatchina 188300, Leningrad Oblas, Russia.;Bulat, SA (corresponding author), Ural Fed Univ, Inst Phys &amp; Technol, Ekaterinburg 620002, Russia.</t>
  </si>
  <si>
    <t>bulat_sa@pnpi.nrcki.ru; marie@sb-roscoff.fr; jean-robert.petit@univ-grenoble-alpes.fr</t>
  </si>
  <si>
    <t>Karlov, Denis/ABI-2208-2020</t>
  </si>
  <si>
    <t>Russian Foundation for Basic Research (RFBR) [16-05-00845, 18-55-16004]; [02]; [A03.21.0006]</t>
  </si>
  <si>
    <t>Russian Foundation for Basic Research (RFBR)(Russian Foundation for Basic Research (RFBR)); ;</t>
  </si>
  <si>
    <t>This research was partially supported by grants 16-05-00845 and 18-55-16004 of the Russian Foundation for Basic Research (RFBR) as well as by the Act211 of the Government of the Russian Federation, agreement 02.A03.21.0006.</t>
  </si>
  <si>
    <t>10.1134/S0031030118100076</t>
  </si>
  <si>
    <t>WOS:000455364700012</t>
  </si>
  <si>
    <t>Song, S; Tinivella, U; Giustiniani, M; Singhroha, S; Bünz, S; Cassiani, G</t>
  </si>
  <si>
    <t>Song, Sha; Tinivella, Umberta; Giustiniani, Michela; Singhroha, Sunny; Bunz, Stefan; Cassiani, Giorgio</t>
  </si>
  <si>
    <t>OBS Data Analysis to Quantify Gas Hydrate and Free Gas in the South Shetland Margin (Antarctica)</t>
  </si>
  <si>
    <t>ENERGIES</t>
  </si>
  <si>
    <t>gas hydrate; free gas; ocean-bottom seismometer; PS-converted wave; travel time tomography; South Shetland margin</t>
  </si>
  <si>
    <t>MARINE-SEDIMENTS; VELOCITY STRUCTURE; SEISMIC DATA; WAVE VELOCITY; MULTICOMPONENT; INVERSION; OFFSHORE; CONSTRAINTS; ANISOTROPY; PRIMER</t>
  </si>
  <si>
    <t>The presence of a gas hydrate reservoir and free gas layer along the South Shetland margin (offshore Antarctic Peninsula) has been well documented in recent years. In order to better characterize gas hydrate reservoirs, with a particular focus on the quantification of gas hydrate and free gas and the petrophysical properties of the subsurface, we performed travel time inversion of ocean-bottom seismometer data in order to obtain detailed P- and S-wave velocity estimates of the sediments. The P-wave velocity field is determined by the inversion of P-wave refractions and reflections, while the S-wave velocity field is obtained from converted-wave reflections received on the horizontal components of ocean-bottom seismometer data. The resulting velocity fields are used to estimate gas hydrate and free gas concentrations using a modified Biot-Geertsma-Smit theory. The results show that hydrate concentration ranges from 10% to 15% of total volume and free gas concentration is approximately 0.3% to 0.8% of total volume. The comparison of Poisson's ratio with previous studies in this area indicates that the gas hydrate reservoir shows no significant regional variations.</t>
  </si>
  <si>
    <t>[Song, Sha; Cassiani, Giorgio] Univ Padua, Dept Geosci, Via Gradenigo 6, I-35131 Padua, Italy; [Tinivella, Umberta; Giustiniani, Michela] Ist Nazl Oceanog &amp; Geofis Sperimentale OGS, I-34010 Sgonico, Italy; [Singhroha, Sunny; Bunz, Stefan] UiT Arctic Univ Norway, Dept Geosci, CAGE Ctr Arctic Gas Hydrate Environm &amp; Climate, Dramsveien 201, N-9010 Tromso, Norway</t>
  </si>
  <si>
    <t>University of Padua; Istituto Nazionale di Oceanografia e di Geofisica Sperimentale; UiT The Arctic University of Tromso</t>
  </si>
  <si>
    <t>Song, S (corresponding author), Univ Padua, Dept Geosci, Via Gradenigo 6, I-35131 Padua, Italy.</t>
  </si>
  <si>
    <t>sha.song@studenti.unipd.it; utinivella@inogs.it; mgiustiniani@inogs.it; sunny.singhroha@uit.no; stefan.buenz@uit.no; giorgio.cassiani@unipd.it</t>
  </si>
  <si>
    <t>Tinivella, Umberta/AAF-3133-2020; Cassiani, Giorgio/M-2269-2019</t>
  </si>
  <si>
    <t>Tinivella, Umberta/0000-0002-1588-6452; Cassiani, Giorgio/0000-0002-9060-5606; Giustiniani, Michela/0000-0002-1620-4599; Bunz, Stefan/0000-0002-9215-7325; Singhroha, Sunny/0000-0003-4040-1821</t>
  </si>
  <si>
    <t>Italian Ministry of Education, Universities and Research (Decreto MIUR) [631]; China Scholarship Council [201506400061]; Management Committee of the COST-MIGRATE Action [ES1405-050317-082155]; Research Council of Norway through its Centres of Excellence funding scheme [223259]</t>
  </si>
  <si>
    <t>Italian Ministry of Education, Universities and Research (Decreto MIUR)(Ministry of Education, Universities and Research (MIUR)); China Scholarship Council(China Scholarship Council); Management Committee of the COST-MIGRATE Action; Research Council of Norway through its Centres of Excellence funding scheme(Research Council of Norway)</t>
  </si>
  <si>
    <t>This research was partially supported by the Italian Ministry of Education, Universities and Research (Decreto MIUR No. 631 dd. 8 August 2016) under the extraordinary contribution for Italian participation in activities related to the international infrastructure PRACE-The Partnership for Advanced Computing in Europe (www.prace-ri.eu).Sha Song was supported by the China Scholarship Council grant number 201506400061, and her Short Term Scientific Mission at the CAGE-Centre for Arctic Gas Hydrate, Environment and Climate, Department of Geosciences, UiT The Arctic University of Norway was supported by the Management Committee of the COST-MIGRATE Action (reference code ES1405-050317-082155). Sunny Singhroha and Stefan Bunz were supported by the Research Council of Norway through its Centres of Excellence funding scheme grant No. 223259.</t>
  </si>
  <si>
    <t>1996-1073</t>
  </si>
  <si>
    <t>Energies</t>
  </si>
  <si>
    <t>10.3390/en11123290</t>
  </si>
  <si>
    <t>Energy &amp; Fuels</t>
  </si>
  <si>
    <t>HG9VB</t>
  </si>
  <si>
    <t>WOS:000455358300051</t>
  </si>
  <si>
    <t>Olund, S; Lyons, WB; Welch, SA; Welch, KA</t>
  </si>
  <si>
    <t>Olund, Sydney; Lyons, W. Berry; Welch, Susan A.; Welch, Kathy A.</t>
  </si>
  <si>
    <t>Fe and Nutrients in Coastal Antarctic Streams: Implications for Primary Production in the Ross Sea</t>
  </si>
  <si>
    <t>JOURNAL OF GEOPHYSICAL RESEARCH-BIOGEOSCIENCES</t>
  </si>
  <si>
    <t>Antarctica; Fe; nutrient stoichiometry; phytoplankton; Southern Ocean</t>
  </si>
  <si>
    <t>MCMURDO DRY VALLEYS; POTENTIALLY BIOAVAILABLE IRON; GLACIAL MELTWATER STREAMS; SOUTHERN VICTORIA LAND; TAYLOR VALLEY; ELEMENTAL STOICHIOMETRY; BIOLOGICAL RESPONSE; HYPORHEIC EXCHANGE; ATMOSPHERIC IRON; DISSOLVED IRON</t>
  </si>
  <si>
    <t>The Southern Ocean (SO) has been an area of biogeochemical interest due to the presence of macronutrients (N, P, and Si) but lack of the expected primary production response, which is thought to be primarily due to Fe limitation. Because primary production is associated with increased drawdown of atmospheric CO2, it is important to quantify the fluxes of Fe and other nutrients into the SO. Here we present data from subaerial streams that flow into the Ross Sea, a sector of the coastal SO. Water samples were collected in the McMurdo Dry Valleys, Antarctica, and analyzed for macronutrients and Fe to determine the potential impact of terrestrial water input on the biogeochemistry of coastal oceanic waters. The physiochemical forms of Fe were investigated through analysis of three operationally defined forms: acid-dissolvable Fe (no filtration), filterable Fe (&lt;0.4m), and dissolved Fe (&lt;0.2m). The combined average flux from two McMurdo Dry Valley streams was approximately 240 moles of filterable Fe per year. The dissolved fraction of Fe made up 18%-27% of the filterable Fe. The stream data yield an average filterable stoichiometry of N3P1Si100Fe0.8, which is substantially different from the planktonic composition and suggests that these streams are a potential source of Fe and P, relative to N and Si, to coastal phytoplankton communities. While the Fe flux from these streams is orders of magnitude less than estimated eolian and iceberg sources, terrestrial streams are expected to become a more significant source of Fe to the Ross Sea in the future.</t>
  </si>
  <si>
    <t>[Olund, Sydney; Lyons, W. Berry; Welch, Susan A.] Ohio State Univ, Sch Earth Sci, Columbus, OH 43210 USA; [Olund, Sydney; Welch, Kathy A.] Ohio State Univ, Byrd Polar Res Ctr, Columbus, OH 43210 USA</t>
  </si>
  <si>
    <t>Olund, S (corresponding author), Ohio State Univ, Sch Earth Sci, Columbus, OH 43210 USA.;Olund, S (corresponding author), Ohio State Univ, Byrd Polar Res Ctr, Columbus, OH 43210 USA.</t>
  </si>
  <si>
    <t>olund.1@buckeyemail.osu.edu</t>
  </si>
  <si>
    <t>Welch, Susan/0000-0002-2890-0065; Welch, Kathleen/0000-0003-1028-3086</t>
  </si>
  <si>
    <t>National Science Foundation Office of Polar Programs grant [ANT-1115245]</t>
  </si>
  <si>
    <t>National Science Foundation Office of Polar Programs grant</t>
  </si>
  <si>
    <t>This work was supported by National Science Foundation Office of Polar Programs grant ANT-1115245. We would like to thank ASC for logistical support and PHI for helicopter support during Antarctic fieldwork. Thank you also to Elsa Saelens for assistance with sample collection. Thanks to the Trace Element Research Laboratory, especially Anthony Lutton, for help with Fe analyses. Thank you to C. Jaros for providing long-term annual stream flow data, especially using his model to calculate Wales Stream discharge. We are extremely grateful to our McMurdo Dry Valleys LTER colleagues, especially the Stream Team for their help and the use of their flow data. We also want to thank the anonymous reviewers for their helpful and detailed comments. They broadened our thinking on this topic and provided a great service to this paper. The data used in this paper are listed in the references, tables, figures, and supporting information.</t>
  </si>
  <si>
    <t>2169-8953</t>
  </si>
  <si>
    <t>2169-8961</t>
  </si>
  <si>
    <t>J GEOPHYS RES-BIOGEO</t>
  </si>
  <si>
    <t>J. Geophys. Res.-Biogeosci.</t>
  </si>
  <si>
    <t>10.1029/2017JG004352</t>
  </si>
  <si>
    <t>Environmental Sciences; Geosciences, Multidisciplinary</t>
  </si>
  <si>
    <t>HH0VL</t>
  </si>
  <si>
    <t>WOS:000455437900002</t>
  </si>
  <si>
    <t>Sepúlveda, M; Pavez, G; Savaria, P; Harrod, C; Gomez-Uchida, D</t>
  </si>
  <si>
    <t>Sepulveda, Maritza; Pavez, Guido; Savaria, Pablo; Harrod, Chris; Gomez-Uchida, Daniel</t>
  </si>
  <si>
    <t>Sighting of a Southern elephant seal Mirounga leonina in the Tolten River, southern Chile</t>
  </si>
  <si>
    <t>REVISTA DE BIOLOGIA MARINA Y OCEANOGRAFIA</t>
  </si>
  <si>
    <t>Southern elephant seal; freshwater record; Tolten River; Chile</t>
  </si>
  <si>
    <t>POPULATION STATUS; FORAGING ECOLOGY; MARINE MAMMALS; HAULOUT; DIET; TEMPERATURE; KERGUELEN; MACQUARIE; PHOCIDAE; RECORDS</t>
  </si>
  <si>
    <t>The Southern elephant seal (SES) is a marine species that can be found at sea throughout the Southern Ocean on most sub-Antarctic islands. An unusual record of a solitary Southern elephant seal (Mirounga leonina) in freshwater habitat is reported. The seal was found 16 km upstream from the mouth of the Tolten River, in southern Chile (39 degrees 9'S; 73 degrees 10'W). The individual was classified as a sub-adult male approximately 3 m in length. Potential causes for the unusual presence of the seal in a river include feeding on native estuarine fishes and non-native Chinook salmon or resting. Long lasting resting (5 days) in the Tolten River by the seal may indicate suitable habitat and/or lack of disturbance.</t>
  </si>
  <si>
    <t>[Sepulveda, Maritza; Pavez, Guido] Univ Valparaiso, Fac Ciencias, Inst Biol, Ctr Invest &amp; Gest Recursos Nat CIGREN, Gran Bretana 1111, Valparaiso, Chile; [Sepulveda, Maritza; Pavez, Guido; Savaria, Pablo; Harrod, Chris; Gomez-Uchida, Daniel] Nucleo Milenio INVASAL, Concepcion, Chile; [Savaria, Pablo; Gomez-Uchida, Daniel] Univ Concepcion, Fac Ciencias Nat &amp; Oceanog, Dept Zool, Casilla 160-C, Concepcion, Chile; [Harrod, Chris] Univ Antofagasta, Inst Ciencias Nat Alexander von Humboldt, Ave Univ Chile, Antofagasta 02800, Chile</t>
  </si>
  <si>
    <t>Universidad de Valparaiso; Universidad de Concepcion; Universidad de Antofagasta</t>
  </si>
  <si>
    <t>Sepúlveda, M (corresponding author), Univ Valparaiso, Fac Ciencias, Inst Biol, Ctr Invest &amp; Gest Recursos Nat CIGREN, Gran Bretana 1111, Valparaiso, Chile.;Sepúlveda, M (corresponding author), Nucleo Milenio INVASAL, Concepcion, Chile.</t>
  </si>
  <si>
    <t>maritza.sepulveda@uv.cl</t>
  </si>
  <si>
    <t>Gomez-Uchida, Daniel/AAB-7043-2019; Harrod, Chris/A-8830-2008</t>
  </si>
  <si>
    <t>Gomez-Uchida, Daniel/0000-0002-5150-2030; Harrod, Chris/0000-0002-5353-1556</t>
  </si>
  <si>
    <t>Nucleo Milenio INVASAL - Iniciativa Cientifica Milenio from Chile's Ministerio de Economia, Fomento y Turismo; CONICYT-PCHA/Doctorado Nacional/2016 [21161109]</t>
  </si>
  <si>
    <t>Nucleo Milenio INVASAL - Iniciativa Cientifica Milenio from Chile's Ministerio de Economia, Fomento y Turismo; CONICYT-PCHA/Doctorado Nacional/2016</t>
  </si>
  <si>
    <t>This work was supported by the Nucleo Milenio INVASAL funded by Iniciativa Cientifica Milenio from Chile's Ministerio de Economia, Fomento y Turismo. We would also like to thank Jorge Oyarce Kruger and Nelson Castro for sharing their photographs, and the four anonymous reviewers for their insightful comments and recommendations to the manuscript. GP acknowledges CONICYT-PCHA/Doctorado Nacional/2016-21161109 PhD scholarship.</t>
  </si>
  <si>
    <t>UNIV VALPARAISO, Faculty Marine Sciences and Natural Resources</t>
  </si>
  <si>
    <t>CASILLA 5080 - RENACA, VINA DEL MAR, 00000, CHILE</t>
  </si>
  <si>
    <t>0717-3326</t>
  </si>
  <si>
    <t>0718-1957</t>
  </si>
  <si>
    <t>REV BIOL MAR OCEANOG</t>
  </si>
  <si>
    <t>Rev. Biol. Mar. Oceanogr.</t>
  </si>
  <si>
    <t>10.22370/rbmo.2018.53.3.1367</t>
  </si>
  <si>
    <t>HH7JK</t>
  </si>
  <si>
    <t>Green Published, hybrid, Green Submitted</t>
  </si>
  <si>
    <t>WOS:000455906600011</t>
  </si>
  <si>
    <t>Mishev, AL; Usoskin, IG</t>
  </si>
  <si>
    <t>Mishev, A. L.; Usoskin, I. G.</t>
  </si>
  <si>
    <t>Assessment of the Radiation Environment at Commercial Jet-Flight Altitudes During GLE 72 on September 2017 Using Neutron Monitor Data</t>
  </si>
  <si>
    <t>GROUND-LEVEL ENHANCEMENT; COSMIC-RAYS; DOSE-RATE; AVIATION; EXPOSURE; EVENT; MODEL; RECONSTRUCTION; TRANSMISSIVITY; MODULATION</t>
  </si>
  <si>
    <t>As a result of intense solar activity during the first 10 days of September, a ground level enhancement occurred on 10 September 2017. Here we computed the effective dose rates in the polar region at several altitudes during the event using the derived rigidity spectra of the energetic solar protons. The contribution of different populations of energetic particles, namely, galactic cosmic rays and solar protons, to the exposure is explicitly considered and compared. We also assessed the exposure of a crew members/passengers to radiation at different locations and at several cruise flight altitudes and calculated the received doses for two typical intercontinental flights. The estimated received dose during a high latitude, 40 kft, similar to 10-hr flight is similar to 100 mu Sv.</t>
  </si>
  <si>
    <t>[Mishev, A. L.; Usoskin, I. G.] Univ Oulu, Space Climate Res Unit, Oulu, Finland; [Mishev, A. L.; Usoskin, I. G.] Univ Oulu, Sodankyla Geophys Observ, Oulu, Finland</t>
  </si>
  <si>
    <t>University of Oulu; University of Oulu</t>
  </si>
  <si>
    <t>Mishev, AL (corresponding author), Univ Oulu, Space Climate Res Unit, Oulu, Finland.;Mishev, AL (corresponding author), Univ Oulu, Sodankyla Geophys Observ, Oulu, Finland.</t>
  </si>
  <si>
    <t>alex_mishev@yahoo.com</t>
  </si>
  <si>
    <t>; Usoskin, Ilya/E-5089-2014</t>
  </si>
  <si>
    <t>Mishev, Alexander/0000-0002-7184-9664; Usoskin, Ilya/0000-0001-8227-9081</t>
  </si>
  <si>
    <t>Academy of Finland [272157]; Center of Excellence ReSoLVE [267186]; French-Italian Concordia Station (IPEV program) [n903, CRIPA-X 304435]; French-Italian Concordia Station (NRA Project) [CRIPA-X 304435, LTCPAA PNRA14 00091]; Austrian Science Fund (FWF) [N903] Funding Source: Austrian Science Fund (FWF)</t>
  </si>
  <si>
    <t>Academy of Finland(Research Council of Finland); Center of Excellence ReSoLVE; French-Italian Concordia Station (IPEV program); French-Italian Concordia Station (NRA Project); Austrian Science Fund (FWF)(Austrian Science Fund (FWF))</t>
  </si>
  <si>
    <t>This work was supported by the Academy of Finland (project 272157) and Center of Excellence ReSoLVE (project 267186). French-Italian Concordia Station (IPEV program n903 and PNRA Project LTCPAA PNRA14 00091) is acknowledged for support of DOMC/DOMB stations as well as the projects CRIPA and CRIPA-X 304435 and Finnish Antarctic Research Program (FINNARP). We acknowledge neutron monitor database (NMDB) and all the colleagues and PIs from the neutron monitor stations, who kindly provided the data used in this analysis, namely, Alma Ata, Apatity, Athens, Baksan, Dome C, Dourbes, Forth Smith, Inuvik, Irkutsk, Jang Bogo, Jungfraujoch, Kerguelen, Lomnicky Stit, Magadan, Mawson, Mexico City, Moscow, Nain, Newark, Oulu, Peawanuck, Potchefstroom, Rome, South Pole, Terre Adelie, Thule, and Tixie. The NM data are available online at International GLE database (http://gle.oulu.fi).Original data of Oulu, DOMB and DOMC neutron monitors are available at http://cosmicrays.oulu.fi.</t>
  </si>
  <si>
    <t>10.1029/2018SW001946</t>
  </si>
  <si>
    <t>HH0XB</t>
  </si>
  <si>
    <t>WOS:000455442300003</t>
  </si>
  <si>
    <t>Wang, WB; Pan, AJ; Edi, K; Muh, H; Deny, S</t>
  </si>
  <si>
    <t>Wang Weibo; Pan Aijun; Edi, Kusmanto; Muh, Hasanudin; Deny, Sutisna</t>
  </si>
  <si>
    <t>North-south difference of water mass properties across the Lembeh Strait, North Sulawesi, Indonesia</t>
  </si>
  <si>
    <t>ACTA OCEANOLOGICA SINICA</t>
  </si>
  <si>
    <t>water mass; Lembeh Strait; north-south difference</t>
  </si>
  <si>
    <t>CORAL TRIANGLE; PACIFIC; MODEL; SEAS</t>
  </si>
  <si>
    <t>Two field observations were conducted around the Lembeh Strait in September 2015 and 2016, respectively. Evidences indicate that seawater around the Lembeh Strait is consisted of North Pacific Tropical Water (NPTW), North Pacific Intermediate Water (NPIW), North Pacific Tropical Intermediate Water (NPTIW) and Antarctic Intermediate Water (AAIW). Around the Lembeh Strait, there exist some north-south differences in terms of water mass properties. NPTIW is only found in the southern Lembeh Strait. Water mass with the salinity of 34.6 is only detected at 200-240 m between NPTW and NPTIW in the southern Lembeh Strait, and results from the process of mixing between the saltier water transported from the South Pacific Ocean and the lighter water from the North Pacific Ocean and Sulawesi Sea. According to the analysis on mixing layer depth, it is indicated that there exists an onshore surface current in the northern Lembeh Strait and the surface current in the Lembeh Strait is southward. These dramatic differences of water masses demonstrate that the less water exchange has been occurred between the north and south of Lembeh Strait. In 2015, the positive wind stress curl covering the northern Lembeh Strait induces the shoaling of thermocline and deepening of NPIW, which show that the north-south difference of airsea system is possible of inducing north-south differences of seawater properties.</t>
  </si>
  <si>
    <t>[Wang Weibo; Pan Aijun] Minist Nat Resources, Ocean Dynam Lab, Inst Oceanog 3, insoce, Xiamen 361005, Peoples R China; [Edi, Kusmanto; Muh, Hasanudin; Deny, Sutisna] Indonesian Inst Sci, Res Ctr Oceanog, Jakarta 14430, Indonesia</t>
  </si>
  <si>
    <t>Ministry of Natural Resources of the People's Republic of China; Third Institute of Oceanography, Ministry of Natural Resources; National Research &amp; Innovation Agency of Indonesia (BRIN); Indonesian Institute of Sciences (LIPI)</t>
  </si>
  <si>
    <t>Pan, AJ (corresponding author), Minist Nat Resources, Ocean Dynam Lab, Inst Oceanog 3, insoce, Xiamen 361005, Peoples R China.</t>
  </si>
  <si>
    <t>aijunpan@tio.org.cn</t>
  </si>
  <si>
    <t>National Key R&amp;D Program of China [2017YFC1405101]; Scientific Research Foundation of the Third Institute of Oceanography [2016025]; China-Indonesia Maritime Cooperation Fund Project China-Indonesia Bitung Ecological Station Establishment</t>
  </si>
  <si>
    <t>National Key R&amp;D Program of China; Scientific Research Foundation of the Third Institute of Oceanography; China-Indonesia Maritime Cooperation Fund Project China-Indonesia Bitung Ecological Station Establishment</t>
  </si>
  <si>
    <t>The National Key R&amp;D Program of China under contract No. 2017YFC1405101; the Scientific Research Foundation of the Third Institute of Oceanography under contract No. 2016025; the China-Indonesia Maritime Cooperation Fund Project China-Indonesia Bitung Ecological Station Establishment.</t>
  </si>
  <si>
    <t>0253-505X</t>
  </si>
  <si>
    <t>1869-1099</t>
  </si>
  <si>
    <t>ACTA OCEANOL SIN</t>
  </si>
  <si>
    <t>Acta Oceanol. Sin.</t>
  </si>
  <si>
    <t>10.1007/s13131-018-1282-5</t>
  </si>
  <si>
    <t>HG6KO</t>
  </si>
  <si>
    <t>WOS:000455090600001</t>
  </si>
  <si>
    <t>Liu, YH; Li, F; Hao, WF</t>
  </si>
  <si>
    <t>Liu, Yihui; Li, Fei; Hao, Weifeng</t>
  </si>
  <si>
    <t>Evaluation of Seasonal and Synoptic Changes in Snow Accumulation in Antarctica between Five Reanalyses Products and In Situ Observations</t>
  </si>
  <si>
    <t>ATMOSPHERE</t>
  </si>
  <si>
    <t>high precipitation events; atmospheric reanalyses; precipitation evaluation</t>
  </si>
  <si>
    <t>SURFACE MASS-BALANCE; DRONNING MAUD LAND; MCMURDO DRY VALLEYS; EAST ANTARCTICA; SPATIAL VARIABILITY; GLOBAL ENERGY; ADELIE LAND; DOME FUJI; ICE SHELF; PRECIPITATION</t>
  </si>
  <si>
    <t>The performance of recent reanalysis products (i.e., ERA-Interim, NCEP2, MERRA, CFSR, and JRA-55) was evaluated based on in situ observations from nine automatic weather stations and one stake network to investigate the monthly and seasonal variability of the surface mass balance in Antarctica. Synoptic precipitation simulations were also evaluated by an investigation of high precipitation events. The seasonal variations showed large fluctuations and were inconsistent at each station, probably owing to the large interannual variability of snow accumulation based on the short temporal coverage of the data. The ERA-Interim and JRA-55 datasets revealed better simulated precision, with the other three models presenting similar simulations at monthly and seasonal timescales. The JRA-55 dataset captured a greater number of synoptic high precipitation events at four of the nine stations. Such events at the other five stations were mainly captured by ERA and CFSR. The NCEP2 dataset was more weakly correlated with each station on all timescales. These results indicate that significant monthly or seasonal correlations between in situ observations and the models had little effect on the capability of the reanalyses to capture high precipitation events. The precision of the five reanalysis datasets widely fluctuated in specific regions or at specific stations at different timescales. Great caution is needed when using a single reanalysis dataset to assess the surface mass balance over all of Antarctica.</t>
  </si>
  <si>
    <t>[Liu, Yihui; Li, Fei; Hao, Weifeng] Wuhan Univ, Chinese Antarctic Ctr Surveying &amp; Mapping, Wuhan 430079, Hubei, Peoples R China</t>
  </si>
  <si>
    <t>Wuhan University</t>
  </si>
  <si>
    <t>Li, F (corresponding author), Wuhan Univ, Chinese Antarctic Ctr Surveying &amp; Mapping, Wuhan 430079, Hubei, Peoples R China.</t>
  </si>
  <si>
    <t>liuyihuichn@whu.edu.cn; flichn@whu.edu.cn; haoweifengchn@foxmail.com</t>
  </si>
  <si>
    <t>Liu, Yihui/Q-3030-2018</t>
  </si>
  <si>
    <t>National Key R&amp;D Program of China [2017YFA0603102]; Natural Science Foundation of China [41531069]</t>
  </si>
  <si>
    <t>National Key R&amp;D Program of China; Natural Science Foundation of China(National Natural Science Foundation of China (NSFC))</t>
  </si>
  <si>
    <t>This research was funded by the National Key R&amp;D Program of China, grant number 2017YFA0603102, and the Natural Science Foundation of China, grant number 41531069.</t>
  </si>
  <si>
    <t>2073-4433</t>
  </si>
  <si>
    <t>ATMOSPHERE-BASEL</t>
  </si>
  <si>
    <t>Atmosphere</t>
  </si>
  <si>
    <t>10.3390/atmos9120473</t>
  </si>
  <si>
    <t>HG6AB</t>
  </si>
  <si>
    <t>WOS:000455062300017</t>
  </si>
  <si>
    <t>Maggi, V; Baccolo, G; Cibin, G; Delmonte, B; Hampai, D; Marcelli, A</t>
  </si>
  <si>
    <t>Maggi, Valter; Baccolo, Giovanni; Cibin, Giannantonio; Delmonte, Barbara; Hampai, Dariush; Marcelli, Augusto</t>
  </si>
  <si>
    <t>XANES Iron Geochemistry in the Mineral Dust of the Talos Dome Ice Core (Antarctica) and the Southern Hemisphere Potential Source Areas</t>
  </si>
  <si>
    <t>CONDENSED MATTER</t>
  </si>
  <si>
    <t>mineral dust; XANES; paleoclimatology; ice cores; southern hemisphere</t>
  </si>
  <si>
    <t>X-RAY-ABSORPTION; NEAR-EDGE STRUCTURE; EAST ANTARCTICA; AEOLIAN DUST; OXIDATION-STATE; VICTORIA LAND; VARIABILITY; EPICA; SPECIATION; SPECTRA</t>
  </si>
  <si>
    <t>X-ray absorption near edge structure (XANES) measurements at the Fe K-edge were performed on aeolian dust in the TALos Dome Ice CorE drilling project (TALDICE) ice core drilled in the peripheral East Antarctic plateau, as well as on Southern Hemisphere potential source area samples. While South American sources show, as expected, a progressive increase in Fe oxidation with decreasing latitude, Antarctic sources show Fe oxidation levels higher than expected in such a cold polar environment, probably because of their very high exposure ages. Results from the TALDICE dust samples are compatible with a South American influence at the site during MIS2 (marine isotopic stage 2, the last and coldest phase of the last glacial period), in particular from Patagonia and Tierra del Fuego. However, a contribution from Australia and/or local Antarctic sources cannot be ruled out. Finally, important changes also occurred during the deglaciation and in the Holocene, when the influence of Antarctic local sources seems to have become progressively more important in recent times. This research is the first successful attempt to extract temporal climatic information from X-ray absorption spectroscopic data of the insoluble mineral dust particles contained in an ice core and shows the high potential of this technique.</t>
  </si>
  <si>
    <t>[Maggi, Valter; Baccolo, Giovanni; Delmonte, Barbara] Univ Milano Bicocca, Dept Earth &amp; Environm Sci, I-20126 Milan, Italy; [Maggi, Valter; Baccolo, Giovanni] INFN, Sect Milano Bicocca, I-20126 Milan, Italy; [Maggi, Valter] IGG CNR, I-56100 Pisa, Italy; [Baccolo, Giovanni] Univ Siena, Grad Sch Polar Sci, I-53100 Siena, Italy; [Cibin, Giannantonio] Diamond Light Source, Didcot OX11 0AB, Oxon, England; [Hampai, Dariush; Marcelli, Augusto] INFN, Lab Nazl Frascati, Via Enr Fermi 40, I-00044 Frascati, Italy; [Marcelli, Augusto] Rome Int Ctr Mat Sci Superstripes, RICMASS, Via Sabelli 119A, I-00185 Rome, Italy</t>
  </si>
  <si>
    <t>University of Milano-Bicocca; Istituto Nazionale di Fisica Nucleare (INFN); Consiglio Nazionale delle Ricerche (CNR); Istituto di Geoscienze e Georisorse (IGG-CNR); University of Siena; Diamond Light Source; Istituto Nazionale di Fisica Nucleare (INFN)</t>
  </si>
  <si>
    <t>Maggi, V (corresponding author), Univ Milano Bicocca, Dept Earth &amp; Environm Sci, I-20126 Milan, Italy.;Maggi, V (corresponding author), INFN, Sect Milano Bicocca, I-20126 Milan, Italy.;Maggi, V (corresponding author), IGG CNR, I-56100 Pisa, Italy.</t>
  </si>
  <si>
    <t>valter.maggi@unimib.it; giovanni.baccolo@mib.infn.it; giannantonio.cibin@diamond.ac.uk; barbara.delmonte@unimib.it; dariush.hampai@lnf.infn.it; augusto.marcelli@lnf.infn.it</t>
  </si>
  <si>
    <t>Baccolo, Giovanni/J-9543-2019; Maggi, Valter/AAX-5728-2020; Delmonte, Barbara/L-2555-2015; Marcelli, Augusto/H-3868-2019; Cibin, Giannantonio/G-2809-2015; Hampai, Dariush/AAW-2056-2021</t>
  </si>
  <si>
    <t>Baccolo, Giovanni/0000-0002-1246-8968; Maggi, Valter/0000-0001-6287-1213; Delmonte, Barbara/0000-0002-9074-2061; Marcelli, Augusto/0000-0002-8138-7547; Hampai, Dariush/0000-0002-8881-0520</t>
  </si>
  <si>
    <t>DARA Department of the Italian Presidenza del Consiglio dei Ministri [PNRA 2013/B2.10]</t>
  </si>
  <si>
    <t>DARA Department of the Italian Presidenza del Consiglio dei Ministri</t>
  </si>
  <si>
    <t>Part of this research has been also founded by Italian National Antarctic Program project no PNRA 2013/B2.10, PI S. Rocchi (UNIPI). The support of DARA Department of the Italian Presidenza del Consiglio dei Ministri is gratefully acknowledged.</t>
  </si>
  <si>
    <t>2410-3896</t>
  </si>
  <si>
    <t>CONDENS MATTER</t>
  </si>
  <si>
    <t>Condens. Matter</t>
  </si>
  <si>
    <t>10.3390/condmat3040045</t>
  </si>
  <si>
    <t>Physics, Condensed Matter</t>
  </si>
  <si>
    <t>HG7UZ</t>
  </si>
  <si>
    <t>WOS:000455202100018</t>
  </si>
  <si>
    <t>Orekhova, A; Barták, M; Hájek, J</t>
  </si>
  <si>
    <t>Orekhova, Alla; Bartak, Milos; Hajek, Josef</t>
  </si>
  <si>
    <t>Post rapid freezing growth of Antarctic strain of Heterococcus sp. monitored by cell viability and chlorophyll fluorescence</t>
  </si>
  <si>
    <t>CRYOBIOLOGY</t>
  </si>
  <si>
    <t>Antarctica; Cold stress; Cryoresistance; Ribitol; Terrestrial alga</t>
  </si>
  <si>
    <t>LOW-TEMPERATURES; ALGAE; MICROALGAE; CYANOBACTERIA; MANNITOL; RIBITOL; LIFE; ICE; ACCLIMATION; DIVERSITY</t>
  </si>
  <si>
    <t>The soil microalgae of the genus Heterococcus are found in cold environments and have been reported for the terrestrial ecosystems of several Sub-Antarctic and Antarctic Islands. This study focused on resistance of Heterococcus sp. to sub-zero temperature. Heterococcus sp. was isolated from soil samples from James Ross Island, Antarctica. Culture of Heterococcus sp. grown in liquid medium were used to study ribitol effects at sub-zero temperatures on the species resistance to rapid freezing (RF, immersion of a sample into liquid nitrogen) and consequent cultivation on agar. Before the experiment, Heterococcus sp. was cultured in liquid medium for 11 months and then treated in ribitol concentrations of 32 or 50 mM for 2 h. Then, 1 ml samples were frozen to -196 degrees C in liquid nitrogen (day 0) and inoculated on BBM agar after thawing. Number of living and dead cells was evaluated and the cell viability (P-v) was calculated repeatedly using the optical microscopy approach. The addition of ribitol caused a noticable increase in P-v on days 9, 12, 14 (with a P-v of 25-45% in ribitol-treated samples compared to 10% in the untreated control). In the following period (d 16-19), the positive effect of ribitol on P. was less pronounced but still statistically significant. To evaluate the negative effects of RF on chlorophyll fluorescence parameters, the potential yield of photochemical reactions in PS II (Fv/FM), and the effective quantum yield of photochemical reactions in PS II (Opsii) were measured immediately before and after RF. Consequently, F-v/F-m and Phi(psii) of agar inoculates were measured repeatedly for 30 d cultivation in 3 d interval. Both the 32 and the 50 mM addition of ribitol caused earlier detection of the parameters (d 16) compared to the control measurements (d 23) as well as reaching the maximum values of the chlorophyll fluorescence parameters earlier (d 23 in ribitol-treated samples compared to d 25 in control samples). Heterococcus sp. proved to be a species resistant to rapid freezing. The ability may help the species to survive in harsh Antarctic environments typified by rapid fluctuations in temperature that may bring a rapid freezing of the alga.</t>
  </si>
  <si>
    <t>[Orekhova, Alla; Bartak, Milos; Hajek, Josef] Masaryk Univ, Fac Sci, Dept Expt Biol, Div Plant Physiol &amp; Anat, Kamenice 5, Brno 62500, Czech Republic</t>
  </si>
  <si>
    <t>Masaryk University Brno</t>
  </si>
  <si>
    <t>Hájek, J (corresponding author), Masaryk Univ, Fac Sci, Dept Expt Biol, Div Plant Physiol &amp; Anat, Kamenice 5, Brno 62500, Czech Republic.</t>
  </si>
  <si>
    <t>jhajek@sci.muni.cz</t>
  </si>
  <si>
    <t>Hájek, Josef/F-4694-2019; Barták, Miloš/F-4714-2019; Orekhova, Alla/AAL-2725-2021</t>
  </si>
  <si>
    <t>Hájek, Josef/0000-0002-2679-1707; Orekhova, Alla/0000-0001-6459-3747</t>
  </si>
  <si>
    <t>ECOPOLARIS project [CZ.02.1.01/0.0/0.0/16_013/0001708]; CzechPolar-I, II [LM2010009, LM2015078]</t>
  </si>
  <si>
    <t>ECOPOLARIS project; CzechPolar-I, II</t>
  </si>
  <si>
    <t>The authors thank the projects ECOPOLARIS project (CZ.02.1.01/0.0/0.0/16_013/0001708) and CzechPolar-I, II (LM2010009 and LM2015078) for providing facilities and the infrastructure used in the research reported in this study.</t>
  </si>
  <si>
    <t>0011-2240</t>
  </si>
  <si>
    <t>1090-2392</t>
  </si>
  <si>
    <t>Cryobiology</t>
  </si>
  <si>
    <t>10.1016/j.cryobiol.2018.10.004</t>
  </si>
  <si>
    <t>Biology; Physiology</t>
  </si>
  <si>
    <t>Life Sciences &amp; Biomedicine - Other Topics; Physiology</t>
  </si>
  <si>
    <t>HG3DY</t>
  </si>
  <si>
    <t>WOS:000454851300007</t>
  </si>
  <si>
    <t>de Andrade, GAK; Cañón, ERP; Alves, RP; Schmitz, D; Schünemann, AL; de Albuquerque, MP; Putzke, J; Pereira, AB; Victoria, FD</t>
  </si>
  <si>
    <t>Kessler de Andrade, Guilherme Afonso; Pena Canon, Ehidy Rocio; Alves, Rodrigo Paidano; Schmitz, Daniela; Schuenemann, Adriano Luis; de Albuquerque, Margeli Pereira; Putzke, Jair; Pereira, Antonio Batista; Victoria, Filipe de Carvalho</t>
  </si>
  <si>
    <t>First Record of Juncaceicola as Endophytic Fungi Associated with Deschampsia antarctica Desv.</t>
  </si>
  <si>
    <t>DIVERSITY-BASEL</t>
  </si>
  <si>
    <t>antarctic; mycodiversity; taxonomy; phylogeny; isolation; fungi</t>
  </si>
  <si>
    <t>SOUTH SHETLAND ISLANDS; COLOBANTHUS-QUITENSIS; PHYLOGENY; PENINSULA; COMMUNITY; TAXONOMY; ECOLOGY</t>
  </si>
  <si>
    <t>In the current study, we present the molecular characterization of an endophyte fungus associated with the leaves of Deschampsia antarctica Desv. (Poaceae), a monocot species native to Antarctica. The isolate was obtained from 90 leaf fragments from two distinct collection sites, both located on Half Moon Island, South Shetland Islands and Maritime Antarctica. The internal transcribed spacer region (ITS) was sequenced and the endophytic fungus was identified as belonging to the genus Juncaceicola Tennakoon, Camporesi, Phook and K.D. Hyde (99% nucleotide sequence identity). When compared to all fungi of the genus Juncaceicola deposited in data base, our isolate showed greater proximity with Juncaceicola typharum, however, because it presents a low bootstrap value to be considered a new species, we treat it as Juncaceicola cf. typharum. Moreover, the identification of our isolate as belonging to the genus Juncaceicola makes this the first occurrence of a species of this genus to be associated with the leaves of Antarctic plants. This work is considered as a starting point for other studies with fungi of this genus associated with leaves of Deschampsia antarctica, as it presents results from two collection points on a single Antarctic island, suggesting that new sites and new Antarctic islands should be explored.</t>
  </si>
  <si>
    <t>[Kessler de Andrade, Guilherme Afonso; Alves, Rodrigo Paidano; Schuenemann, Adriano Luis; de Albuquerque, Margeli Pereira; Putzke, Jair; Pereira, Antonio Batista; Victoria, Filipe de Carvalho] Univ Fed Pampa UNIPAMPA, NEVA, Ave AntonioTrilha 1847, BR-97300000 Sao Gabriel, Brazil; [Pena Canon, Ehidy Rocio] Univ Pedagog &amp; Tecnol Colombia, Dept Biol, Grp Invest Biol Conservac, Ave Cent Norte 39-115, Tunia 150003, Colombia; [Schmitz, Daniela] Univ Fed Vicosa, Dept Biol Vegetal, LEEP, Av PH Rolfs, BR-36570000 Vicosa, MG, Brazil</t>
  </si>
  <si>
    <t>Universidade Federal do Pampa; Universidad Pedagogica y Tecnologica de Colombia (UPTC); Universidade Federal de Vicosa</t>
  </si>
  <si>
    <t>Pereira, AB (corresponding author), Univ Fed Pampa UNIPAMPA, NEVA, Ave AntonioTrilha 1847, BR-97300000 Sao Gabriel, Brazil.</t>
  </si>
  <si>
    <t>guilhermeafonsok@gmail.com; erociopc@hotmail.com; alvez_rdg@hotmail.com; danni_schmitz@hotmail.com; als@unipampa.edu.br; margeli_albuquerque@hotmail.com; jairputzke@unipampa.edu.br; antoniopereira@unipampa.edu.br; filipevictoria@unipampa.edu.br</t>
  </si>
  <si>
    <t>Pereira, Antonio B/I-8201-2014; Schünemann, Adriano Luis/AAN-1224-2020; Victoria, Filipe C/E-1890-2012; Victoria, Filipe/F-6066-2013; Putzke, Jair/P-9380-2019; Schmitz, Daniela/AAY-8008-2020; Paidano Alves, Rodrigo/L-6987-2017</t>
  </si>
  <si>
    <t>Pereira, Antonio B/0000-0003-0368-4594; Schünemann, Adriano Luis/0000-0001-7227-7074; Victoria, Filipe/0000-0002-8580-1813; Schmitz, Daniela/0000-0002-3162-2430; Paidano Alves, Rodrigo/0000-0003-1009-5923</t>
  </si>
  <si>
    <t>National Council for Research and Development (CNPq) [574018/2008-5, 446234/2015-0]; Carlos Chagas Research Support Foundation of the State of Rio de Janeiro (FAPERJ) [E-16/170.023/2008]; Research Support Foundation of the State of Rio Grande do Sul (FAPERGS)</t>
  </si>
  <si>
    <t>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Research Support Foundation of the State of Rio Grande do Sul (FAPERGS)(Fundacao de Amparo a Ciencia e Tecnologia do Estado do Rio Grande do Sul (FAPERGS))</t>
  </si>
  <si>
    <t>This work integrates the National Institute of Science and Technology Antarctic Environmental Research (INCT-APA) which receives scientific and financial support from the National Council for Research and Development (CNPq processes: no 574018/2008-5 and no 446234/2015-0), Carlos Chagas Research Support Foundation of the State of Rio de Janeiro (FAPERJ no E-16/170.023/2008) and Research Support Foundation of the State of Rio Grande do Sul (FAPERGS).</t>
  </si>
  <si>
    <t>1424-2818</t>
  </si>
  <si>
    <t>Diversity-Basel</t>
  </si>
  <si>
    <t>10.3390/d10040107</t>
  </si>
  <si>
    <t>HG6BW</t>
  </si>
  <si>
    <t>WOS:000455067000004</t>
  </si>
  <si>
    <t>Barati, B; Lim, PE; Gan, SY; Poong, SW; Phang, SM</t>
  </si>
  <si>
    <t>Barati, Bahram; Lim, Phaik-Eem; Gan, Sook-Yee; Poong, Sze-Wan; Phang, Siew-Moi</t>
  </si>
  <si>
    <t>Gene expression profile of marine Chlorella strains from different latitudes: stress and recovery under elevated temperatures</t>
  </si>
  <si>
    <t>JOURNAL OF APPLIED PHYCOLOGY</t>
  </si>
  <si>
    <t>8th Asian Pacific Phycological Forum (APPF) on Algae - New Perspectives Towards a Progressive and Sustainable Living</t>
  </si>
  <si>
    <t>OCT 08-13, 2017</t>
  </si>
  <si>
    <t>Kuala Lumpur, MALAYSIA</t>
  </si>
  <si>
    <t>Abiotic stress; Photosystem; Photosynthesis; Stress adaptation</t>
  </si>
  <si>
    <t>CLIMATE-CHANGE; CHLOROPHYLL FLUORESCENCE; THERMAL-STRESS; PHOTOSYSTEM-II; GREEN-ALGAE; PHOTOSYNTHESIS; TRANSCRIPTION; ADAPTATION; GROWTH; PLANTS</t>
  </si>
  <si>
    <t>Global warming, as a consequence of climate change, poses a critical threat to marine life, including algae. Studies on algal response at the molecular level to temperature stress have been significantly improved by advances in omics technologies. Algae are known to employ various strategies in response to heat stress. For example, algae regulate starch synthesis to provide energy for the cell or rebuild the damaged subunits of photosystems to regain photosynthetic activity. The aim of the present study is to examine the expression of selected photosynthesis-related genes of marine Chlorella originating from different latitudes, in response to heat stress and during the recovery period. In this study, marine Chlorella strains from the Antarctic, temperate region, and the tropics were grown at their ambient and stress-inducing temperatures. The maximum quantum efficiency (F-v/F-m) photosynthetic parameter was used to assess their stress levels. When subjected to heat stress, the F-v/F-m began to decline and when it reached similar to 0.2, the cultures were transferred to their respective ambient temperature for recovery. Total RNA was isolated from these cultures at F-v/F-m similar to 0.4, 0.2, and when it regained 0.4 during recovery. The expression of four genes including psbA, psaB, psbC, and rbcL was analyzed using RT-PCR. The housekeeping gene, histone subunit three (H3) was used for data normalization. Studying the genes involved in the adaptation mechanisms would enhance our knowledge on algal adaptation pathways and pave the way for genetic engineers to develop more tolerant strains.</t>
  </si>
  <si>
    <t>[Barati, Bahram; Lim, Phaik-Eem; Poong, Sze-Wan; Phang, Siew-Moi] Univ Malaya, Inst Ocean &amp; Earth Sci, Kuala Lumpur 50603, Malaysia; [Barati, Bahram] Univ Malaya, Inst Grad Studies, Kuala Lumpur 50603, Malaysia; [Gan, Sook-Yee] Int Med Univ, Sch Pharm, Kuala Lumpur 57000, Malaysia; [Phang, Siew-Moi] Univ Malaya, Inst Biol Sci, Kuala Lumpur 50603, Malaysia</t>
  </si>
  <si>
    <t>Universiti Malaya; Universiti Malaya; International Medical University Malaysia; Universiti Malaya</t>
  </si>
  <si>
    <t>Lim, PE (corresponding author), Univ Malaya, Inst Ocean &amp; Earth Sci, Kuala Lumpur 50603, Malaysia.</t>
  </si>
  <si>
    <t>phaikeem@um.edu.my</t>
  </si>
  <si>
    <t>Phang, Siew Moi/A-7653-2008; barati, bahram/HTQ-7454-2023; Poong, Sze Wan/S-2212-2016; LIM, Phaik Eem/B-5331-2010</t>
  </si>
  <si>
    <t>barati, bahram/0000-0002-3201-8753; Poong, Sze Wan/0000-0003-4033-864X; LIM, Phaik Eem/0000-0001-9186-1487</t>
  </si>
  <si>
    <t>Ministry of Higher Education, Malaysia, HiCOE research grant [IOES-2014H]; University of Malaya Postgraduate Research Fund [PG146-2015A]; University of Malaya [RP002C-13SUS, RU009F-2015]</t>
  </si>
  <si>
    <t>Ministry of Higher Education, Malaysia, HiCOE research grant; University of Malaya Postgraduate Research Fund(Universiti Malaya); University of Malaya(Universiti Malaya)</t>
  </si>
  <si>
    <t>The study was supported by research grants from the Ministry of Higher Education, Malaysia, HiCOE research grant (IOES-2014H), University of Malaya Postgraduate Research Fund (PG146-2015A), and the following University of Malaya Research Grants (RP002C-13SUS, RU009F-2015).</t>
  </si>
  <si>
    <t>0921-8971</t>
  </si>
  <si>
    <t>1573-5176</t>
  </si>
  <si>
    <t>J APPL PHYCOL</t>
  </si>
  <si>
    <t>J. Appl. Phycol.</t>
  </si>
  <si>
    <t>10.1007/s10811-018-1588-x</t>
  </si>
  <si>
    <t>Biotechnology &amp; Applied Microbiology; Marine &amp; Freshwater Biology</t>
  </si>
  <si>
    <t>HH0KQ</t>
  </si>
  <si>
    <t>WOS:000455405900015</t>
  </si>
  <si>
    <t>Khan, Z; Omar, WMW; Merican, FMMS; Convey, P; Foong, CP; Najimudin, N</t>
  </si>
  <si>
    <t>Khan, Zoya; Omar, Wan Maznah Wan; Merican, Faradina Merican Mohd Sidik; Convey, Peter; Foong, Choon Pin; Najimudin, Nazalan</t>
  </si>
  <si>
    <t>Characterisation of Pseudanabaena amphigranulata (Synechococcales) isolated from a man-made pond, Malaysia: a polyphasic approach</t>
  </si>
  <si>
    <t>Cyanobacterium; Morphological plasticity; 16S rRNA; tRNA; Tropics</t>
  </si>
  <si>
    <t>CYANOBACTERIA; GROWTH; OSCILLATORIALES; TEMPERATURE; ANABAENA; LIGHT; APHANIZOMENON; MICROCYSTIS; SURVIVAL; STRAINS</t>
  </si>
  <si>
    <t>A filamentous benthic cyanobacteria strain isolated from a tropical man-made pond in Malaysia was characterised using combined phenotypic and genetic approaches. Morphological and ultrastructural observations were performed together with growth measurements. Cell dimensions, thylakoid arrangement and apical cell shape with aerotopes were consistent with the description of Pseudanabaena amphigranulata (Goor) Anagnostidis. Molecular characterisation of the16S rRNA gene gave 94% pairwise sequence identity with Pseudanabaena sp. PCC 6802, which corresponds to the genus identification threshold value while also suggesting that the strain is distinctly different to the species of Pseudanabaena currently represented in available databases. The strain showed identical 16S-23S ITS configuration with other strains of Pseudanabaena apart from having a larger spacer region. Cultures of the strain were exposed to various temperature and photoperiod treatments and harvested at exponential phase in order to examine phenotypic plasticity. Significant relationships between environmental conditions and morphological characteristics (cell dimensions and shape) were identified for the first time within the genus Pseudanabaena. The maximum cell length (5.7 +/- 0.07 mu m) was observed at 25 degrees C under 12:12 light to dark, while the greatest cell width (3.2 +/- 0.11 mu m) was also observed at 25 degrees C but under 16:8 light to dark. The strain showed high plasticity in cell dimensions and shape under different temperature and photoperiod treatments, with25 degrees C under 12:12 light to dark providing the optimal conditions for its growth.</t>
  </si>
  <si>
    <t>[Khan, Zoya; Omar, Wan Maznah Wan; Merican, Faradina Merican Mohd Sidik; Foong, Choon Pin; Najimudin, Nazalan] Univ Sains Malaysia, Sch Biol Sci, George Town 11800, Malaysia; [Convey, Peter] British Antarctic Survey, NERC, Cambridge CB3 0ET, England</t>
  </si>
  <si>
    <t>Universiti Sains Malaysia; UK Research &amp; Innovation (UKRI); Natural Environment Research Council (NERC); NERC British Antarctic Survey</t>
  </si>
  <si>
    <t>Khan, Z; Omar, WMW (corresponding author), Univ Sains Malaysia, Sch Biol Sci, George Town 11800, Malaysia.</t>
  </si>
  <si>
    <t>zoyakhan2908@gmail.com; wmaznah@usm.my</t>
  </si>
  <si>
    <t>Convey, Peter/AAV-5728-2020; Najimudin, Nazalan/B-2952-2011; Sidik Merican, Faradina Merican/F-6785-2019; Foong, Choon Pin/C-4270-2017</t>
  </si>
  <si>
    <t>Convey, Peter/0000-0001-8497-9903; Sidik Merican, Faradina Merican/0000-0003-1441-0134; Wan Omar, Wan Maznah/0000-0001-6234-1618; Foong, Choon Pin/0000-0002-7785-7702</t>
  </si>
  <si>
    <t>Ministry of Science, Technology and Innovation, Malaysia [304/PBIOLOGI/650723/P131]; NERC; NERC [bas0100036] Funding Source: UKRI</t>
  </si>
  <si>
    <t>Ministry of Science, Technology and Innovation, Malaysia(Ministry of Energy, Science, Technology, Environment and Climate Change (MESTECC), Malaysia); NERC(UK Research &amp; Innovation (UKRI)Natural Environment Research Council (NERC)); NERC(UK Research &amp; Innovation (UKRI)Natural Environment Research Council (NERC))</t>
  </si>
  <si>
    <t>This study was funded and supported by Flagship grant (304/PBIOLOGI/650723/P131) under Ministry of Science, Technology and Innovation, Malaysia. P. Convey is supported by NERC core funding to the BAS 'Biodiversity, Evolution and Adaptation' Team.</t>
  </si>
  <si>
    <t>10.1007/s10811-018-1392-7</t>
  </si>
  <si>
    <t>WOS:000455405900020</t>
  </si>
  <si>
    <t>Raymond; Morgan-Kiss</t>
  </si>
  <si>
    <t>Multiple ice-binding proteins of probable prokaryotic origin in an Antarctic ice lake alga, Chlamydomonas sp. ICE-MDV (Chlorophyceae) (vol 53, pg 848, 2017)</t>
  </si>
  <si>
    <t>JOURNAL OF PHYCOLOGY</t>
  </si>
  <si>
    <t>0022-3646</t>
  </si>
  <si>
    <t>1529-8817</t>
  </si>
  <si>
    <t>J PHYCOL</t>
  </si>
  <si>
    <t>J. Phycol.</t>
  </si>
  <si>
    <t>10.1111/jpy.12809</t>
  </si>
  <si>
    <t>HG3XO</t>
  </si>
  <si>
    <t>WOS:000454908500018</t>
  </si>
  <si>
    <t>Faria, SH</t>
  </si>
  <si>
    <t>Henrique Faria, Sergio</t>
  </si>
  <si>
    <t>Slip-band distributions and microstructural fading memory beneath the firn-ice transition of polar ice sheets</t>
  </si>
  <si>
    <t>MECHANICS RESEARCH COMMUNICATIONS</t>
  </si>
  <si>
    <t>Antarctica; Dronning Maud Land; Ice; Firn; Snow S; lip band; Microstructure; Force chain; Heterogeneous deformation; Internal stress; Stored strain energy; Recrystallization; Recovery; Ice flow; Polycrystal</t>
  </si>
  <si>
    <t>DRONNING MAUD LAND; ANISOTROPIC ICE; AIR BUBBLES; PART I; ANTARCTICA; DEFORMATION; CORE; SNOW; BOUNDARIES; CRYSTALS</t>
  </si>
  <si>
    <t>The Antarctic Ice Sheet is a continental ice mass with circa 23 million gigatons of ice, which represent roughly 67 % of world's freshwater supply. This colossal mass of ice is by no means static, as the old ice slowly creeps under its own weight towards the ocean, while new ice is continually formed through the sintering of snow deposited on the ice sheet surface. A crucial role in this metamorphism is played by firn, which is the porous material in an intermediate state between the granular snow and the solid polycrystalline ice. Understanding the snow-firn-ice metamorphism is essential not only for a precise determination of the mechanical (creep) properties of polar ice, but also for comprehending the formation and decay of climate proxies widely used in ice-core studies. This work investigates the transition from firn to ice through the spatial and directional distributions of slip bands in bubbly ice. The analysis of high resolution micrographs of ice sections extracted from the EPICA-DML Deep Ice Core allows us to identify a clear influence of strain-induced anisotropy (viz. c-axis preferred orientations) on the evolution of slip band inclinations in deep bubbly ice. In contrast, we discover an unanticipated behaviour of slip bands in shallow bubbly ice, which prompts the introduction of the hypothesis of microstructural fading memory and the definition of a stabilization zone that may penetrate hundreds of metres into the bubbly ice. Within this stabilization zone, highly localized concentrations of strain energy and internal stresses once generated by force chains in the ancient firn are gradually redistributed by the newly formed bubbly-ice microstructure. We show that this hypothesis is compatible with the localized dynamic recrystallization episodes observed in polar firn (even at temperatures close to -45 degrees C), and it may also explain the sluggish rotation of c-axes observed in the upper hundreds of metres of polar ice sheets. (C) 2018 Elsevier Ltd. All rights reserved.</t>
  </si>
  <si>
    <t>[Henrique Faria, Sergio] Basque Ctr Climate Change BC3, Leioa 48940, Spain; [Henrique Faria, Sergio] Basque Fdn Sci, Ikerbasque, Bilbao 48013, Spain</t>
  </si>
  <si>
    <t>Basque Centre for Climate Change (BC3); Basque Foundation for Science</t>
  </si>
  <si>
    <t>Faria, SH (corresponding author), Basque Ctr Climate Change BC3, Leioa 48940, Spain.;Faria, SH (corresponding author), Basque Fdn Sci, Ikerbasque, Bilbao 48013, Spain.</t>
  </si>
  <si>
    <t>sh.faria@bc3research.org</t>
  </si>
  <si>
    <t>Faria, Sergio Henrique/K-9454-2013</t>
  </si>
  <si>
    <t>Faria, Sergio Henrique/0000-0002-8825-7518</t>
  </si>
  <si>
    <t>Ramon y Cajal of the Spanish Ministry of Economy, Industry and Competitiveness [RYC-2012-12167]; EU</t>
  </si>
  <si>
    <t>Ramon y Cajal of the Spanish Ministry of Economy, Industry and Competitiveness; EU(European Union (EU))</t>
  </si>
  <si>
    <t>My gratitude to Sepp Kipfstuhl, Nobuhiko Azuma, and Ilka Weikusat for many discussions and collaboration over the years on the Physical Properties of polar ice. Special thanks also to Luca Placidi for his excellent guest-editorial work, and to two anonymous reviewers for their invaluable criticism. Financial support from the Ramon y Cajal grant RYC-2012-12167 of the Spanish Ministry of Economy, Industry and Competitiveness is kindly acknowledged.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is EPICA publication no. 310.</t>
  </si>
  <si>
    <t>0093-6413</t>
  </si>
  <si>
    <t>MECH RES COMMUN</t>
  </si>
  <si>
    <t>Mech. Res. Commun.</t>
  </si>
  <si>
    <t>10.1016/j.mechrescom.2018.09.009</t>
  </si>
  <si>
    <t>Mechanics</t>
  </si>
  <si>
    <t>HG4SV</t>
  </si>
  <si>
    <t>WOS:000454966200018</t>
  </si>
  <si>
    <t>Alhasa, KM; Nadzir, MSM; Olalekan, P; Latif, MT; Yusup, Y; Faruque, MRI; Ahamad, F; Abd Hamid, HH; Aiyub, K; Ali, SHM; Khan, MF; Abu Samah, A; Yusuff, I; Othman, M; Hassim, TMFT; Ezani, NE</t>
  </si>
  <si>
    <t>Alhasa, Kemal Maulana; Nadzir, Mohd Shahrul Mohd; Olalekan, Popoola; Latif, Mohd Talib; Yusup, Yusri; Faruque, Mohammad Rashed Iqbal; Ahamad, Fatimah; Abd Hamid, Haris Hafizal; Aiyub, Kadaruddin; Ali, Sawal Hamid Md; Khan, Md Firoz; Abu Samah, Azizan; Yusuff, Imran; Othman, Murnira; Hassim, Tengku Mohd Farid Tengku; Ezani, Nor Eliani</t>
  </si>
  <si>
    <t>Calibration Model of a Low-Cost Air Quality Sensor Using an Adaptive Neuro-Fuzzy Inference System</t>
  </si>
  <si>
    <t>SENSORS</t>
  </si>
  <si>
    <t>air quality monitoring; low-cost sensor; quality control; machine learning</t>
  </si>
  <si>
    <t>ELECTROCHEMICAL SENSORS; FIELD CALIBRATION; AVAILABLE SENSORS; MONITORING. PART; KLANG VALLEY; EXPOSURE; OZONE; CLUSTER</t>
  </si>
  <si>
    <t>Conventional air quality monitoring systems, such as gas analysers, are commonly used in many developed and developing countries to monitor air quality. However, these techniques have high costs associated with both installation and maintenance. One possible solution to complement these techniques is the application of low-cost air quality sensors (LAQSs), which have the potential to give higher spatial and temporal data of gas pollutants with high precision and accuracy. In this paper, we present DiracSense, a custom-made LAQS that monitors the gas pollutants ozone (O-3), nitrogen dioxide (NO2), and carbon monoxide (CO). The aim of this study is to investigate its performance based on laboratory calibration and field experiments. Several model calibrations were developed to improve the accuracy and performance of the LAQS. Laboratory calibrations were carried out to determine the zero offset and sensitivities of each sensor. The results showed that the sensor performed with a highly linear correlation with the reference instrument with a response-time range from 0.5 to 1.7 min. The performance of several calibration models including a calibrated simple equation and supervised learning algorithms (adaptive neuro-fuzzy inference system or ANFIS and the multilayer feed-forward perceptron or MLP) were compared. The field calibration focused on O3 measurements due to the lack of a reference instrument for CO and NO2. Combinations of inputs were evaluated during the development of the supervised learning algorithm. The validation results demonstrated that the ANFIS model with four inputs (WE OX, AE OX, T, and NO2) had the lowest error in terms of statistical performance and the highest correlation coefficients with respect to the reference instrument (0.8 &lt; r &lt; 0.95). These results suggest that the ANFIS model is promising as a calibration tool since it has the capability to improve the accuracy and performance of the low-cost electrochemical sensor.</t>
  </si>
  <si>
    <t>[Alhasa, Kemal Maulana; Faruque, Mohammad Rashed Iqbal] Univ Kebangsaan Malaysia, Inst Climate Change, Space Sci Ctr ANGKASA, Level 5,Res Complex Bldg, Bangi 43600, Selangor, Malaysia; [Nadzir, Mohd Shahrul Mohd; Latif, Mohd Talib; Abd Hamid, Haris Hafizal; Othman, Murnira] Univ Kebangsaan Malaysia, Fac Sci &amp; Technol, Sch Environm &amp; Nat Resource Sci, Bangi 43600, Selangor, Malaysia; [Nadzir, Mohd Shahrul Mohd; Ahamad, Fatimah; Khan, Md Firoz] Univ Kebangsaan Malaysia, Inst Climate Change, Ctr Trop Syst &amp; Climate Change IKLIM, Bangi 43600, Selangor, Malaysia; [Olalekan, Popoola] Univ Cambridge, Chem Dept, Ctr Atmospher Sci, Cambridge CB2 1EW, England; [Yusup, Yusri] Univ Sains Malaysia, Sch Ind Technol, Environm Technol, Pulau 11800, Pinang, Malaysia; [Abd Hamid, Haris Hafizal] Univ Kebangsaan Malaysia, Inst Environm &amp; Dev LESTARI, Bangi 43600, Selangor, Malaysia; [Aiyub, Kadaruddin] Univ Kebangsaan Malaysia, Fac Social Sci &amp; Humanities, Sch Social Dev &amp; Environm Studies, Bangi 43600, Selangor, Malaysia; [Ali, Sawal Hamid Md] Univ Kebangsaan Malaysia, Fac Engn &amp; Built Environm, Dept Elect Elect &amp; Syst Engn, Bangi 43600, Selangor, Malaysia; [Abu Samah, Azizan] Univ Malaya, Natl Antarctic Res Ctr, IPS Bldg, Kuala Lumpur 50603, Malaysia; [Yusuff, Imran] Univ Kebangsaan Malaysia, Fac Sci &amp; Technol, Sch Appl Phys, Nucl Sci Programme, Bangi 43600, Selangor, Malaysia; [Hassim, Tengku Mohd Farid Tengku] TXMR Sdn Bhd, 1,Jalan TS 6-10, Subang Jaya 47500, Selangor, Malaysia; [Ezani, Nor Eliani] Univ Putra Malaysia, Fac Med &amp; Hlth Sci, Serdang 43400, Selangor Darul, Malaysia</t>
  </si>
  <si>
    <t>Universiti Kebangsaan Malaysia; Universiti Kebangsaan Malaysia; Universiti Kebangsaan Malaysia; University of Cambridge; Universiti Sains Malaysia; Universiti Kebangsaan Malaysia; Universiti Kebangsaan Malaysia; Universiti Kebangsaan Malaysia; Universiti Malaya; Universiti Kebangsaan Malaysia; Universiti Putra Malaysia</t>
  </si>
  <si>
    <t>Nadzir, MSM (corresponding author), Univ Kebangsaan Malaysia, Fac Sci &amp; Technol, Sch Environm &amp; Nat Resource Sci, Bangi 43600, Selangor, Malaysia.;Nadzir, MSM (corresponding author), Univ Kebangsaan Malaysia, Inst Climate Change, Ctr Trop Syst &amp; Climate Change IKLIM, Bangi 43600, Selangor, Malaysia.</t>
  </si>
  <si>
    <t>kemalalhasa@gmail.com; shahrulnadzir@ukm.edu.my; oamp2@cam.ac.uk; talib@ukm.edu.my; yusriy@usm.my; rashed@ukm.edu.my; fatimah.a@ukm.edu.my; haris@ukm.edu.my; kada@ukm.edu.my; sawal@ukm.edu.my; mdfiroz.khan@ukm.edu.my; azizans@um.edu.my; imranyusuff@ukm.edu.my; murnira@ukm.edu.my; faridtxmr@gmail.com; elianiezani@upm.edu.my</t>
  </si>
  <si>
    <t>Bin Yusuff, Imran/ABA-5986-2020; Lee, Muhammad Hisyam/G-1914-2017; Ahamad, Fatimah/ABH-6310-2020; Othman, Murnira/V-6426-2019; Iqbal Faruque, Mohammad Rashed/Q-5957-2019; Ali, Sawal Hamid Md/M-3781-2016; Hamid, Haris Hafizal Abd/JGL-9978-2023; Aiyub, Kadaruddin/P-5453-2018; Khan, Md Firoz/I-6065-2013; ABU SAMAH, AZIZAN HJ/B-8295-2010; Latif, Mohd Talib/E-9560-2010; Yusup, Yusri/F-6881-2010; Alhasa, Kemal/AFI-7394-2022</t>
  </si>
  <si>
    <t>Lee, Muhammad Hisyam/0000-0002-3700-2363; Ahamad, Fatimah/0000-0001-6264-8476; Othman, Murnira/0000-0001-5015-7901; Iqbal Faruque, Mohammad Rashed/0000-0003-4086-7672; Ali, Sawal Hamid Md/0000-0002-4819-863X; Aiyub, Kadaruddin/0000-0002-6690-1501; Khan, Md Firoz/0000-0003-3567-9634; Latif, Mohd Talib/0000-0003-2339-3321; Yusup, Yusri/0000-0001-6703-2208; Yusuff, Imran/0000-0003-2786-0732; Ezani, Eliani/0000-0002-1162-2484; Popoola, Olalekan/0000-0003-2390-8436; alhasa, kemal maulana/0000-0003-0833-6986</t>
  </si>
  <si>
    <t>Universiti Kebangsaan Malaysia (UKM) [AP-2015-010]; Sultan Mizan Antarctic Research Foundation (YPASM)</t>
  </si>
  <si>
    <t>Universiti Kebangsaan Malaysia (UKM); Sultan Mizan Antarctic Research Foundation (YPASM)</t>
  </si>
  <si>
    <t>We would like to thank Universiti Kebangsaan Malaysia (UKM) internal grant AP-2015-010 for research assistant financial support. Finally, Mohd Shahrul Mohd Nadzir would like to thank Sultan Mizan Antarctic Research Foundation (YPASM) for giving the opportunity and financial support during sensor calibration experiment at the Department of Chemistry University of Cambridge, UK.</t>
  </si>
  <si>
    <t>1424-8220</t>
  </si>
  <si>
    <t>SENSORS-BASEL</t>
  </si>
  <si>
    <t>Sensors</t>
  </si>
  <si>
    <t>10.3390/s18124380</t>
  </si>
  <si>
    <t>Chemistry, Analytical; Engineering, Electrical &amp; Electronic; Instruments &amp; Instrumentation</t>
  </si>
  <si>
    <t>Chemistry; Engineering; Instruments &amp; Instrumentation</t>
  </si>
  <si>
    <t>HG2TJ</t>
  </si>
  <si>
    <t>Green Accepted, Green Published, Green Submitted, gold</t>
  </si>
  <si>
    <t>WOS:000454817100299</t>
  </si>
  <si>
    <t>Zuo, GY; Dou, YK; Lei, RB</t>
  </si>
  <si>
    <t>Zuo, Guangyu; Dou, Yinke; Lei, Ruibo</t>
  </si>
  <si>
    <t>Discrimination Algorithm and Procedure of Snow Depth and Sea Ice Thickness Determination Using Measurements of the Vertical Ice Temperature Profile by the Ice-Tethered Buoys</t>
  </si>
  <si>
    <t>snow depth; ice thickness; ice-tethered buoys; temperature profiles; discrimination algorithm</t>
  </si>
  <si>
    <t>MASS-BALANCE; HEAT-FLUX</t>
  </si>
  <si>
    <t>Snow depth and sea ice thickness in the Polar Regions are significant indicators of climate change and have been measured over several decades by ice-tethered buoys. However, sea ice temperature profiles measured by ice-tethered buoys are rarely used to infer snow depth and sea ice thickness owing to the lack of automatic discrimination algorithms, restricting the use of the data for sea ice thermodynamics studies. In this study, snow depth and sea ice thickness were retrieved through the measurements of sea ice temperature profiles using discrimination algorithms of the change point and the maximum likelihood detection methods. The data measured by 50 ice-tethered buoys were used to evaluate the accuracy of the results determined by the algorithm. Influences on the seasonal sea ice thermodynamic state, vertical interval of temperature sensors on the buoys, and initial ice thickness on the estimation errors were also evaluated. The performance of the discrimination algorithm for the data from the Arctic and Antarctic regions was also compared. There were no identifiable differences between the estimation errors from the Arctic and Antarctica. Increases in both the interval of the temperature sensors and the initial ice thickness enlarged the error for the estimation of ice thickness. A procedure developed in this study strengthens the potential application of measurements from the ice-tethered buoys only with the measurements of the vertical temperature profile of the layer of snow-covered ice, but not the measurements of ice basal and surface positions using acoustic sounding.</t>
  </si>
  <si>
    <t>[Zuo, Guangyu; Dou, Yinke] Taiyuan Univ Technol, Coll Elect &amp; Power Engn, Taiyuan 030024, Shanxi, Peoples R China; [Zuo, Guangyu; Lei, Ruibo] Polar Res Inst China, SOA Key Lab Polar Sci, Shanghai 200136, Peoples R China</t>
  </si>
  <si>
    <t>Taiyuan University of Technology; Polar Research Institute of China</t>
  </si>
  <si>
    <t>Dou, YK (corresponding author), Taiyuan Univ Technol, Coll Elect &amp; Power Engn, Taiyuan 030024, Shanxi, Peoples R China.</t>
  </si>
  <si>
    <t>zuoguangyu0030@link.tyut.edu.cn; douyk8888cn@126.com; leiruibo@pric.org.cn</t>
  </si>
  <si>
    <t>National Key Research and Development Program of China [2016YFC1402702, 2016YFC1400303, 2018YFA0605903]; National Natural Science Foundation of China [41722605]</t>
  </si>
  <si>
    <t>National Key Research and Development Program of China; National Natural Science Foundation of China(National Natural Science Foundation of China (NSFC))</t>
  </si>
  <si>
    <t>This research was funded by the National Key Research and Development Program of China, grant number 2016YFC1402702, 2016YFC1400303, 2018YFA0605903 and the National Natural Science Foundation of China, grant number 41722605.</t>
  </si>
  <si>
    <t>10.3390/s18124162</t>
  </si>
  <si>
    <t>WOS:000454817100081</t>
  </si>
  <si>
    <t>Hayashi, A; Dorantes-Aranda, JJ; Bowman, JP; Hallegraeff, G</t>
  </si>
  <si>
    <t>Hayashi, Aiko; Dorantes-Aranda, Juan Jose; Bowman, John P.; Hallegraeff, Gustaaf</t>
  </si>
  <si>
    <t>Combined Cytotoxicity of the Phycotoxin Okadaic Acid and Mycotoxins on Intestinal and Neuroblastoma Human Cell Models</t>
  </si>
  <si>
    <t>TOXINS</t>
  </si>
  <si>
    <t>okadaic acid; sydowinin A; sydowinol; alamethicin; patulin; gliotoxin; combination index; synergy</t>
  </si>
  <si>
    <t>MARINE-DERIVED FUNGI; SHELLFISH; METABOLITES; EXPRESSION; MUSSELS; GLIOTOXIN; STRAIN</t>
  </si>
  <si>
    <t>Mycotoxins are emerging toxins in the marine environment, which can co-occur with algal toxins to exert synergistic or antagonistic effects for human seafood consumption. The current study assesses the cytotoxicity of the algal toxin okadaic acid, shellfish, and dust storm-associated mycotoxins alone or in combination on human intestinal (HT-29) and neuroblastoma (SH-SY5Y) cell lines. Based on calculated IC50 (inhibitory concentration 50%) values, mycotoxins and the algal toxin on their own exhibited increased cytotoxicity in the order of sydowinin A &lt; sydowinin B &lt;&lt; patulin &lt; alamethicin &lt; sydowinol &lt;&lt; gliotoxin approximate to okadaic acid against the HT-29 cell line, and sydowinin B &lt; sydowinin A &lt;&lt; alamethicin approximate to sydowinol &lt; patulin, &lt;&lt; gliotoxin &lt; okadaic acid against the SH-SY5Y cell line. Combinations of okadaic acid-sydowinin A, -alamethicin, -patulin, and -gliotoxin exhibited antagonistic effects at low-moderate cytotoxicity, but became synergistic at high cytotoxicity, while okadaic acid-sydowinol displayed an antagonistic relationship against HT-29 cells. Furthermore, only okadaic acid-sydowinin A showed synergism, while okadaic acid-sydowinol, -alamethicin, -patulin, and -gliotoxin combinations demonstrated antagonism against SH-SY5Y. While diarrhetic shellfish poisoning (DSP) from okadaic acid and analogues in many parts of the world is considered to be a comparatively minor seafood toxin syndrome, our human cell model studies suggest that synergisms with certain mycotoxins may aggravate human health impacts, depending on the concentrations. These findings highlight the issues of the shortcomings of current regulatory approaches, which do not regulate for mycotoxins in shellfish and treat seafood toxins as if they occur as single toxins.</t>
  </si>
  <si>
    <t>[Hayashi, Aiko; Dorantes-Aranda, Juan Jose; Hallegraeff, Gustaaf] Univ Tasmania, Inst Marine &amp; Antarctic Studies, Hobart, Tas 7004, Australia; [Bowman, John P.] Univ Tasmania, Tasmanian Inst Agr, Hobart, Tas 7005, Australia</t>
  </si>
  <si>
    <t>Hayashi, A (corresponding author), Univ Tasmania, Inst Marine &amp; Antarctic Studies, Hobart, Tas 7004, Australia.</t>
  </si>
  <si>
    <t>Aiko.Hayashi@utas.edu.au; juan.dorantesaranda@utas.edu.au; john.bowman@utas.edu.au; Hallegraeff@utas.edu.au</t>
  </si>
  <si>
    <t>Bowman, John P./ABF-5108-2020; Dorantes-Aranda, Juan Jose/J-7737-2014; Bowman, John P/C-2414-2014; Hallegraeff, Gustaaf/C-8351-2013</t>
  </si>
  <si>
    <t>Bowman, John P./0000-0002-4528-9333; Bowman, John P/0000-0002-4528-9333; Hayashi, Aiko/0000-0002-7348-9682; Dorantes-Aranda, Juan J./0000-0003-1513-6501; Hallegraeff, Gustaaf/0000-0001-8464-7343</t>
  </si>
  <si>
    <t>Australia Research Council [DP130102725]</t>
  </si>
  <si>
    <t>Australia Research Council(Australian Research Council)</t>
  </si>
  <si>
    <t>This work was partially funded by Australia Research Council grant DP130102725.</t>
  </si>
  <si>
    <t>2072-6651</t>
  </si>
  <si>
    <t>Toxins</t>
  </si>
  <si>
    <t>10.3390/toxins10120526</t>
  </si>
  <si>
    <t>Food Science &amp; Technology; Toxicology</t>
  </si>
  <si>
    <t>HG9ES</t>
  </si>
  <si>
    <t>WOS:000455310000041</t>
  </si>
  <si>
    <t>Park, J; Kim, HC; Hwang, J; Bae, D; Jo, YH</t>
  </si>
  <si>
    <t>Park, Jinku; Kim, Hyun-cheol; Hwang, Jihyun; Bae, Dukwon; Jo, Young-Heon</t>
  </si>
  <si>
    <t>An Approach for the Antarctic Polar Front Detection and an Analysis for its Variability</t>
  </si>
  <si>
    <t>Antarctic Polar Front; Front detection; Bayesian Oceanic Front Detection mode</t>
  </si>
  <si>
    <t>SOUTHERN-OCEAN FRONTS; LOCATION</t>
  </si>
  <si>
    <t>In order to detect the Antarctic Polar Front (PF) among the main fronts in the Southern Ocean, this study is based on the combinations of satellite-based sea surface temperature (SST) and height (SSH) observations. For accurate PF detection, we classified the signals as front or non-front grids based on the Bayesian decision theory from daily SST and SSH datasets, and then spatio-temporal synthesis has been performed to remove primary noises and to supplement geographical connectivity of the front grids. In addition, sea ice and coastal masking were employed in order to remove the noise that still remains even after performing the processes and morphology operations. Finally, we selected only the southernmost grids, which can be considered as fronts and determined as the monthly PF by a linear smoothing spline optimization method. The mean positions of PF in this study are very similar to those of the PFs reported by the previous studies, and it is likely to be well represents PF formation along the bottom topography known as one of the major influences of the PF maintenance. The seasonal variation in the positions of PF is high in the Ross Sea sector (similar to 180 degrees W), and Australia sector (120 degrees E-140 degrees E), and these variations are quite similar to the previous studies. Therefore, it is expected that the detection approach for the PF position applied in this study and the final composite have a value that can be used in related research to be carried out on the long term time-scale.</t>
  </si>
  <si>
    <t>[Park, Jinku; Hwang, Jihyun; Bae, Dukwon; Jo, Young-Heon] Pusan Natl Univ, Dept Oceanog, Busan, South Korea; [Kim, Hyun-cheol] Korea Polar Res Inst, Unit Arctic Sea Ice Predict, Incheon, South Korea</t>
  </si>
  <si>
    <t>Pusan National University; Korea Polar Research Institute (KOPRI)</t>
  </si>
  <si>
    <t>Jo, YH (corresponding author), Pusan Natl Univ, Dept Oceanog, Busan, South Korea.</t>
  </si>
  <si>
    <t>joyoung@pusan.ac.kr</t>
  </si>
  <si>
    <t>Kim, Hyun-Cheol/AAP-1250-2020</t>
  </si>
  <si>
    <t>Kim, Hyun-Cheol/0000-0002-6831-9291</t>
  </si>
  <si>
    <t>10.7780/kjrs.2018.34.6.2.3</t>
  </si>
  <si>
    <t>WOS:000454666300026</t>
  </si>
  <si>
    <t>Lee, S; Kim, HC</t>
  </si>
  <si>
    <t>Lee, Sungjae; Kim, Hyun-cheol</t>
  </si>
  <si>
    <t>HyperSAS Data for Polar Ocean Environments Observation and Ocean Color Validation</t>
  </si>
  <si>
    <t>remote sensing; Arctic sea; Antarctic sea; Hyper spectral; HyperSAS; Chlorophyll; Suspended Sediment</t>
  </si>
  <si>
    <t>REMOTE-SENSING REFLECTANCE; ABOVE-WATER; SEA; ESTUARIES</t>
  </si>
  <si>
    <t>In Arctic and Antarctic ocean, remote sensing is the most effective observation for environmental changes due to the inaccessibility of the regions. Even though satellite, UAV (Unmanned Aerial Vehical) are well known remote sensing platforms, and research vessel also used for automatic measurement on the regions, varied environment of Polar regions require time series and wide coverage of data. Especially, in high latitude, apply an optical satellite remote sensing is not easy due to low sun altitude. In this paper, we introduce an operation of hyper-spectrometer (HyperSAS/Satlantic inc.) which is mounted on Ice Breaker Research Vessel ARAON of Korea Polar Research Institute since 2010, to acquire an above water reflectance atomatically through every research cruise on Arctic and Antarctic ocean and transit both regions. In addition to, auxiliary data for the remotely acquired data, in situ water sampling were also obtained. The above water reflectance and in situ water sampling data are continuously acquired since 2010 will contribute to improve an Ocean Color algorithm in the high latitude and help to understand ocean reflectances over from high latitude through low latitude. Preliminary result from above water reflectance showed characteristics of Arctic ocean and Antarctic Ocean and used to develop algorithms for estimating various ocean factors such as chlorophyll and suspended sediment.</t>
  </si>
  <si>
    <t>[Lee, Sungjae; Kim, Hyun-cheol] Korea Polar Res Inst, Unit Arctic Sea Ice Predict, Incheon, South Korea</t>
  </si>
  <si>
    <t>Korea Polar Research Institute (KOPRI)</t>
  </si>
  <si>
    <t>Kim, HC (corresponding author), Korea Polar Res Inst, Unit Arctic Sea Ice Predict, Incheon, South Korea.</t>
  </si>
  <si>
    <t>kimhc@kopri.re.kr</t>
  </si>
  <si>
    <t>Kim, Hyun-Cheol/AAP-1250-2020; Lee, Sungjae/AAC-9537-2020</t>
  </si>
  <si>
    <t>Kim, Hyun-Cheol/0000-0002-6831-9291;</t>
  </si>
  <si>
    <t>10.7780/kjrs.2018.34.6.2.5</t>
  </si>
  <si>
    <t>WOS:000454666300028</t>
  </si>
  <si>
    <t>Kim, BK; Joo, H; Lee, B; Lee, DH; Ahn, IY; Ha, SY</t>
  </si>
  <si>
    <t>Kim, Bo Kyung; Joo, HyoungMin; Lee, Boyeon; Lee, Dong-Hun; Ahn, In-Young; Ha, Sun-Yong</t>
  </si>
  <si>
    <t>Physiological Characteristics and Related Biochemical Parameters of Snow Algae from King George Island, Antarctica</t>
  </si>
  <si>
    <t>OCEAN SCIENCE JOURNAL</t>
  </si>
  <si>
    <t>reddish snow; greenish snow; snow algae; pigments; fatty acids; mycosporine-like amino acids; King George Island; Antarctica</t>
  </si>
  <si>
    <t>AMINO-ACIDS; CHEMICAL-COMPOSITION; FATTY-ACIDS; PHYTOPLANKTON; CAROTENOIDS; PIGMENT; MARINE; IDENTIFICATION; CHLOROPHYTA; COMMUNITIES</t>
  </si>
  <si>
    <t>Red and green snow caused by snow algal blooms is common on glaciers and snowfields worldwide. Reddish and greenish snow samples containing algae were collected at the vicinity of penguin rockeries on King George Island (62A degrees 13'S, 58A degrees 47'W, near the King Sejong Station), Antarctica in February 2017 to investigate their physiology. Eight pigments and six fatty acids were detected from the samples. No difference in pigment and fatty acid (FA) composition was found between reddish and greenish snow samples. In contrast, spectral profiling and mycosporine-like amino acids (MAAs) were different between reddish and greenish snow. Particularly in greenish snow, a high absorbance between 450-600 nm was observed. The average MAA concentration was 316.0 mu g g(-1) in greenish snow, which was higher than that of reddish snow (278.2 mu g g(-1)). The MAA to Particulate organic carbon (POC) ratio (mg (g C)(-1)) for reddish snow (6.2 mg (g C)(-1)) was higher than that of greenish snow (2.6 mg (g C)(-1)). These results suggest that reddish and greenish snow are considered to be the same species based on pigment and FA composition. Compared with photoprotective pigments, MAAs offer snow algae a more effective photoprotection strategy to promote tolerance of natural levels of ultraviolet radiation (UVR).</t>
  </si>
  <si>
    <t>[Kim, Bo Kyung; Joo, HyoungMin; Lee, Boyeon; Ahn, In-Young; Ha, Sun-Yong] KIOST, Korea Polar Res Inst, Div Polar Ocean Sci, Incheon 21990, South Korea; [Lee, Dong-Hun] Hanyang Univ, Dept Marine Sci &amp; Convergent Technol, Coll Sci &amp; Convergence Technol, Ansan 15588, South Korea</t>
  </si>
  <si>
    <t>Korea Institute of Ocean Science &amp; Technology (KIOST); Korea Polar Research Institute (KOPRI); Hanyang University</t>
  </si>
  <si>
    <t>Ha, SY (corresponding author), KIOST, Korea Polar Res Inst, Div Polar Ocean Sci, Incheon 21990, South Korea.</t>
  </si>
  <si>
    <t>syha@kopri.re.kr</t>
  </si>
  <si>
    <t>Kim, Bo Kyung/GRY-2456-2022</t>
  </si>
  <si>
    <t>Kim, Bo Kyung/0009-0005-4890-701X</t>
  </si>
  <si>
    <t>Studies on the Changes in Coastal Marine Systems of the Antarctic Peninsula: A 2050 Outlook (CHAMP 2050) program [PE18070]</t>
  </si>
  <si>
    <t>Studies on the Changes in Coastal Marine Systems of the Antarctic Peninsula: A 2050 Outlook (CHAMP 2050) program</t>
  </si>
  <si>
    <t>This work was supported by grants from the Studies on the Changes in Coastal Marine Systems of the Antarctic Peninsula: A 2050 Outlook (CHAMP 2050; PE18070) program.</t>
  </si>
  <si>
    <t>KOREA OCEAN RESEARCH DEVELOPMENT INST</t>
  </si>
  <si>
    <t>P O BOX 29, SEOUL, 425-600, SOUTH KOREA</t>
  </si>
  <si>
    <t>1738-5261</t>
  </si>
  <si>
    <t>2005-7172</t>
  </si>
  <si>
    <t>OCEAN SCI J</t>
  </si>
  <si>
    <t>Ocean Sci. J.</t>
  </si>
  <si>
    <t>10.1007/s12601-018-0053-8</t>
  </si>
  <si>
    <t>HG1TX</t>
  </si>
  <si>
    <t>WOS:000454745000002</t>
  </si>
  <si>
    <t>Choi, SG; Yoon, EA; An, DH; Chung, S; Lee, J; Lee, K</t>
  </si>
  <si>
    <t>Choi, Seok-Gwan; Yoon, Eun-A; An, Doo-Hae; Chung, Sangdeuk; Lee, Jaebong; Lee, Kyounghoon</t>
  </si>
  <si>
    <t>Characterization of Frequency and Aggregation of the Antarctic Krill (Euphausia superba) Using Acoustics</t>
  </si>
  <si>
    <t>Antarctic krill; dB difference; swarm characteristics; South Shetland Island; acoustics</t>
  </si>
  <si>
    <t>SPECIES IDENTIFICATION; FISH SCHOOLS; BACKSCATTERING STRENGTH; SOUTH GEORGIA; CLASSIFICATION; VARIABILITY; ABUNDANCE; VICINITY; SHAPES; SYSTEM</t>
  </si>
  <si>
    <t>In this study, the dB difference and characteristics of krill swarms inhabiting Subarea 48.1, which includes the west and south of the South Shetland Island and the Elephant Island peripheries, were estimated to distinguish Antarctic krill, using acoustics. From April 13 to 24, 2016, acoustic data were collected along 24 survey lines using the frequencies 38 and 120 kHz, and middle trawling was performed at 7 stations. Using the difference between the dB values of two volume backscattering strength (Sv) frequencies (38 and 120 kHz), a clear acoustic distinction could be made between Antarctic krill (4.9 to 12.0 dB) and fish (-4.0 to -0.2 dB). The distributions and mean Sv of krill swarms in the Elephant Island peripheries and south of South Shetland Island were higher than those in the west of South Shetland Island. The mean length/ height ratio of krill swarms in the west of the South Shetland Island (64.5) was higher than that in the south (35.9) and the Elephant Island peripheries (33.8), with the length of the aggregations exceeding their height. Most krill swarms were distributed between the surface layer (less than 10 m below sea level) and within 200 m of water depth. These results are expected to serve as baseline data for evaluating krill density and biomass by distinguishing them from fish, using acoustics.</t>
  </si>
  <si>
    <t>[Choi, Seok-Gwan; An, Doo-Hae; Chung, Sangdeuk; Lee, Jaebong] Natl Inst Fisheries Sci, Distant Water Fisheries Resources Res Div, Busan 46083, South Korea; [Yoon, Eun-A; Lee, Kyounghoon] Chonnam Natl Univ, Sch Marine Technol, Yeosu 59626, South Korea; [Choi, Seok-Gwan; An, Doo-Hae; Chung, Sangdeuk; Lee, Jaebong] Natl Inst Fisheries Sci, Distant Water Fisheries Resources Res Div, Busan 46083, South Korea; [Yoon, Eun-A; Lee, Kyounghoon] Chonnam Natl Univ, Sch Marine Technol, Yeosu 59626, South Korea</t>
  </si>
  <si>
    <t>National Institute of Fisheries Science; Chonnam National University; National Institute of Fisheries Science; Chonnam National University</t>
  </si>
  <si>
    <t>Lee, K (corresponding author), Chonnam Natl Univ, Sch Marine Technol, Yeosu 59626, South Korea.</t>
  </si>
  <si>
    <t>khlee71@jnu.ac.kr</t>
  </si>
  <si>
    <t>National Institute of Fisheries Science, Korea [R2018025]</t>
  </si>
  <si>
    <t>National Institute of Fisheries Science, Korea</t>
  </si>
  <si>
    <t>This research is supported by National Institute of Fisheries Science (R2018025), Korea. We are grateful to an editor and anonymous reviewers for their insightful comments that greatly helped to clarify and refine the paper.</t>
  </si>
  <si>
    <t>10.1007/s12601-018-0043-x</t>
  </si>
  <si>
    <t>WOS:000454745000006</t>
  </si>
  <si>
    <t>Chrismas, NAM; Williamson, CJ; Yallop, ML; Anesio, AM; Sánchez-Baracaldo, P</t>
  </si>
  <si>
    <t>Chrismas, Nathan A. M.; Williamson, Christopher J.; Yallop, Marian L.; Anesio, Alexandre M.; Sanchez-Baracaldo, Patricia</t>
  </si>
  <si>
    <t>Photoecology of the Antarctic cyanobacterium Leptolyngbya sp. BC1307 brought to light through community analysis, comparative genomics and in vitro photophysiology</t>
  </si>
  <si>
    <t>Antarctica; cyanobacteria; genomics; photoecology; photophysiology</t>
  </si>
  <si>
    <t>MCMURDO DRY VALLEYS; MULTIPLE SEQUENCE ALIGNMENT; MICROBIAL MAT COMMUNITIES; ORANGE CAROTENOID PROTEIN; CHLOROPHYLL FLUORESCENCE; CHROMATIC ADAPTATION; PHOTOSYNTHETIC COMMUNITIES; PHYTOENE DESATURASE; PHOTOSYSTEM-II; LAKE HOARE</t>
  </si>
  <si>
    <t>Cyanobacteria are important photoautotrophs in extreme environments such as the McMurdo Dry Valleys, Antarctica. Terrestrial Antarctic cyanobacteria experience constant darkness during the winter and constant light during the summer which influences the ability of these organisms to fix carbon over the course of an annual cycle. Here, we present a unique approach combining community structure, genomic and photophysiological analyses to understand adaptation to Antarctic light regimes in the cyanobacterium Leptolyngbya sp. BC1307. We show that Leptolyngbya sp. BC1307 belongs to a clade of cyanobacteria that inhabits near-surface environments in the McMurdo Dry Valleys. Genomic analyses reveal that, unlike close relatives, Leptolyngbya sp. BC1307 lacks the genes necessary for production of the pigment phycoerythrin and is incapable of complimentary chromatic acclimation, while containing several genes responsible for known photoprotective pigments. Photophysiology experiments confirmed Leptolyngbya sp. BC1307 to be tolerant of short-term exposure to high levels of photosynthetically active radiation, while sustained exposure reduced its capacity for photoprotection. As such, Leptolyngbya sp. BC1307 likely exploits low-light microenvironments within cyanobacterial mats in the McMurdo Dry Valleys.</t>
  </si>
  <si>
    <t>[Chrismas, Nathan A. M.] Marine Biol Assoc UK, The Lab, Citadel Hill, Plymouth PL1 2PB, Devon, England; [Chrismas, Nathan A. M.; Williamson, Christopher J.; Anesio, Alexandre M.; Sanchez-Baracaldo, Patricia] Univ Bristol, Sch Geog Sci, Bristol BS8 1SS, Avon, England; [Williamson, Christopher J.; Yallop, Marian L.] Univ Bristol, Sch Biol Sci, Life Sci Bldg, Bristol, Avon, England; [Anesio, Alexandre M.] Aarhus Univ, Dept Environm Sci, Roskilde, Denmark</t>
  </si>
  <si>
    <t>Marine Biological Association United Kingdom; University of Bristol; University of Bristol; Aarhus University</t>
  </si>
  <si>
    <t>Chrismas, NAM (corresponding author), Marine Biol Assoc UK, The Lab, Citadel Hill, Plymouth PL1 2PB, Devon, England.;Chrismas, NAM (corresponding author), Univ Bristol, Sch Geog Sci, Bristol BS8 1SS, Avon, England.</t>
  </si>
  <si>
    <t>natchr@mba.ac.uk</t>
  </si>
  <si>
    <t>, Marian/JSL-4087-2023; Sanchez-Baracaldo, Patricia/A-5309-2017; Anesio, Alexandre/A-7597-2008</t>
  </si>
  <si>
    <t>Anesio, Alexandre/0000-0003-2990-4014; Sanchez-Baracaldo, Patricia/0000-0002-5216-2664; Chrismas, Nathan/0000-0002-2165-3102; Williamson, Christopher/0000-0002-8239-7368</t>
  </si>
  <si>
    <t>Natural Environment Research Council [NE/J02399X/1, NE/M021025/1]; Royal Society; Dorothy Hodgkin Fellowship; University Research Fellowship; National Science Foundation [ANT-0423595]; NERC [NE/M021025/1, NE/J02399X/1] Funding Source: UKRI</t>
  </si>
  <si>
    <t>Natural Environment Research Council(UK Research &amp; Innovation (UKRI)Natural Environment Research Council (NERC)); Royal Society(Royal Society); Dorothy Hodgkin Fellowship; University Research Fellowship; National Science Foundation(National Science Foundation (NSF)); NERC(UK Research &amp; Innovation (UKRI)Natural Environment Research Council (NERC))</t>
  </si>
  <si>
    <t>Natural Environment Research Council, Grant/Award Number: GW4+ Doctoral Training Grant, NE/J02399X/1 and NE/M021025/1; Royal Society; Dorothy Hodgkin Fellowship; University Research Fellowship; National Science Foundation, Grant/Award Number: ANT-0423595</t>
  </si>
  <si>
    <t>10.1111/mec.14953</t>
  </si>
  <si>
    <t>HF9ZD</t>
  </si>
  <si>
    <t>WOS:000454600500023</t>
  </si>
  <si>
    <t>Bevington, J; McKay, CP; Davila, A; Hawes, I; Tanabe, Y; Andersen, DT</t>
  </si>
  <si>
    <t>Bevington, James; McKay, Christopher P.; Davila, Alfonso; Hawes, Ian; Tanabe, Yukiko; Andersen, Dale T.</t>
  </si>
  <si>
    <t>The thermal structure of the anoxic trough in Lake Untersee, Antarctica</t>
  </si>
  <si>
    <t>ANTARCTIC SCIENCE</t>
  </si>
  <si>
    <t>climate change; Dronning Maud Land; lake; solar heating</t>
  </si>
  <si>
    <t>DRONNING MAUD LAND; TAYLOR VALLEY; ICE; BONNEY; LIGHT; WATER; STRATIFICATION; ABSORPTION; VANDA; UV</t>
  </si>
  <si>
    <t>Lake Untersee is a perennially ice-covered Antarctic lake that consists of two basins. The deepest basin, next to the Anuchin Glacier is aerobic to its maximum depth of 160 m. The shallower basin has a maximum depth of 100 m, is anoxic below 80m, and is shielded from convective currents. The thermal profile in the anoxic basin is unusual in that the water temperature below 50 m is constant at 4 degrees C but rises to 5 degrees C between 70 m and 80 m depth, then drops to 3.7 degrees C at the bottom. Field measurements were used to conduct a thermal and stability analysis of the anoxic basin. The shape of the thermal maximum implies two discrete locations of energy input, one of 0.11 W m(-2) at 71 m depth and one of 0.06W m(-2) at 80 m depth. Heat from microbial activity cannot account for the required amount of energy at either depth. Instead, absorption of solar radiation due to an increase in water opacity at these depths can account for the required energy input. Hence, while microbial metabolism is not an important source of heat, biomass increases opacity in the water column resulting in greater absorption of sunlight.</t>
  </si>
  <si>
    <t>[Bevington, James] Int Space Univ, Strasbourg, France; [Bevington, James; McKay, Christopher P.; Davila, Alfonso] NASA, Div Space Sci, Ames Res Ctr, Moffett Field, CA 94035 USA; [Hawes, Ian] Univ Waikato Tauranga, Tauranga, New Zealand; [Tanabe, Yukiko] Natl Inst Polar Res, Tokyo, Japan; [Andersen, Dale T.] SETI Inst, Carl Sagan Ctr Study Life Universe, Mountain View, CA 94040 USA</t>
  </si>
  <si>
    <t>National Aeronautics &amp; Space Administration (NASA); NASA Ames Research Center; Research Organization of Information &amp; Systems (ROIS); National Institute of Polar Research (NIPR) - Japan</t>
  </si>
  <si>
    <t>Andersen, DT (corresponding author), SETI Inst, Carl Sagan Ctr Study Life Universe, Mountain View, CA 94040 USA.</t>
  </si>
  <si>
    <t>dandersen@seti.org</t>
  </si>
  <si>
    <t>Bevington, James/JMQ-9208-2023; Andersen, Dale T/B-4816-2013; Davila, Alfonso F/A-2198-2013</t>
  </si>
  <si>
    <t>Andersen, Dale T/0000-0001-8827-1259; McKay, Christopher/0000-0002-6243-1362</t>
  </si>
  <si>
    <t>Tawani Foundation; Trottier Family Foundation; Arctic and Antarctic Research Institute/Russian Antarctic Expedition's Subprogram ''Study and Research of the Antarctic'' of the Federal Target Program ''World Ocean''; NASA's Astrobiology Program</t>
  </si>
  <si>
    <t>Tawani Foundation; Trottier Family Foundation; Arctic and Antarctic Research Institute/Russian Antarctic Expedition's Subprogram ''Study and Research of the Antarctic'' of the Federal Target Program ''World Ocean''; NASA's Astrobiology Program(National Aeronautics &amp; Space Administration (NASA))</t>
  </si>
  <si>
    <t>Primary support for this research was provided by the Tawani Foundation, the Trottier Family Foundation, the Arctic and Antarctic Research Institute/Russian Antarctic Expedition's Subprogram ''Study and Research of the Antarctic'' of the Federal Target Program ''World Ocean'', and NASA's Astrobiology Program. Logistics support was provided by Antarctic Logistics Centre International (ALCI), Cape Town, South Africa. We are grateful to Colonel (IL) J. N. Pritzker, IL ARNG (retired), Lorne Trottier, and fellow field team members for their support during the expedition. The authors also thank Robert Spigel and a second anonymous reviewer for constructive comments on the text.</t>
  </si>
  <si>
    <t>0954-1020</t>
  </si>
  <si>
    <t>1365-2079</t>
  </si>
  <si>
    <t>ANTARCT SCI</t>
  </si>
  <si>
    <t>Antarct. Sci.</t>
  </si>
  <si>
    <t>10.1017/S0954102018000354</t>
  </si>
  <si>
    <t>Environmental Sciences; Geography, Physical; Geosciences, Multidisciplinary</t>
  </si>
  <si>
    <t>Environmental Sciences &amp; Ecology; Physical Geography; Geology</t>
  </si>
  <si>
    <t>HF5TQ</t>
  </si>
  <si>
    <t>WOS:000454297300002</t>
  </si>
  <si>
    <t>O'Driscoll, RL; Ladroit, Y; Parker, SJ; Vacchi, M; Canese, S; Ghigliotti, L; Dunford, AJ; Mormede, S</t>
  </si>
  <si>
    <t>O'Driscoll, Richard L.; Ladroit, Yoann; Parker, Steven J.; Vacchi, Marino; Canese, Simonepietro; Ghigliotti, Laura; Dunford, Adam J.; Mormede, Sophie</t>
  </si>
  <si>
    <t>Acoustic deployments reveal Antarctic silverfish under ice in the Ross Sea</t>
  </si>
  <si>
    <t>echo surveys; fisheries acoustics; forage fish; sea ice; moorings</t>
  </si>
  <si>
    <t>TERRA-NOVA BAY; PLEURAGRAMMA-ANTARCTICUM; FOOD-WEB; ABUNDANCE; FISHES; BEHAVIOR; PISCES; SOUND</t>
  </si>
  <si>
    <t>Antarctic silverfish (Pleuragramma antarctica Boulengcr) are a keystone species in the Ross Sea. Silverfish eggs and larvae are abundant during spring amongst the sub-surface platelet ice in Terra Nova Bay. It is not known whether the eggs are spawned elsewhere and accumulate under the ice or whether there is mass migration of silverfish to coastal spawning sites in winter. To test the latter hypothesis, an upward-looking 67 kHz echo sounder was moored in Terra Nova Bay to observe potential silverfish migration. The echo sounder was deployed at 380 m in a seabed depth of 550 m and ran for 210 days from 15 May until 11 December 2015. Acoustic reflections consistent with silverfish were observed at depths of 230-380 m during 9-22 September. This timing is consistent with the presence of eggs typically observed in October. Adult silverfish were also detected with an echo sounder and camera deployed through the ice in McMurdo Sound on 10 November 2015. Juvenile silverfish, but not adults, were observed through the ice in Terra Nova Bay during 11-16 November 2017. This paper provides a proof of concept, showing that innovative use of acoustics may help fill important observation gaps in the life history of silverfish.</t>
  </si>
  <si>
    <t>[O'Driscoll, Richard L.; Ladroit, Yoann; Dunford, Adam J.; Mormede, Sophie] Natl Inst Water &amp; Atmospher Res Ltd, Private Bag 14-901, Wellington 6241, New Zealand; [Parker, Steven J.] Natl Inst Water &amp; Atmospher Res Ltd, POB 893, Nelson 7040, New Zealand; [Vacchi, Marino; Ghigliotti, Laura] Natl Res Council Italy CNR, Inst Marine Sci, Via De Marini 6, I-16149 Genoa, Italy; [Canese, Simonepietro] Ist Super Ric &amp; Protez Ambientale ISPRA, Via Vitaliano Brancati 48, I-00144 Rome, Italy</t>
  </si>
  <si>
    <t>National Institute of Water &amp; Atmospheric Research (NIWA) - New Zealand; National Institute of Water &amp; Atmospheric Research (NIWA) - New Zealand; Consiglio Nazionale delle Ricerche (CNR); Istituto di Scienze Marine (ISMAR-CNR); Italian Institute for Environmental Protection &amp; Research (ISPRA)</t>
  </si>
  <si>
    <t>O'Driscoll, RL (corresponding author), Natl Inst Water &amp; Atmospher Res Ltd, Private Bag 14-901, Wellington 6241, New Zealand.</t>
  </si>
  <si>
    <t>richard.odriscoll@niwa.co.nz</t>
  </si>
  <si>
    <t>Canese, Simonepietro/AAA-5499-2019; Ghigliotti, Laura/AAN-6843-2021; Ghigliotti, Laura/J-3076-2012</t>
  </si>
  <si>
    <t>Canese, Simonepietro/0000-0001-6049-4506; Ghigliotti, Laura/0000-0003-2139-1381; ladroit, Yoann/0000-0002-5723-9501</t>
  </si>
  <si>
    <t>NIWA; Antarctica New Zealand; New Zealand Ministry for Primary Industries; New Zealand Ministry for Business, Innovation and Employment; Italian National Programme of Antarctic Research</t>
  </si>
  <si>
    <t>NIWA; Antarctica New Zealand; New Zealand Ministry for Primary Industries; New Zealand Ministry for Business, Innovation and Employment(New Zealand Ministry of Business, Innovation and Employment (MBIE)); Italian National Programme of Antarctic Research</t>
  </si>
  <si>
    <t>We thank the officers, crew and scientific staff on RV Tangaroa and RV Italica for their expertise in deployment and recovering the mooring. We also thank staff at Antarctica New Zealand, Scott Base and Mario Zucchelli Station for logistical support. This research was jointly funded by NIWA, Antarctica New Zealand, the New Zealand Ministry for Primary Industries, the New Zealand Ministry for Business, Innovation and Employment and the Italian National Programme of Antarctic Research. The paper was improved following comments from two anonymous reviewers.</t>
  </si>
  <si>
    <t>10.1017/S0954102018000366</t>
  </si>
  <si>
    <t>WOS:000454297300003</t>
  </si>
  <si>
    <t>Dayton, PK; Robilliard, GA; Oliver, JS; Kim, S; Hammerstrom, K; O'Connor, K; Fisher, J; Barber, J; Jarrell, S</t>
  </si>
  <si>
    <t>Dayton, Paul K.; Robilliard, Gordon A.; Oliver, John S.; Kim, Stacy; Hammerstrom, Kamille; O'Connor, Kevin; Fisher, Jennifer; Barber, Julie; Jarrell, Shannon</t>
  </si>
  <si>
    <t>Long-term persistence of wood on the sea floor at McMurdo Sound, Antarctica</t>
  </si>
  <si>
    <t>[Dayton, Paul K.; Jarrell, Shannon] Scripps Inst Oceanog, Mail Code 0227,9500 Gilman Dr, La Jolla, CA 92093 USA; [Robilliard, Gordon A.] 1823 61st Ave NW, Gig Harbor, WA 98335 USA; [Oliver, John S.; Kim, Stacy; Hammerstrom, Kamille; O'Connor, Kevin] Moss Landing Marine Labs, 8272 Moss Landing Rd, Moss Landing, CA 95039 USA; [Fisher, Jennifer] Hatfield Marine Sci Ctr, 2030 SE Marine Sci Dr, Newport, OR 97365 USA; [Barber, Julie] Swinomish Indian Tribal Community, Dept Fisheries, 11426 Moorage Way, La Conner, WA 98221 USA</t>
  </si>
  <si>
    <t>University of California System; University of California San Diego; Scripps Institution of Oceanography; Moss Landing Marine Laboratories</t>
  </si>
  <si>
    <t>Hammerstrom, K (corresponding author), Moss Landing Marine Labs, 8272 Moss Landing Rd, Moss Landing, CA 95039 USA.</t>
  </si>
  <si>
    <t>khammerstrom@mlml.calstate.edu</t>
  </si>
  <si>
    <t>Barber, Julie/AAH-1823-2020; Barber, Julie S/V-7557-2017</t>
  </si>
  <si>
    <t>Barber, Julie/0000-0002-5394-0747; Hammerstrom, Kamille/0000-0002-1177-5552</t>
  </si>
  <si>
    <t>National Science Foundation</t>
  </si>
  <si>
    <t>The authors wish to thank Drs Charles Amsler, Craig McClain and Craig Smith for helpful comments and insights. Funding was provided by the National Science Foundation over multiple grants.</t>
  </si>
  <si>
    <t>10.1017/S0954102018000305</t>
  </si>
  <si>
    <t>WOS:000454297300004</t>
  </si>
  <si>
    <t>Tidey, EJ; Hulbe, CL</t>
  </si>
  <si>
    <t>Tidey, Emily J.; Hulbe, Christina L.</t>
  </si>
  <si>
    <t>Bathymetry and glacial geomorphology in the sub-Antarctic Auckland Islands</t>
  </si>
  <si>
    <t>glaciation; multibeam; Quaternary; Southern Ocean; subsea geomorphology</t>
  </si>
  <si>
    <t>VEGETATION; HISTORY</t>
  </si>
  <si>
    <t>New high-resolution multibeam swath bathymetry along the east coast of the Auckland Islands is combined with subaerial topography and evaluated in the context of Quaternary glaciation of the islands. The marine geomorphology represents a mixture of past and current processes so that submerged glacial features are more evident in some areas than others. Fjords in the central and southern parts of the coastline are characterized by well-preserved terminal moraines and other glacial features while fjords to the north tend to have more subdued glacial features and a smoother seabed. This is the farthest north record yet established of extensive sub-Antarctic glaciation, relative to the position of the modern sub-Antarctic and Polar Front. This is the first analysis of detailed sea floor geomorphology in the area and provides a starting point for new studies of paleoclimate and past glaciations.</t>
  </si>
  <si>
    <t>[Tidey, Emily J.; Hulbe, Christina L.] Univ Otago, Sch Surveying, 310 Castle St, Dunedin, New Zealand</t>
  </si>
  <si>
    <t>University of Otago</t>
  </si>
  <si>
    <t>Tidey, EJ (corresponding author), Univ Otago, Sch Surveying, 310 Castle St, Dunedin, New Zealand.</t>
  </si>
  <si>
    <t>emily.tidey@otago.ac.nz</t>
  </si>
  <si>
    <t>Tidey, Emily/0000-0003-2485-6383</t>
  </si>
  <si>
    <t>10.1017/S0954102018000342</t>
  </si>
  <si>
    <t>WOS:000454297300005</t>
  </si>
  <si>
    <t>Bak, YS; Yoo, KC; Lee, JI; Yoon, HI</t>
  </si>
  <si>
    <t>Bak, Young-Suk; Yoo, Kyu-Cheul; Lee, Jae Il; Yoon, Ho Il</t>
  </si>
  <si>
    <t>Glacial-interglacial records from sediments in Powell Basin, Antarctica</t>
  </si>
  <si>
    <t>diatom zones; GC01-PW02; GC03-PW02; MIS 6</t>
  </si>
  <si>
    <t>SOUTHERN-OCEAN SEDIMENTS; SEASONAL DIATOM RECORD; WESTERN ROSS SEA; PRYDZ BAY; ICE; BIOGEOGRAPHY; ASSEMBLAGES; SHELF; TAXA; DEEP</t>
  </si>
  <si>
    <t>Palaeoenvironmental history is reconstructed from diatoms in two sediment cores, GC01- PW02 and GC03-PW02, recovered from Powell Basin, Antarctica. A total of 43 species belonging to 21 genera are identified from GC01-PW02. A total of 61 species belonging to 27 genera are identified from GC03-PW02. The number of diatom valves g(-1) of dry sediment ranges from 0.1-48.3 x 10(6) valves g(-1). Based on diatom abundance, six assemblage zones were identified from GC01-PW02, and five diatom zones were identified from GC03-PW02. Barren intervals represent glacial periods, while intervals with higher diatom abundances were deposited during interglacial periods and reduced sea ice cover. The occurrence of Rouxia leventerae only within the deepest zone of each of the cores indicates that the core sediments were deposited since marine isotope stage (MIS) 6.</t>
  </si>
  <si>
    <t>[Bak, Young-Suk] Chonbuk Natl Univ, Earth &amp; Environm Syst Res Ctr, Jeonju 54896, South Korea; [Yoo, Kyu-Cheul; Lee, Jae Il; Yoon, Ho Il] Korea Polar Res Inst, 26 Songdomirae Ro, Incheon 21990, South Korea</t>
  </si>
  <si>
    <t>Jeonbuk National University; Korea Polar Research Institute (KOPRI)</t>
  </si>
  <si>
    <t>Bak, YS (corresponding author), Chonbuk Natl Univ, Earth &amp; Environm Syst Res Ctr, Jeonju 54896, South Korea.</t>
  </si>
  <si>
    <t>sydin@jbnu.ac.kr</t>
  </si>
  <si>
    <t>Basic Science Research Program through the National Research Foundation of Korea (NRF) - Ministry of Education [NRF-2018R1D1A1B07048767]; KOPRI Grant [PE18030]</t>
  </si>
  <si>
    <t>Basic Science Research Program through the National Research Foundation of Korea (NRF) - Ministry of Education(National Research Foundation of KoreaMinistry of Education (MOE), Republic of KoreaNational Research Council for Economics, Humanities &amp; Social Sciences, Republic of Korea); KOPRI Grant(Korea Polar Research Institute of Marine Research Placement (KOPRI))</t>
  </si>
  <si>
    <t>This research was supported by Basic Science Research Program through the National Research Foundation of Korea (NRF) funded by the Ministry of Education (NRF-2018R1D1A1B07048767), and funded by KOPRI Grant PE18030. We thank the two anonymous reviewers for critical comments of the manuscript.</t>
  </si>
  <si>
    <t>10.1017/S0954102018000408</t>
  </si>
  <si>
    <t>WOS:000454297300006</t>
  </si>
  <si>
    <t>Costi, J; Arigony-Neto, J; Braun, M; Mavlyudov, B; Barrand, NE; da Silva, AB; Marques, WC; Simoes, JC</t>
  </si>
  <si>
    <t>Costi, Juliana; Arigony-Neto, Jorge; Braun, Matthias; Mavlyudov, Bulat; Barrand, Nicholas E.; da Silva, Aline Barbosa; Marques, Wiliam Correa; Simoes, Jefferson Cardia</t>
  </si>
  <si>
    <t>Estimating surface melt and runoff on the Antarctic Peninsula using ERA-Interim reanalysis data</t>
  </si>
  <si>
    <t>positive degree days; glacier and snow surface melting; meltwater</t>
  </si>
  <si>
    <t>C ICE SHELF; MASS-BALANCE; LIVINGSTON ISLAND; SHEET; GLACIERS; LARSEN; TRENDS; ACCELERATION; MARGINS; CAP</t>
  </si>
  <si>
    <t>Using the positive degree days approach and ERA-Interim reanalysis downscalcd data, the researchers ran a melt model spatially gridded at 200 m with annual temporal resolution over 32 years and estimated surface melt (SM) and surface runoff (SR) on the Antarctic Peninsula. The model was calibrated and validated independently by field measurements. The maximum surface melt values occurred in 1985 (129 Gt), and the maximum runoff (40 Gt) occurred in 1993; both parameters showed minimum values in 2014 (26 Gt and 0.37 Gt, respectively). No significant trends are present. Two widespread positive anomalies occurred in 1993 and 2006. The results reveal that the floating ice areas produce an average of 68% of runoff and 61% of surface melt, emphasizing their importance to coastal hydrography. During the seven years preceding the Larsen B collapse, surface melt retention was higher than 95% on floating ice areas, and negative runoff anomalies persisted. Excluding the islands, the vicinity of this former ice shelf exhibits the highest specific surface melt and runoff across the studied area.</t>
  </si>
  <si>
    <t>[Costi, Juliana; Simoes, Jefferson Cardia] Univ Fed Rio Grande do Sul, Ctr Polar &amp; Climat, Inst Geociencias, Porto Alegre, RS, Brazil; [Arigony-Neto, Jorge; da Silva, Aline Barbosa] Univ Fed Rio Grande, Lab Monitoramento Criosfera, Inst Oceanog, Rio Grande, Brazil; [Braun, Matthias] Friedrich Alexander Univ Erlangen Nurnberg, Inst Geog, Wetterkreuz 15, D-91058 Erlangen, Germany; [Mavlyudov, Bulat] Russian Acad Sci, Inst Geog, Vavilova 37, Moscow, Russia; [Barrand, Nicholas E.] Univ Birmingham, Sch Geog Earth &amp; Environm Sci, Birmingham, W Midlands, England; [Costi, Juliana; Marques, Wiliam Correa] Univ Fed Rio Grande, Lab Anal Numer &amp; Sistemas Dinam, Inst Matemat Estat &amp; Fis, Rio Grande, Brazil</t>
  </si>
  <si>
    <t>Universidade Federal do Rio Grande do Sul; Universidade Federal do Rio Grande; University of Erlangen Nuremberg; Institute of Geography, Russian Academy of Sciences; Russian Academy of Sciences; University of Birmingham; Universidade Federal do Rio Grande</t>
  </si>
  <si>
    <t>Costi, J (corresponding author), Univ Fed Rio Grande do Sul, Ctr Polar &amp; Climat, Inst Geociencias, Porto Alegre, RS, Brazil.;Costi, J (corresponding author), Univ Fed Rio Grande, Lab Anal Numer &amp; Sistemas Dinam, Inst Matemat Estat &amp; Fis, Rio Grande, Brazil.</t>
  </si>
  <si>
    <t>juliana.costi@ufrgs.br</t>
  </si>
  <si>
    <t>Мавлюдов, Булат/AAF-9461-2021; Braun, Matthias H/S-4693-2016; Simoes, Jefferson Cardia/D-7232-2013; Silva, Aline Barbosa Barbosa/AAI-2392-2020; Costi, Juliana/AHI-7948-2022; marques, wiliam C/J-5529-2014; Braun, Matthias/A-4968-2009</t>
  </si>
  <si>
    <t>Мавлюдов, Булат/0000-0002-1576-7920; Simoes, Jefferson Cardia/0000-0001-5555-3401; Silva, Aline Barbosa Barbosa/0000-0002-4026-4591; Costi, Juliana/0000-0001-6220-2343; Barrand, Nicholas/0000-0003-4428-1863; Braun, Matthias/0000-0001-5169-1567; Arigony-Neto, Jorge/0000-0003-4848-2064</t>
  </si>
  <si>
    <t>EU FP7-PEOPLE-2012-IRSES IMCONet grant [318718]; Brazilian Coordination for the Improvement of Higher Education Personnel (CAPES); Brazilian National Institute of Science and Technology of the Cryosphere (INCT da Criosfera); German Research Foundation [BR2105/9-1, BR2105/13-1]</t>
  </si>
  <si>
    <t>EU FP7-PEOPLE-2012-IRSES IMCONet grant; Brazilian Coordination for the Improvement of Higher Education Personnel (CAPES)(Coordenacao de Aperfeicoamento de Pessoal de Nivel Superior (CAPES)); Brazilian National Institute of Science and Technology of the Cryosphere (INCT da Criosfera); German Research Foundation(German Research Foundation (DFG))</t>
  </si>
  <si>
    <t>Funding for this work was provided by EU FP7-PEOPLE-2012-IRSES IMCONet grant 318718, the Brazilian Coordination for the Improvement of Higher Education Personnel (CAPES) and the Brazilian National Institute of Science and Technology of the Cryosphere (INCT da Criosfera). M.B. was also funded via the German Research Foundation (grants BR2105/9-1 and BR2105/13-1). The RAMP DEM was kindly provided by NSIDC. Weather stations data were downloaded from NOAA at the website http://www.ncdc.noaa.gov/. ERA-Interim data were provided by the ECMWF. The surface mass balance data of Vega Island were kindly provided by Dr Sebastian Marinsek. The World Glacier Monitoring System distributes the surface mass balance data of Livingston Island, which are provided by Prof Dr Francisco Navarro. The authors would like to thank Prof Dr Francisco Navarro and the anonymous reviewer for their detailed revision and suggestions to improve the quality of this work.</t>
  </si>
  <si>
    <t>10.1017/S0954102018000391</t>
  </si>
  <si>
    <t>WOS:000454297300007</t>
  </si>
  <si>
    <t>Garland, J; Jones, TR; Neuder, M; Morris, V; White, JWC; Bradley, E</t>
  </si>
  <si>
    <t>Garland, Joshua; Jones, Tyler R.; Neuder, Michael; Morris, Valerie; White, James W. C.; Bradley, Elizabeth</t>
  </si>
  <si>
    <t>Anomaly Detection in Paleoclimate Records Using Permutation Entropy</t>
  </si>
  <si>
    <t>ENTROPY</t>
  </si>
  <si>
    <t>paleoclimate; permutation entropy; ice core; anomaly detection</t>
  </si>
  <si>
    <t>CORE WD2014 CHRONOLOGY; WATER ISOTOPES; TIME-SERIES; ICE; COMPLEXITY</t>
  </si>
  <si>
    <t>Permutation entropy techniques can be useful for identifying anomalies in paleoclimate data records, including noise, outliers, and post-processing issues. We demonstrate this using weighted and unweighted permutation entropy with water-isotope records containing data from a deep polar ice core. In one region of these isotope records, our previous calculations (See Garland et al. 2018) revealed an abrupt change in the complexity of the traces: specifically, in the amount of new information that appeared at every time step. We conjectured that this effect was due to noise introduced by an older laboratory instrument. In this paper, we validate that conjecture by reanalyzing a section of the ice core using a more advanced version of the laboratory instrument. The anomalous noise levels are absent from the permutation entropy traces of the new data. In other sections of the core, we show that permutation entropy techniques can be used to identify anomalies in the data that are not associated with climatic or glaciological processes, but rather effects occurring during field work, laboratory analysis, or data post-processing. These examples make it clear that permutation entropy is a useful forensic tool for identifying sections of data that require targeted reanalysisand can even be useful for guiding that analysis.</t>
  </si>
  <si>
    <t>[Garland, Joshua; Bradley, Elizabeth] Santa Fe Inst, 1399 Hyde Pk Rd, Santa Fe, NM 87501 USA; [Jones, Tyler R.; Morris, Valerie; White, James W. C.] Univ Colorado, Inst Arct &amp; Alpine Res, Boulder, CO 80309 USA; [Neuder, Michael; Bradley, Elizabeth] Univ Colorado, Dept Comp Sci, Boulder, CO 80309 USA</t>
  </si>
  <si>
    <t>The Santa Fe Institute; University of Colorado System; University of Colorado Boulder; University of Colorado System; University of Colorado Boulder</t>
  </si>
  <si>
    <t>Garland, J (corresponding author), Santa Fe Inst, 1399 Hyde Pk Rd, Santa Fe, NM 87501 USA.</t>
  </si>
  <si>
    <t>joshua@santafe.edu; tyler.jones@colorado.edu; Michael.Neuder@colorado.edu; MorrisV@colorado.edu; James.White@colorado.edu; lizb@colorado.edu</t>
  </si>
  <si>
    <t>White, James W.C./A-7845-2009</t>
  </si>
  <si>
    <t>MORRIS, VALERIE/0000-0002-8105-585X; Garland, Joshua/0000-0002-6724-2755</t>
  </si>
  <si>
    <t>US National Science Foundation (NSF) [1807478]; Omidyar Fellowship at the Santa Fe Institute; NSF [0537593, 0537661, 0537930, 0539232, 1043092, 1043167, 1043518, 1142166, 0230396, 0440817, 0944266, 0944348]; Ice Drilling Program Office (IDPO); Ice Drilling Design and Operations (IDDO) group; National Science Foundation Ice Core Facility (NSF-ICF); 109th New York Air National Guard; Directorate For Geosciences [0537661] Funding Source: National Science Foundation; Directorate For Geosciences; Office of Polar Programs (OPP) [0537930, 0539232, 0537593, 1043167, 1043518] Funding Source: National Science Foundation; Office of Polar Programs (OPP) [0537661] Funding Source: National Science Foundation</t>
  </si>
  <si>
    <t>US National Science Foundation (NSF)(National Science Foundation (NSF)); Omidyar Fellowship at the Santa Fe Institute; NSF(National Science Foundation (NSF)); Ice Drilling Program Office (IDPO); Ice Drilling Design and Operations (IDDO) group; National Science Foundation Ice Core Facility (NSF-ICF); 109th New York Air National Guard;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</si>
  <si>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This research was funded by US National Science Foundation (NSF) grant number 1807478. JG was also supported by an Omidyar Fellowship at the Santa Fe Institute. For original ice core data, this work was supported by NSF grants 0537593, 0537661, 0537930, 0539232, 1043092, 1043167, 1043518 and 1142166. Field and logistical activities were managed by the WAIS Divide Science Coordination Office at the Desert Research Institute, USA, and the University of New Hampshire, USA (NSF grants 0230396, 0440817, 0944266 and 0944348). The NSF Division of Polar Programs funded the Ice Drilling Program Office (IDPO), the Ice Drilling Design and Operations (IDDO) group, the National Science Foundation Ice Core Facility (NSF-ICF), the Antarctic Support Contractor, and the 109th New York Air National Guard.</t>
  </si>
  <si>
    <t>1099-4300</t>
  </si>
  <si>
    <t>ENTROPY-SWITZ</t>
  </si>
  <si>
    <t>Entropy</t>
  </si>
  <si>
    <t>10.3390/e20120931</t>
  </si>
  <si>
    <t>HF5OM</t>
  </si>
  <si>
    <t>WOS:000454282000039</t>
  </si>
  <si>
    <t>Du, ZH; Xiao, CD; Ding, MH; Li, CJ</t>
  </si>
  <si>
    <t>Du, Zhiheng; Xiao, Cunde; Ding, Minghu; Li, Chuanjin</t>
  </si>
  <si>
    <t>Identification of multiple natural and anthropogenic sources of dust in snow from Zhongshan Station to Dome A, East Antarctica</t>
  </si>
  <si>
    <t>JOURNAL OF GLACIOLOGY</t>
  </si>
  <si>
    <t>ice chemistry; ice/atmosphere interactions; snow</t>
  </si>
  <si>
    <t>MINERAL DUST; VICTORIA LAND; ICE CORES; ISOTOPIC COMPOSITIONS; AEOLIAN DUST; LEAD; VARIABILITY; PROVENANCE; ORIGIN; VOSTOK</t>
  </si>
  <si>
    <t>The stable oxygen isotope composition, major ions and isotopic compositions of strontium (Sr), neodymium (Nd) and lead (Pb) in insoluble dust from recent surface snow samples along the transect from the Zhongshan and Progress stations (located on the Amery Ice Shelf, East Antarctica) to Dome A (Summit, Antarctica) were analysed. No previous isotopic fingerprinting studies have been conducted for this transect. These data were used to document the dust provenances in Antarctica along the transect up to the highest site, Dome A, for the first time. The insoluble dust in snow samples along the coast displays an overall crust-line isotopic signature that is characterised by highly radiogenic Sr-87/Sr-86 values and less radiogenic Nd-143/Nd-144 values. These signatures are comparable with those of samples collected near the ice-free areas of the Zhongshan and Progress stations. Spatial differences are statistically significant along the transect, and the Sr, Nd and Pb isotope components in insoluble dust from two continuous snow samples at Dome A exhibit marked differences, indicating that additional dust reaches the East Antarctic Plateau. The isotopic characteristics of insoluble dust from this transect indicate that the long-distance natural dust and anthropogenic pollutants in these samples primarily originate from Australia.</t>
  </si>
  <si>
    <t>[Du, Zhiheng; Li, Chuanjin] Chinese Acad Sci, Northwest Inst Ecoenvironm &amp; Resources, State Key Lab Cryospher Sci, Lanzhou 730000, Gansu, Peoples R China; [Xiao, Cunde] Beijing Normal Univ, State Key Lab Land Surface Proc &amp; Resource Ecol, Beijing 100875, Peoples R China; [Ding, Minghu] Chinese Acad Meteorol Sci, Inst Climate Syst, Beijing 100081, Peoples R China</t>
  </si>
  <si>
    <t>Chinese Academy of Sciences; Beijing Normal University; China Meteorological Administration; Chinese Academy of Meteorological Sciences (CAMS)</t>
  </si>
  <si>
    <t>Du, ZH (corresponding author), Chinese Acad Sci, Northwest Inst Ecoenvironm &amp; Resources, State Key Lab Cryospher Sci, Lanzhou 730000, Gansu, Peoples R China.;Xiao, CD (corresponding author), Beijing Normal Univ, State Key Lab Land Surface Proc &amp; Resource Ecol, Beijing 100875, Peoples R China.</t>
  </si>
  <si>
    <t>duzhiheng10@163.com; cdxiao@lzb.ac.cn</t>
  </si>
  <si>
    <t>Ding, Minghu/AFU-3600-2022</t>
  </si>
  <si>
    <t>Ding, Minghu/0000-0002-1142-6598</t>
  </si>
  <si>
    <t>National Natural Science Foundation of China [41425003, 41701071, 41421061, 41671053]; Strategic Priority Research Program of the Chinese Academy of Sciences [XDA19070103]; Key Research Program of Frontier Sciences, CAS [QYZDY-SSW-DQC021]; State Oceanic Administration of the People's Republic of China Project on Climate in Polar Regions [CHINARE2017-02-02]; CAS 'Light of West China' Program</t>
  </si>
  <si>
    <t>National Natural Science Foundation of China(National Natural Science Foundation of China (NSFC)); Strategic Priority Research Program of the Chinese Academy of Sciences(Chinese Academy of Sciences); Key Research Program of Frontier Sciences, CAS; State Oceanic Administration of the People's Republic of China Project on Climate in Polar Regions; CAS 'Light of West China' Program</t>
  </si>
  <si>
    <t>This work was supported by the National Natural Science Foundation of China (Grant Nos. 41425003, 41701071, 41421061 and 41671053); the Strategic Priority Research Program of the Chinese Academy of Sciences (Grant No. XDA19070103); the Key Research Program of Frontier Sciences, CAS (QYZDY-SSW-DQC021); the State Oceanic Administration of the People's Republic of China Project on Climate in Polar Regions (CHINARE2017-02-02); and the CAS 'Light of West China' ProgramWe thank all the members who participated in the 2016-2017 CHINARE field campaigns for sample collection.</t>
  </si>
  <si>
    <t>0022-1430</t>
  </si>
  <si>
    <t>1727-5652</t>
  </si>
  <si>
    <t>J GLACIOL</t>
  </si>
  <si>
    <t>J. Glaciol.</t>
  </si>
  <si>
    <t>10.1017/jog.2018.72</t>
  </si>
  <si>
    <t>HF7NZ</t>
  </si>
  <si>
    <t>WOS:000454427700001</t>
  </si>
  <si>
    <t>Bagshaw, EA; Karlsson, NB; Lok, LB; Lishman, B; Clare, L; Nicholls, KW; Burrow, S; Wadham, JL; Eisen, O; Corr, H; Brennan, P; Dahl-Jensen, D</t>
  </si>
  <si>
    <t>Bagshaw, Elizabeth A.; Karlsson, Nanna B.; Lok, Lai Bun; Lishman, Ben; Clare, Lindsay; Nicholls, Keith W.; Burrow, Steve; Wadham, Jemma L.; Eisen, Olaf; Corr, Hugh; Brennan, Paul; Dahl-Jensen, Dorthe</t>
  </si>
  <si>
    <t>Prototype wireless sensors for monitoring subsurface processes in snow and firn</t>
  </si>
  <si>
    <t>glaciological instruments and methods; melt-surface; polar firn; snow/ice surface processes</t>
  </si>
  <si>
    <t>GREENLAND ICE-SHEET; IN-SITU MEASUREMENTS; MELTWATER STORAGE; NORTHEAST GREENLAND; SUBGLACIAL PROBE; BASAL CONDITIONS; MASS-BALANCE; RADAR; FLOW; COMPACTION</t>
  </si>
  <si>
    <t>The detection and monitoring of meltwater within firn presents a significant monitoring challenge. We explore the potential of small wireless sensors (ETracer+, ET+) to measure temperature, pressure, electrical conductivity and thus the presence or absence of meltwater within firn, through tests in the dry snow zone at the East Greenland Ice Core Project site. The tested sensor platforms are small, robust and low cost, and communicate data via a VHF radio link to surface receivers. The sensors were deployed in low-temperature firn at the centre and shear margins of an ice stream for 4 weeks, and a 'bucket experiment' was used to test the detection of water within otherwise dry firn. The tests showed the ET+ could log subsurface temperatures and transmit the recorded data through up to 150 m dry firn. Two VHF receivers were tested: an autonomous phase-sensitive radio-echo sounder (ApRES) and a WinRadio. The ApRES can combine high-resolution imaging of the firn layers (by radio-echo sounding) with in situ measurements from the sensors, to build up a high spatial and temporal resolution picture of the subsurface. These results indicate that wireless sensors have great potential for long-term monitoring of firn processes.</t>
  </si>
  <si>
    <t>[Bagshaw, Elizabeth A.] Cardiff Univ, Sch Earth &amp; Ocean Sci, Cardiff, S Glam, Wales; [Karlsson, Nanna B.] Geol Survey Denmark &amp; Greenland, Copenhagen, Denmark; [Karlsson, Nanna B.; Eisen, Olaf] Helmholtz Zentrum Polar &amp; Meeresforsch, Alfred Wegener Inst, Bremerhaven, Germany; [Lok, Lai Bun; Brennan, Paul] UCL, Elect &amp; Elect Engn, London, England; [Lishman, Ben] London South Bank Univ, Mech Engn &amp; Design, London, England; [Clare, Lindsay; Burrow, Steve] Univ Bristol, Queens Sch Engn, Bristol, Avon, England; [Nicholls, Keith W.; Corr, Hugh] British Antarctic Survey, Cambridge, England; [Wadham, Jemma L.] Univ Bristol, Sch Geog Sci, Bristol, Avon, England; [Eisen, Olaf] Univ Bremen, Dept Geosci, Bremen, Germany; [Dahl-Jensen, Dorthe] Univ Copenhagen, Niels Bohr Inst, Ctr Ice &amp; Climate, Copenhagen, Denmark</t>
  </si>
  <si>
    <t>Cardiff University; Geological Survey Of Denmark &amp; Greenland; Helmholtz Association; Alfred Wegener Institute, Helmholtz Centre for Polar &amp; Marine Research; University of London; University College London; London South Bank University; University of Bristol; UK Research &amp; Innovation (UKRI); Natural Environment Research Council (NERC); NERC British Antarctic Survey; University of Bristol; University of Bremen; University of Copenhagen; Niels Bohr Institute</t>
  </si>
  <si>
    <t>Bagshaw, EA (corresponding author), Cardiff Univ, Sch Earth &amp; Ocean Sci, Cardiff, S Glam, Wales.</t>
  </si>
  <si>
    <t>BagshawE@cardiff.ac.uk</t>
  </si>
  <si>
    <t>Dahl-Jensen, Dorthe/AAO-6951-2020; Eisen, Olaf/K-3846-2012; Karlsson, Nanna Bjørnholt/G-4621-2018; Wadham, Jemma L/G-3138-2014; Karlsson, Nanna B./M-4519-2014</t>
  </si>
  <si>
    <t>Dahl-Jensen, Dorthe/0000-0002-1474-1948; Eisen, Olaf/0000-0002-6380-962X; Lok, Lai Bun/0000-0002-0033-9173; Lishman, Ben/0000-0002-8384-8140; Karlsson, Nanna B./0000-0003-0423-8705; Bagshaw, Elizabeth/0000-0001-8392-1750</t>
  </si>
  <si>
    <t>Royal Astronomical Society Tomkins Instrument Fund; Linnean Society Percy Sladen Memorial Fund; Cardiff University International Fund; Denmark (A. P. Moller Foundation); Denmark (University of Copenhagen); USA (US National Science Foundation, Office of Polar Programs); Germany (Alfred Wegener Institute, Helmholtz Centre for Polar and Marine Research); Japan (National Institute of Polar Research and Artic Challenge for Sustainability); Norway (University of Bergen); Norway (Bergen Research Foundation); Switzerland (Swiss National Science Foundation); France (French Polar Institute Paul-Emile Victor); France (Institute for Geosciences and Environmental research); China (Chinese Academy of Sciences); China (Beijing Normal University); Natural Environment Research Council [NE/H023879/1, NE/H002820/1, NE/I008845/1] Funding Source: researchfish; NERC [NE/H002820/1, bas0100033, bas0100034, NE/I008845/1, NE/H023879/1] Funding Source: UKRI</t>
  </si>
  <si>
    <t>Royal Astronomical Society Tomkins Instrument Fund; Linnean Society Percy Sladen Memorial Fund; Cardiff University International Fund; Denmark (A. P. Moller Foundation); Denmark (University of Copenhagen); USA (US National Science Foundation, Office of Polar Programs); Germany (Alfred Wegener Institute, Helmholtz Centre for Polar and Marine Research); Japan (National Institute of Polar Research and Artic Challenge for Sustainability); Norway (University of Bergen); Norway (Bergen Research Foundation); Switzerland (Swiss National Science Foundation)(Swiss National Science Foundation (SNSF)); France (French Polar Institute Paul-Emile Victor); France (Institute for Geosciences and Environmental research); China (Chinese Academy of Sciences); China (Beijing Normal University); Natural Environment Research Council(UK Research &amp; Innovation (UKRI)Natural Environment Research Council (NERC)); NERC(UK Research &amp; Innovation (UKRI)Natural Environment Research Council (NERC))</t>
  </si>
  <si>
    <t>This work was funded by the Royal Astronomical Society Tomkins Instrument Fund and the Linnean Society Percy Sladen Memorial Fund (to EB and NK), and the Cardiff University International Fund (to EB), with logistics generously supported by the East Greenland Ice Core Project (EGRIP) and AWI. EGRIP is directed and organized by the Center of Ice and Climate at the Niels Bohr Institute, Copenhagen. It is supported by funding agencies and institutions in Denmark (A. P. Moller Foundation, University of Copenhagen), USA (US National Science Foundation, Office of Polar Programs), Germany (Alfred Wegener Institute, Helmholtz Centre for Polar and Marine Research), Japan (National Institute of Polar Research and Artic Challenge for Sustainability), Norway (University of Bergen and Bergen Research Foundation), Switzerland (Swiss National Science Foundation), France (French Polar Institute Paul-Emile Victor, Institute for Geosciences and Environmental research) and China (Chinese Academy of Sciences and Beijing Normal University). We thank Ian Thomas for assistance with the Python decoding algorithm, and Clement Miege and Mike MacFerrin who provided constructive feedback on the paper.</t>
  </si>
  <si>
    <t>10.1017/jog.2018.76</t>
  </si>
  <si>
    <t>Green Published, Green Accepted, gold</t>
  </si>
  <si>
    <t>WOS:000454427700004</t>
  </si>
  <si>
    <t>Goel, V; Martín, C; Matsuoka, K</t>
  </si>
  <si>
    <t>Goel, Vikram; Martin, Carlos; Matsuoka, Kenichi</t>
  </si>
  <si>
    <t>Ice-rise stratigraphy reveals changes in surface mass balance over the last millennia in Dronning Maud Land</t>
  </si>
  <si>
    <t>Antarctic glaciology; ice rise; ice-sheet modelling; surface mass budget</t>
  </si>
  <si>
    <t>SNOW ACCUMULATION; GLACIAL MAXIMUM; ANTARCTICA; SHEET; VARIABILITY; PERFORMANCE; VICINITY; HISTORY; RETREAT; DIVIDE</t>
  </si>
  <si>
    <t>We use ice flow modelling to simulate the englacial stratigraphy of Blaskimen Island, an ice rise in Dronning Maud Land and elucidate the evolution of this data-sparse region. We apply a thermo-mechanically coupled Elmer/Ice model to a profile along flowlines and through the ice-rise summit, where surface mass balance (SMB), flow velocity and ice stratigraphy were recently measured. We conclude that: (i) the ice rise is presently thickening at a rate of 0.5 similar to 0.6 m ice equivalent per year (m(ieq)a(-1)), which is twice an earlier estimate using the field data and the input-output method; (ii) present thickening started 20-40 years in the past, before which the ice rise was in a steady state; (iii) SMB contrast between the upwind and downwind slopes was stronger than the present value by similar to 23% (or 0.15 m(ieq)a(-1)) prior to similar to 1100 years ago. Since then, this contrast has been decreasing overall. We surmise that these SMB changes are likely a result of synoptic-scale atmospheric changes, rather than local atmospheric changes controlled by local ice topography. Our technique effectively assimilates geophysical data, avoiding the complexity of ice flow beneath the ice divide. Thus, it could be applied to other ice rises to elucidate the recent glacial retreat.</t>
  </si>
  <si>
    <t>[Goel, Vikram; Matsuoka, Kenichi] Norwegian Polar Res Inst, Tromso, Norway; [Goel, Vikram] Univ Oslo, Dept Geosci, Oslo, Norway; [Goel, Vikram] Natl Ctr Antarct &amp; Ocean Res, Vasco Da Gama, Goa, India; [Martin, Carlos] NERC, British Antarct Survey, Cambridge, England</t>
  </si>
  <si>
    <t>Norwegian Polar Institute; University of Oslo; Ministry of Earth Sciences (MoES) - India; National Centre for Polar and Ocean Research (NCPOR); UK Research &amp; Innovation (UKRI); Natural Environment Research Council (NERC); NERC British Antarctic Survey</t>
  </si>
  <si>
    <t>Goel, V (corresponding author), Norwegian Polar Res Inst, Tromso, Norway.;Goel, V (corresponding author), Univ Oslo, Dept Geosci, Oslo, Norway.;Goel, V (corresponding author), Natl Ctr Antarct &amp; Ocean Res, Vasco Da Gama, Goa, India.</t>
  </si>
  <si>
    <t>vikram.goel@outlook.com</t>
  </si>
  <si>
    <t>Goel, Vikram/ABV-7985-2022; Martin, Carlos/S-2778-2018; Matsuoka, Kenichi/B-7298-2017</t>
  </si>
  <si>
    <t>Goel, Vikram/0000-0002-8393-0195; Martin, Carlos/0000-0002-2661-169X; Matsuoka, Kenichi/0000-0002-3587-3405</t>
  </si>
  <si>
    <t>Norwegian Antarctic Research Expeditions (NARE); Center for Ice Climate and Ecosystems (ICE) of the Norwegian Polar Institute; National Centre for Antarctic and Ocean Research (NCAOR), through Ministry of Earth Sciences (MoES), Government of India [MoES/16/22/12RDEAS]; NERC [bas0100034, NE/R016038/1] Funding Source: UKRI</t>
  </si>
  <si>
    <t>Norwegian Antarctic Research Expeditions (NARE); Center for Ice Climate and Ecosystems (ICE) of the Norwegian Polar Institute; National Centre for Antarctic and Ocean Research (NCAOR), through Ministry of Earth Sciences (MoES), Government of India; NERC(UK Research &amp; Innovation (UKRI)Natural Environment Research Council (NERC))</t>
  </si>
  <si>
    <t>This work was funded by grants from Norwegian Antarctic Research Expeditions (NARE) and the Center for Ice Climate and Ecosystems (ICE) of the Norwegian Polar Institute. Vikram Goel received a PhD studentship from National Centre for Antarctic and Ocean Research (NCAOR), through a financial support (MoES/16/22/12RDEAS) from the Ministry of Earth Sciences (MoES), Government of India. The model is based on the opensource code Elmer mainly developed by the CSC-IT Center for Science Ltd in Finland. We thank Joel Brown and Reinhard Drews for their help with setting up the model. We thank the two anonymous reviewers and the editor Michelle Koutnik for their constructive comments, which improved the manuscript significantly. Figure 1 was developed using a free GIS data package Quantarctica (quantarctica. npolar. no). This is NCAOR contribution No. 49/2018.</t>
  </si>
  <si>
    <t>10.1017/jog.2018.81</t>
  </si>
  <si>
    <t>gold, Green Accepted, Green Published</t>
  </si>
  <si>
    <t>WOS:000454427700007</t>
  </si>
  <si>
    <t>Halberstadt, ARW; Simkins, LM; Anderson, JB; Prothro, LO; Bart, PJ</t>
  </si>
  <si>
    <t>Halberstadt, Anna Ruth W.; Simkins, Lauren M.; Anderson, John B.; Prothro, Lindsay O.; Bart, Philip J.</t>
  </si>
  <si>
    <t>Characteristics of the deforming bed: till properties on the deglaciated Antarctic continental shelf</t>
  </si>
  <si>
    <t>glacial geomorphology; glacial tills; ice dynamics; subglacial processes</t>
  </si>
  <si>
    <t>ICE STREAM-B; EASTERN ROSS SEA; PLEISTOCENE-HOLOCENE RETREAT; BENEATH THWAITES GLACIER; SHEET GROUNDING EVENTS; SUBGLACIAL TILL; SEDIMENT DEFORMATION; FLOW DYNAMICS; STICKY SPOT; SYSTEM</t>
  </si>
  <si>
    <t>Contemporary ice stream flow is directly linked to conditions at the ice/bed interface, yet this environment is logistically difficult to access. Instead, we investigate subglacial processes important for ice stream flow by studying tills on the deglaciated Antarctic continental shelf. We test currently-accepted hypotheses surrounding subglacial processes and till properties with a Ross Sea dataset. Till shear strengths indicate a continuum of simultaneous processes acting at the bed, rather than discrete 'deformation' and 'lodgement' end-members. We identify a threshold water content representing saturated pore spaces, leading to basal sliding and meltwater channelization. Based on observations of till properties relative to glacial landforms, we challenge the assumption that low shear strength is linked to intense deformation. Spatial variability in landform morphology reflects variability in deforming processes at the sub-ice stream scale and suggests a maximum deforming bed thickness of 2 m at the grounding line. Regional till properties generally correlate with seafloor geology and deglacial history; the western Ross Sea is characterized by higher and more variable shear strengths and water contents, while lower-shear strength till was preserved in the Eastern Basin. These observations inform till interpretation and provide context for deforming beds beneath the modern ice sheet and on glaciated continental shelves.</t>
  </si>
  <si>
    <t>[Halberstadt, Anna Ruth W.] Univ Massachusetts, Dept Geosci, Amherst, MA 01003 USA; [Simkins, Lauren M.] Univ Virginia, Dept Environm Sci, Clark Hall, Charlottesville, VA 22903 USA; [Anderson, John B.; Prothro, Lindsay O.] Rice Univ, Dept Earth Environm &amp; Planetary Sci, Houston, TX USA; [Bart, Philip J.] Louisiana State Univ, Dept Geol &amp; Geophys, Baton Rouge, LA 70803 USA</t>
  </si>
  <si>
    <t>University of Massachusetts System; University of Massachusetts Amherst; University of Virginia; Rice University; Louisiana State University System; Louisiana State University</t>
  </si>
  <si>
    <t>Halberstadt, ARW (corresponding author), Univ Massachusetts, Dept Geosci, Amherst, MA 01003 USA.</t>
  </si>
  <si>
    <t>ahalberstadt@umass.edu</t>
  </si>
  <si>
    <t>Halberstadt, Anna Ruth/JPW-9990-2023; Prothro, Lindsay/Y-9837-2019</t>
  </si>
  <si>
    <t>Prothro, Lindsay/0000-0003-3385-8487; Halberstadt, Anna Ruth/0000-0003-2582-7074</t>
  </si>
  <si>
    <t>10.1017/jog.2018.92</t>
  </si>
  <si>
    <t>WOS:000454427700014</t>
  </si>
  <si>
    <t>Zhang, CR; Zhang, J</t>
  </si>
  <si>
    <t>Zhang, Chongran; Zhang, Jing</t>
  </si>
  <si>
    <t>Modeling Study of Foehn Wind Events in Antarctic Peninsula with WRF Forced by CCSM</t>
  </si>
  <si>
    <t>JOURNAL OF METEOROLOGICAL RESEARCH</t>
  </si>
  <si>
    <t>foehn wind warming; Antarctic Peninsula melting; Weather Research and Forecasting (WRF) model; Community Climate System Model (CCSM) forcing</t>
  </si>
  <si>
    <t>HEMISPHERE ANNULAR MODE; C ICE SHELF; CLIMATE; IMPACT</t>
  </si>
  <si>
    <t>Significant changes have occurred in the Antarctic Peninsula (AP) including warmer temperatures, accelerated melting of glaciers, and breakup of ice shelves. This study uses the Weather Research and Forecasting model (WRF) forced by the Community Climate System Model 4 (CCSM) simulations to study foehn wind warming in AP. Weather systems responsible for generating the foehn events are two cyclonic systems that move toward and/or cross over AP. WRF simulates the movement of cyclonic systems and the resulting foehn wind warming that is absent in CCSM. It is found that the warming extent along a transect across the central AP toward Larsen C Ice Shelf (LCIS) varies during the simulation period and the maximum warming moves from near the base of leeward slopes to over 40 km away extending toward the attached LCIS. Our analysis suggests that the foehn wind warming is negatively correlated with the incoming air temperature and the mountain top temperature during periods without significant precipitation, in which isentropic drawdown is the dominant heating mechanism. On the other hand, when significant precipitation occurs along the windward side of AP, latent heating is the major heating mechanism evidenced by positive relations between the foehn wind warming and 1) incoming air temperature, 2) windward precipitation, and 3) latent heating. Foehn wind warming caused by isentropic drawdown also tends to be stronger than that caused by latent heating. Comparison of WRF simulations forced by original and corrected CCSM data indicates that foehn wind warming is stronger in the original CCSM forced simulation when no significant windward precipitation is present. The foehn wind warming becomes weaker in both simulations when there is significant windward precipitation. This suggests that model's ability to resolve the foehn warming varies with the forcing data, but the precipitation impact on the leeward warming is consistent.</t>
  </si>
  <si>
    <t>[Zhang, Chongran; Zhang, Jing] North Carolina A&amp;T State Univ, Appl Sci &amp; Technol Program, Greensboro, NC 27411 USA; [Zhang, Jing] North Carolina A&amp;T State Univ, Dept Phys, Greensboro, NC 27411 USA</t>
  </si>
  <si>
    <t>University of North Carolina; North Carolina A&amp;T State University; University of North Carolina; North Carolina A&amp;T State University</t>
  </si>
  <si>
    <t>Zhang, CR (corresponding author), North Carolina A&amp;T State Univ, Appl Sci &amp; Technol Program, Greensboro, NC 27411 USA.</t>
  </si>
  <si>
    <t>czhang@aggies.ncat.edu</t>
  </si>
  <si>
    <t>Zhang, Jing/B-3465-2009; Zhang, Chongran/GWQ-6559-2022</t>
  </si>
  <si>
    <t>Zhang, Jing/0000-0001-7530-1121</t>
  </si>
  <si>
    <t>US NSF [OPP-1649713, OPP-1543445]</t>
  </si>
  <si>
    <t>US NSF(National Science Foundation (NSF))</t>
  </si>
  <si>
    <t>This study was sponsored by the US NSF Grants OPP-1649713 and OPP-1543445. Computing resources were provided by Visualization and Computation Advancing Research (ViCAR) Center at North Carolina A&amp;T State University and Blue Waters Supercomputer in National Center for Supercomputing Applications, University of Illinois at Urbana-Champaign. The authors want to thank the editor and the anonymous reviewers for providing insightful suggestions and comments that have greatly improved the manuscript.</t>
  </si>
  <si>
    <t>2095-6037</t>
  </si>
  <si>
    <t>2198-0934</t>
  </si>
  <si>
    <t>J METEOROL RES-PRC</t>
  </si>
  <si>
    <t>J. Meteorol. Res.</t>
  </si>
  <si>
    <t>10.1007/s13351-018-8067-9</t>
  </si>
  <si>
    <t>HF8YQ</t>
  </si>
  <si>
    <t>WOS:000454528500005</t>
  </si>
  <si>
    <t>Sun, MQ; Lin, HY; Wang, M; Liu, YD; Liu, ZY; Meng, X; Jiang, Y; Wang, DB; Li, Y; Xia, J</t>
  </si>
  <si>
    <t>Sun, Mengqi; Lin, Heyu; Wang, Min; Liu, Yundan; Liu, Zhaoyang; Meng, Xue; Jiang, Yong; Wang, Duobing; Li, Yan; Xia, Jun</t>
  </si>
  <si>
    <t>Characterization and complete genome of the marine Pseudoalteromonas phage PH103, isolated from the Yellow Sea, China</t>
  </si>
  <si>
    <t>MARINE GENOMICS</t>
  </si>
  <si>
    <t>Pseudoalteromonas phage; Siphoviridae; Genome sequence</t>
  </si>
  <si>
    <t>SEQUENCE; IDENTIFICATION; VIRUSES</t>
  </si>
  <si>
    <t>A new marine phage-host system was isolated and further purified from the surface water of the Yellow Sea, China, using the agar overlay method. The host bacterium was identified to be a strain of Pseudoalteromonas marina by its 16S rRNA gene sequence. The phage, named Pseudoalteromonas phage PH103, was characterized and identified by morphological examination, host infection properties, stability, host range, full genome sequencing and bioinformatics analysis. The morphology of phage PH103 demonstrated that the phage is a member of the Siphoviridae family. PH103 showed strong tolerance with a wide range of temperatures (0-60 degrees C) and pH (3-13). The genome sequencing and bioinformatics analysis found the genome to be 43,190 bp long, with an average GC content of 41.17%. Seventy six ORFs were predicted in the genome, with twenty assigned genes included in the function groups of the host interaction, DNA replication/recombination, DNA packaging/head formation, and phage tail/host recognition. 44.74% of the total genome had no homologous sequence matching, which indicates that phage PH103 is newly identified.</t>
  </si>
  <si>
    <t>[Sun, Mengqi; Lin, Heyu; Wang, Min; Liu, Yundan; Liu, Zhaoyang; Meng, Xue; Jiang, Yong; Wang, Duobing; Li, Yan; Xia, Jun] Ocean Univ China, Coll Marine Life Sci, Qingdao 266003, Peoples R China; [Wang, Min] Ocean Univ China, Inst Evolut &amp; Marine Biodivers, Qingdao 266003, Peoples R China; [Sun, Mengqi] Univ Maryland, Ctr Environm Sci, Inst Marine &amp; Environm Technol, Baltimore, MD 21202 USA</t>
  </si>
  <si>
    <t>Ocean University of China; Ocean University of China; University System of Maryland; University of Maryland Baltimore; University of Maryland Center for Environmental Science; Institute of Marine &amp; Environmental Technology</t>
  </si>
  <si>
    <t>Wang, M; Jiang, Y (corresponding author), Ocean Univ China, Coll Marine Life Sci, Qingdao 266003, Peoples R China.</t>
  </si>
  <si>
    <t>mingwang@ouc.edu.cn; yongjiang@ouc.edu.cn</t>
  </si>
  <si>
    <t>Wang, Min/AFR-9645-2022; Jiang, Yong/AGK-3016-2022; Lin, Heyu/D-8390-2018</t>
  </si>
  <si>
    <t>Wang, Min/0000-0002-2357-589X; Jiang, Yong/0000-0002-4072-1668; Sun, Mengqi/0000-0001-5285-5949; Lin, Heyu/0000-0003-2162-7649; Jiang, Yong/0000-0001-6055-488X</t>
  </si>
  <si>
    <t>National Natural Science Foundation of China [41076088, 41676178, 31500339]; National Key Basic Research Program of China (973Program) [2013CB429704]; China Postdoctoral Science Foundation [2015M570612, 2016T90649]; Fundamental Research Funds for the Central University of Ocean University of China [201762017, 201564010, 201562018, 201512013, 201512008]; Qingdao National Laboratory for Marine Science and Technology [2016ASKJ14]; State Oceanic Administration People's republic of China [GASI-02-PAC-ST-MSwin]; Special Foundation from Chinese Arctic and Antarctic Administration [CHINARE-2012-01-05]</t>
  </si>
  <si>
    <t>National Natural Science Foundation of China(National Natural Science Foundation of China (NSFC)); National Key Basic Research Program of China (973Program)(National Basic Research Program of China); China Postdoctoral Science Foundation(China Postdoctoral Science Foundation); Fundamental Research Funds for the Central University of Ocean University of China; Qingdao National Laboratory for Marine Science and Technology; State Oceanic Administration People's republic of China; Special Foundation from Chinese Arctic and Antarctic Administration</t>
  </si>
  <si>
    <t>We are grateful to the research vessel Dong Fang Hong 2, for providing the seawater samples. The research was funded by the National Natural Science Foundation of China (No. 41076088, 41676178 and 31500339), the National Key Basic Research Program of China (973Program, Grant No: 2013CB429704), China Postdoctoral Science Foundation (Grant Nos. 2015M570612 and 2016T90649), Fundamental Research Funds for the Central University of Ocean University of China (Grant Nos. 201762017, 201564010, 201562018, 201512013 and 201512008), the Scientific and Technological Innovation Project Financially Supported by Qingdao National Laboratory for Marine Science and Technology (No.2016ASKJ14), Global change and Air-Sea interface project supported by State Oceanic Administration People's republic of China cruises for an oceanographic survey of South-central Western Pacific in winter(No. GASI-02-PAC-ST-MSwin), and project supported by the Special Foundation from Chinese Arctic and Antarctic Administration Marine biodiversity in the surrounding waters of Antarctic and investigation of ecological environment (No. CHINARE-2012-01-05 till 2021-12-31).</t>
  </si>
  <si>
    <t>1874-7787</t>
  </si>
  <si>
    <t>1876-7478</t>
  </si>
  <si>
    <t>MAR GENOM</t>
  </si>
  <si>
    <t>Mar. Genom.</t>
  </si>
  <si>
    <t>10.1016/j.margen.2018.04.003</t>
  </si>
  <si>
    <t>Genetics &amp; Heredity; Marine &amp; Freshwater Biology</t>
  </si>
  <si>
    <t>HF6VJ</t>
  </si>
  <si>
    <t>WOS:000454376100010</t>
  </si>
  <si>
    <t>Hill, NJ; Peatman, T; Wakefield, CB; Newman, SJ; Halafihi, T; Kinch, J; Edwards, CTT; Nicol, SJ; Williams, AJ</t>
  </si>
  <si>
    <t>Hill, Nicholas J.; Peatman, Thomas; Wakefield, Corey B.; Newman, Stephen J.; Halafihi, Tuikolongahau; Kinch, Jeff; Edwards, Charles T. T.; Nicol, Simon J.; Williams, Ashley J.</t>
  </si>
  <si>
    <t>Improving guidelines for implementing harvest strategies in capacity-limited fisheries - Lessons from Tonga's deepwater line fishery</t>
  </si>
  <si>
    <t>MARINE POLICY</t>
  </si>
  <si>
    <t>DATA-POOR FISHERIES; SETTING CATCH LIMITS; SMALL-SCALE; INDO-PACIFIC; MANAGEMENT; PERFORMANCE; STOCKS; SUSTAINABILITY; ELEMENTS; RATES</t>
  </si>
  <si>
    <t>The majority of the world's fisheries lack formal management and assessment due to limitations in data, management capacity, or both. Capacity-limited fisheries generally contain some combination of limited infrastructure, personnel or expertise which hampers the ability of fisheries administrations to develop, implement and maintain desired management structures. Fisheries that fall within this category are at greater risk of performing poorly in terms of sustainability and economic benefits. In the process of applying a number of recently developed data-poor specific tools to Tonga's deepwater line fishery, it was apparent that reconciling the lack of resources with options for management required greater attention. Some of the challenges encountered are highlighted herein and processes to consider in order to overcome these are discussed. This resulted in a reprioritisation of the stepwise processes often used to develop harvest strategies by giving earlier prominence to management capacity and stakeholder engagement within a more iterative framework. This provides capacity-limited managers with a mechanism to develop a coherent harvest strategy across all components that is more viable long-term, irrespective of available management resources. Our case study extends the discussion on harvest strategies from data-rich to data-poor fisheries to include those fisheries that are both data-poor and capacity-limited. Application of formalised harvest strategies has been promoted as a tool to relieve the excessive fishing pressure apparent in many regions. The proposed refinements to the harvest strategy development process proposed here should improve capacity for fisheries management in circumstances where it is lacking.</t>
  </si>
  <si>
    <t>[Hill, Nicholas J.; Peatman, Thomas; Nicol, Simon J.; Williams, Ashley J.] Pacific Community, Ocean Fisheries Programme, Noumea, New Caledonia; [Hill, Nicholas J.] Univ Tasmania, Inst Marine &amp; Antarctic Studies, Fisheries &amp; Aquaculture Ctr, Private Bag 49, Hobart, Tas 7001, Australia; [Wakefield, Corey B.; Newman, Stephen J.] Govt Western Australia, Western Australian Fisheries &amp; Marine Res Labs, Dept Primary Ind &amp; Reg Dev, Perth, WA, Australia; [Wakefield, Corey B.; Newman, Stephen J.] Curtin Univ, Dept Environm &amp; Agr, Perth, WA, Australia; [Halafihi, Tuikolongahau] Minist Agr &amp; Food Forests &amp; Fisheries, Tonga Fisheries Div, Nukualofa, Tonga; [Kinch, Jeff] Natl Fisheries Author, Natl Fisheries Coll, Kavieng, Papua N Guinea; [Edwards, Charles T. T.] Natl Inst Water &amp; Atmospher Res, Fisheries Modelling Grp, Wellington, New Zealand; [Nicol, Simon J.; Williams, Ashley J.] Australian Bur Agr &amp; Resource Econ &amp; Sci, 18 Marcus Clarke St, Canberra, ACT, Australia; [Nicol, Simon J.] Univ Canberra, Inst Appl Ecol, Bruce, ACT, Australia; [Williams, Ashley J.] James Cook Univ, Coll Marine &amp; Environm Sci, Ctr Sustainable Trop Fisheries &amp; Aquaculture, Townsville, Qld, Australia</t>
  </si>
  <si>
    <t>University of Tasmania; Western Australian Fisheries &amp; Marine Research Laboratories; Curtin University; National Institute of Water &amp; Atmospheric Research (NIWA) - New Zealand; University of Canberra; James Cook University</t>
  </si>
  <si>
    <t>Hill, NJ (corresponding author), Univ Tasmania, Inst Marine &amp; Antarctic Studies, Fisheries &amp; Aquaculture Ctr, Private Bag 49, Hobart, Tas 7001, Australia.</t>
  </si>
  <si>
    <t>Williams, Ashley/JAX-9689-2023; Williams, Ashley/ABA-5921-2020; Williams, Ashley/G-2017-2014; Newman, Stephen/C-4507-2016</t>
  </si>
  <si>
    <t>Williams, Ashley/0000-0002-5530-0073; Williams, Ashley/0000-0002-5530-0073; Newman, Stephen/0000-0002-5324-5568; Nicol, Simon/0000-0001-8193-8719</t>
  </si>
  <si>
    <t>PACE-Net Plus seed-from the Pacific-Europe Network for Science, Technology and Innovation project; Australian Agency for International Development (AusAID); French Pacific Fund; Zone Economique de Nouvelle-Caledonie (ZoNeCo) programme</t>
  </si>
  <si>
    <t>PACE-Net Plus seed-from the Pacific-Europe Network for Science, Technology and Innovation project; Australian Agency for International Development (AusAID)(Australian Aid (AusAID)); French Pacific Fund; Zone Economique de Nouvelle-Caledonie (ZoNeCo) programme</t>
  </si>
  <si>
    <t>This research was funded by PACE-Net Plus seed-funding from the Pacific-Europe Network for Science, Technology and Innovation project, the Australian Agency for International Development (AusAID), the French Pacific Fund, and the Zone Economique de Nouvelle-Caledonie (ZoNeCo) programme. We thank the Tongan Ministry of Fisheries and the Western Australian Department of Primary Industries and Regional Development for supplying fisheries data for the analyses. We also thank the anonymous reviewers for their insightful comments and help in designing Fig. 2.</t>
  </si>
  <si>
    <t>0308-597X</t>
  </si>
  <si>
    <t>1872-9460</t>
  </si>
  <si>
    <t>MAR POLICY</t>
  </si>
  <si>
    <t>Mar. Pol.</t>
  </si>
  <si>
    <t>10.1016/j.marpol.2018.09.015</t>
  </si>
  <si>
    <t>Environmental Studies; International Relations</t>
  </si>
  <si>
    <t>Social Science Citation Index (SSCI)</t>
  </si>
  <si>
    <t>Environmental Sciences &amp; Ecology; International Relations</t>
  </si>
  <si>
    <t>HF8BY</t>
  </si>
  <si>
    <t>WOS:000454467100010</t>
  </si>
  <si>
    <t>Evans, K; Bax, NJ; Smith, DC</t>
  </si>
  <si>
    <t>Evans, Karen; Bax, Nicholas J.; Smith, David C.</t>
  </si>
  <si>
    <t>Enhancing the robustness of a national assessment of the marine environment</t>
  </si>
  <si>
    <t>Australia; Marine environment; Assessment; State and trends; Outlook</t>
  </si>
  <si>
    <t>SHEARWATERS PUFFINUS-CARNEIPES; ECOLOGICAL RISK-ASSESSMENT; NEW-SOUTH-WALES; SOCIAL LICENSE; CLIMATE-CHANGE; AUSTRALIA; WESTERN; MANAGEMENT; ABUNDANCE; VARIABLES</t>
  </si>
  <si>
    <t>The Australian government produces an independent report on the state of the Australian environment every five years. Based on 123 assessments of key pressures, key components of the marine environment, and the effectiveness of management responses to those pressures, the 2016 assessment identified that the overall state of the Australian marine environment can be regarded as good. However, the historical impacts of a number of pressures (e.g. commercial and recreational fishing) and ongoing pressures caused by activities currently inadequately managed (e.g. climate change and marine debris) have, and are continuing to, deteriorate its state. As a result, the outlook for the marine environment can be regarded as mixed. Addressing the challenges facing the marine environment will require a coordinated, collaborative and dedicated effort across jurisdictions and sectors. A number of improvements to the assessment framework were implemented for the 2016 report, the most substantial being the development of clear and repeatable processes for information synthesis and assessment. This improved transparency and supported the robustness of conclusions made. Improved communication of uncertainties associated with assessments, and comparability with assessments in previous reports has furthered the quality of the report and laid the foundation for improvements going forward. Processes that will continue to improve assessments include identifying key indicators that can be reliably and effectively monitored, improving data provision processes, enhancing assessment frameworks and reporting processes to ensure that approaches are integrated and support the delivery of tangible and practical risk mitigation and adaptation pathways.</t>
  </si>
  <si>
    <t>[Evans, Karen; Bax, Nicholas J.; Smith, David C.] CSIRO Oceans &amp; Atmosphere, GPO Box 1538, Hobart, Tas 7001, Australia; [Bax, Nicholas J.] Univ Tasmania, Inst Marine &amp; Antarctic Sci, Hobart, Tas 7001, Australia; [Smith, David C.] Univ Tasmania, Ctr Marine Socioecol, Hobart, Tas 7001, Australia</t>
  </si>
  <si>
    <t>Commonwealth Scientific &amp; Industrial Research Organisation (CSIRO); University of Tasmania; University of Tasmania</t>
  </si>
  <si>
    <t>Evans, K (corresponding author), CSIRO Oceans &amp; Atmosphere, GPO Box 1538, Hobart, Tas 7001, Australia.</t>
  </si>
  <si>
    <t>karen.evans@csiro.au</t>
  </si>
  <si>
    <t>Smith, David/GQQ-8257-2022; Bax, Nicholas J/A-2321-2012</t>
  </si>
  <si>
    <t>Evans, Karen/0000-0003-2205-4264</t>
  </si>
  <si>
    <t>Commonwealth Scientific and Industrial Research Organisation (CSIRO); Australian Government's National Environmental Science Program (NESP) Marine Biodiversity Hub</t>
  </si>
  <si>
    <t>Commonwealth Scientific and Industrial Research Organisation (CSIRO)(Commonwealth Scientific &amp; Industrial Research Organisation (CSIRO)); Australian Government's National Environmental Science Program (NESP) Marine Biodiversity Hub(Australian Government)</t>
  </si>
  <si>
    <t>The 2016 report on the marine environment is the product of a large collaborative effort of the Australian marine science and management community. The authors would like to thank all the experts who contributed assessments to the report and those that reviewed the assessments. A full list of contributors can be found on the 2016 State of the Environment website. KE and DCS were supported by the Commonwealth Scientific and Industrial Research Organisation (CSIRO). NJB was supported by the Australian Government's National Environmental Science Program (NESP) Marine Biodiversity Hub. Responsibility for the information and views set out in this paper lies entirely with the authors and do not necessarily reflect the position of the Australian Government or contributors.</t>
  </si>
  <si>
    <t>10.1016/j.marpol.2018.08.011</t>
  </si>
  <si>
    <t>WOS:000454467100016</t>
  </si>
  <si>
    <t>Szuminska, D; Czapiewski, S; Szopinska, M; Polkowska, Z</t>
  </si>
  <si>
    <t>Szuminska, Danuta; Czapiewski, Sebastian; Szopinska, Malgorzata; Polkowska, Zaneta</t>
  </si>
  <si>
    <t>Analysis of air mass back trajectories with present and historical volcanic activity and anthropogenic compounds to infer pollution sources in the South Shetland Islands (Antarctica)</t>
  </si>
  <si>
    <t>BULLETIN OF GEOGRAPHY-PHYSICAL GEOGRAPHY SERIES</t>
  </si>
  <si>
    <t>long range transport; volcanic pollution; anthropogenic pollution; South Shetland Islands; King George Island</t>
  </si>
  <si>
    <t>KING-GEORGE-ISLAND; POLYCYCLIC AROMATIC-HYDROCARBONS; PERSISTENT ORGANIC POLLUTANTS; ADMIRALTY BAY; WEST ANTARCTICA; CLIMATE-CHANGE; SEDIMENTS; PCBS; SOILS; PESTICIDES</t>
  </si>
  <si>
    <t>This work analyses atmospheric transport of natural and anthropogenic pollution to the South Shetland Islands (SSI), with particular reference to the period September 2015 - August 2017. Based on data from the Global Volcanism Program database and air mass back trajectories calculated using the HySPLIT model, it was found that it is possible that in the analysed period volcanic pollution was supplied via long-range transport from South America, and from the South Sandwich Islands. Air masses flowed in over the South Shetland Islands from the South America region relatively frequently - 226 times during the study period, which suggests the additional possibility of anthropogenic pollution being supplied by this means. In certain cases the trajectories also indicated the possibility of atmospheric transport from the New Zealand region, and even from the south-eastern coast of Australia. The analysis of the obtained results is compared against the background of research by other authors. This is done to indicate that research into the origin of chemical compounds in the Antarctic environment should take into account the possible influx of pollutants from remote areas during the sampling period, as well as the possible reemission of compounds accumulated in snow and ice.</t>
  </si>
  <si>
    <t>[Szuminska, Danuta; Czapiewski, Sebastian] Kazimierz Wielki Univ, Bydgoszcz, Poland; [Szopinska, Malgorzata; Polkowska, Zaneta] Gdansk Univ Technol, Gdansk, Poland</t>
  </si>
  <si>
    <t>Kazimierz Wielki University; Fahrenheit Universities; Gdansk University of Technology</t>
  </si>
  <si>
    <t>Szuminska, D (corresponding author), Kazimierz Wielki Univ, Inst Geog, Bydgoszcz, Poland.</t>
  </si>
  <si>
    <t>dszum@ukw.edu.pl</t>
  </si>
  <si>
    <t>Czapiewski, Sebastian/GZH-1035-2022; Szopińska, Małgorzata/AAX-9597-2021; Polkowska, Zaneta/AAA-3578-2020; Szumińska, Danuta/AAM-5133-2020</t>
  </si>
  <si>
    <t>Czapiewski, Sebastian/0000-0001-8010-1378; Szopińska, Małgorzata/0000-0003-2186-7781; Szumińska, Danuta/0000-0001-7142-9080; Polkowska, Zaneta/0000-0002-2730-0068</t>
  </si>
  <si>
    <t>Kazimierz Wielki University in Bydgoszcz [BS2016/5]</t>
  </si>
  <si>
    <t>Kazimierz Wielki University in Bydgoszcz</t>
  </si>
  <si>
    <t>The study was supported by grant No BS2016/5 Transformation of river systems as a result of natural and anthropogenic factors financed at Kazimierz Wielki University in Bydgoszcz. Special thanks to the Institute of Biochemistry and Biophysics, Polish Academy of Science (IBB, PAS) for the opportunity to carry out the projects (http://arctowski.aq/en/monitorings/): (1) Identification, determination and translocation of atmospheric pollutants in water bodies as an indicator of the adaptive capacity of the Antarctic, and (2) Analysis of the chemical composition of precipitation on the Western Shore of the Admiralty Bay (King George Island) in the summer season 2017/2018.</t>
  </si>
  <si>
    <t>2080-7686</t>
  </si>
  <si>
    <t>2300-8490</t>
  </si>
  <si>
    <t>BULL GEOGR-PHYS GEOG</t>
  </si>
  <si>
    <t>Bull. Geogr.-Phys. Geogr. Ser.</t>
  </si>
  <si>
    <t>10.2478/bgeo-2018-0020</t>
  </si>
  <si>
    <t>Geography, Physical</t>
  </si>
  <si>
    <t>Physical Geography</t>
  </si>
  <si>
    <t>HF4JQ</t>
  </si>
  <si>
    <t>WOS:000454199900010</t>
  </si>
  <si>
    <t>Shero, MR; Goetz, KT; Costa, DP; Burns, JM</t>
  </si>
  <si>
    <t>Shero, Michelle R.; Goetz, Kimberly T.; Costa, Daniel P.; Burns, Jennifer M.</t>
  </si>
  <si>
    <t>Temporal changes in Weddell seal dive behavior over winter: Are females increasing foraging effort to support gestation?</t>
  </si>
  <si>
    <t>aerobic capacity; aerobic dive limit; dive behavior; gestation; marine mammals; pinniped; pregnancy; reproduction</t>
  </si>
  <si>
    <t>SOUTHERN ELEPHANT SEALS; DIVING BEHAVIOR; LEPTONYCHOTES-WEDDELLII; BODY-COMPOSITION; SEX-DIFFERENCES; METABOLIC-RATE; SPLITTING BEHAVIOR; SEASONAL-VARIATION; BLOOD-CHEMISTRY; EREBUS BAY</t>
  </si>
  <si>
    <t>In capital-breeding marine mammals, prey acquisition during the foraging trip coinciding with gestation must provide energy to meet the immediate needs of the growing fetus and also a store to meet the subsequent demands of lactation. Weddell seals (Leptonychotes weddellii) that give birth following the gestational (winter) foraging period gain similar proportions of mass and lipid as compared to females that fail to give birth. Therefore, any changes in foraging behavior can be attributed to gestational costs. To investigate differences in foraging effort associated with successful reproduction, twenty-three satellite tags were deployed on post-molt female Weddell seals in the Ross Sea. Of the 20 females that returned to the area the following year, 12 females gave birth and eight did not. Females that gave birth the following year began the winter foraging period with significantly longer and deeper dives, as compared to non-reproductive seals. Mid- to late winter, reproductive females spent a significantly greater proportion of the day diving, and either depressed their diving metabolic rates (DMR), or exceeded their calculated aerobic dive limit (cADL) more frequently than females that returned without a pup. Moreover, non-reproductive females organized their dives into 2-3 short bouts per day on average (BOUTshort; 7.06 +/- 1.29 hr; mean +/- 95% CI), whereas reproductive females made 1-2 BOUTshort per day (10.9 +/- 2.84 hr), comprising one long daily foraging bout without rest. The magnitude of the increase in dive activity budgets and depression in calculated DMR closely matched the estimated energetic requirements of supporting a fetus. This study is one of the first to identify increases in foraging effort that are associated with successful reproduction in a top predator and indicates that reproductive females must operate closer to their physiological limits to support gestational costs.</t>
  </si>
  <si>
    <t>[Shero, Michelle R.] Woods Hole Oceanog Inst, Biol Dept, Woods Hole, MA 02543 USA; [Shero, Michelle R.; Burns, Jennifer M.] Univ Alaska Anchorage, Dept Biol Sci, Anchorage, AK USA; [Goetz, Kimberly T.] Natl Inst Water &amp; Atmospher Res, Wellington, New Zealand; [Goetz, Kimberly T.; Costa, Daniel P.] Univ Calif Santa Cruz, Dept Ecol &amp; Evolutionary Biol, Santa Cruz, CA 95064 USA</t>
  </si>
  <si>
    <t>Woods Hole Oceanographic Institution; University of Alaska System; University of Alaska Anchorage; National Institute of Water &amp; Atmospheric Research (NIWA) - New Zealand; University of California System; University of California Santa Cruz</t>
  </si>
  <si>
    <t>Shero, MR (corresponding author), Woods Hole Oceanog Inst, Biol Dept, Woods Hole, MA 02543 USA.</t>
  </si>
  <si>
    <t>mshero@whoi.edu</t>
  </si>
  <si>
    <t>Burns, Jennifer/AAC-8243-2019; Goetz, Kimberly/AID-8232-2022</t>
  </si>
  <si>
    <t>Burns, Jennifer/0000-0001-9652-2943; Shero, Michelle/0000-0003-4633-5351</t>
  </si>
  <si>
    <t>Division of Antarctic Sciences [ANT-0838892, ANT-0838937]; Division of Graduate Education [DGE-1242789]; Direct For Education and Human Resources; Division Of Graduate Education [1242789] Funding Source: National Science Foundation</t>
  </si>
  <si>
    <t>Division of Antarctic Sciences; Division of Graduate Education(National Science Foundation (NSF)NSF - Directorate for STEM Education (EDU)); Direct For Education and Human Resources; Division Of Graduate Education(National Science Foundation (NSF)NSF - Directorate for STEM Education (EDU))</t>
  </si>
  <si>
    <t>Division of Antarctic Sciences, Grant/Award Number: ANT-0838892 and ANT-0838937; Division of Graduate Education, Grant/Award Number: DGE-1242789</t>
  </si>
  <si>
    <t>10.1002/ece3.4643</t>
  </si>
  <si>
    <t>HF3AF</t>
  </si>
  <si>
    <t>WOS:000454107200041</t>
  </si>
  <si>
    <t>Grant, ML; Lavers, JL; Stuckenbrock, S; Sharp, PB; Bond, AL</t>
  </si>
  <si>
    <t>Grant, Megan L.; Lavers, Jennifer L.; Stuckenbrock, Silke; Sharp, Paul B.; Bond, Alexander L.</t>
  </si>
  <si>
    <t>The use of anthropogenic marine debris as a nesting material by brown boobies (Sula leucogaster)</t>
  </si>
  <si>
    <t>Environmental indicator; Litter; Nesting ecology; Pantropical oceans; Plastic pollution; Seabirds</t>
  </si>
  <si>
    <t>PLASTIC DEBRIS; ACCUMULATION; INGESTION; SEABIRDS; ENTANGLEMENT; PREVALENCE; BEHAVIOR; SEA</t>
  </si>
  <si>
    <t>Marine debris is pervasive worldwide, and affects biota negatively. We compared the characteristics of debris incorporated within brown booby (Sula leucogaster) nests throughout their pantropical distribution by assessing the type, colour and mass of debris items within nests and in beach transects at 18 sites, to determine if nests are indicators of the amount of debris in local marine environments. Debris was present in 14.4% of nests surveyed, with the proportion of nests with debris varying among sites (range: 0-100%). There was minimal overlap between the type or colour of debris found in nests and on adjacent beaches at individual sites. This suggests that brown boobies do not select debris uniformly across their distribution. We propose that the nests of brown boobies can be used as a sentinel of marine debris pollution of their local environment.</t>
  </si>
  <si>
    <t>[Grant, Megan L.] Univ Tasmania, Inst Marine &amp; Antarctic Studies, Sch Rd, Newnham, Tas 7250, Australia; [Lavers, Jennifer L.; Bond, Alexander L.] Univ Tasmania, Inst Marine &amp; Antarctic Studies, 20 Castray Esplanade, Battery Point, Tas 7004, Australia; [Stuckenbrock, Silke; Sharp, Paul B.] Two Hands Project, POB 4296, North Curl Curl, NSW 2101, Australia; [Bond, Alexander L.] Nat Hist Museum, Dept Life Sci, Bird Grp, Akeman St, Tring HP23 6AP, Herts, England</t>
  </si>
  <si>
    <t>University of Tasmania; University of Tasmania; Natural History Museum London</t>
  </si>
  <si>
    <t>Lavers, Jennifer/O-4831-2017; Lavers, Jennifer/IWM-5417-2023; Bond, Alexander L/A-3786-2010</t>
  </si>
  <si>
    <t>Lavers, Jennifer/0000-0001-7596-6588; Grant, Megan/0000-0002-0407-8468</t>
  </si>
  <si>
    <t>Women Divers Hall of Fame; Sea of Change Foundation</t>
  </si>
  <si>
    <t>Western Australia Department of Parks and Wildlife kindly granted permission for our work on Bedout Island (Permit No. 01-000-125-2). The United States Fish and Wildlife Service granted permission for our work on Rose Atoll National Wildlife Refuge (Permit No. 12514-2017-001). The Great Barrier Reef Marine Park Authority granted a Special Management Area Scientific Permit (Permit No. NCSM0699917) for our research on East Fairfax. Research was undertaken with approval from the University of Tasmania Animal Ethics Committee (Permit No. A13746). We extend our gratitude to B. Congdon, D. Tavares, M. Gilmour, J. Haakonsson, J. King, A. Whittington, M. MacDonald, and B. Peck for providing logistical support, data, and photos. The research trip to Rose Atoll National Wildlife Refuge was funded by the Women Divers Hall of Fame and the Sea of Change Foundation. Comments from two anonymous reviewers improved this manuscript.</t>
  </si>
  <si>
    <t>10.1016/j.marpolbul.2018.10.016</t>
  </si>
  <si>
    <t>HE6CG</t>
  </si>
  <si>
    <t>WOS:000453490300013</t>
  </si>
  <si>
    <t>Krasnobaev, A; ten Dam, G; van Leeuwen, SPJ; Peck, LS; van den Brink, NW</t>
  </si>
  <si>
    <t>Krasnobaev, A.; ten Dam, G.; van Leeuwen, S. P. J.; Peck, L. S.; van den Brink, N. W.</t>
  </si>
  <si>
    <t>Persistent Organic Pollutants in two species of migratory birds from Rothera Point, Adelaide Island, Antarctica</t>
  </si>
  <si>
    <t>POPs; Antarctica; Birds; PBDEs; PCBs; OCPs</t>
  </si>
  <si>
    <t>POLYBROMINATED DIPHENYL ETHERS; SKUA CATHARACTA-MACCORMICKI; KING GEORGE ISLAND; SOUTH POLAR SKUAS; POLYCHLORINATED-BIPHENYLS; ORGANOCHLORINE POLLUTANTS; CHLORINATED HYDROCARBONS; FEEDING TERRITORIES; TISSUE DISTRIBUTION; LARUS-DOMINICANUS</t>
  </si>
  <si>
    <t>Carcasses of South Polar Skuas (Catharacta maccormicki) and Kelp gulls (Lanz dominicanus) were opportunistically collected around of Rothera Research station (67 degrees 35'8S and 68 degrees 7'59W) during the 2016/2017 austral summer. Samples of their tissues (muscle, liver and subcutaneous fat) were analysed for Persistent Organic Pollutants (POPs). Organochlorine pesticides (OCPs) showed the highest concentrations, notably for pp'-DDE and HCB. The Polychlorinated biphenyls (PCBs)-profiles demonstrated a clear dominance of hexa- and hepta-CBs, while concentrations of polybrominated diphenyl ethers (PBDEs) remained low. The concentrations of some POPs (e.g. HCB) were lower than in past studies on similar species, however others were within the previous range (PCBs) or even higher than previous reported values (DDE). Although no major interspecific differences in the absolute concentrations of POPs were detected, their profiles varied, being likely related to feeding and migration patterns of each species. The current study provides important baseline data for future monitoring of POPs in Antarctica.</t>
  </si>
  <si>
    <t>[Krasnobaev, A.; van den Brink, N. W.] Wageningen Univ, Div Toxicol, POB 8000, NL-6700 EA Wageningen, Netherlands; [ten Dam, G.; van Leeuwen, S. P. J.] Wageningen Univ, RIKILT, POB 230, NL-6700 AE Wageningen, Netherlands; [Peck, L. S.] British Antarctic Survey, NERC, Cambridge, England</t>
  </si>
  <si>
    <t>Wageningen University &amp; Research; Wageningen University &amp; Research; UK Research &amp; Innovation (UKRI); Natural Environment Research Council (NERC); NERC British Antarctic Survey</t>
  </si>
  <si>
    <t>Krasnobaev, A (corresponding author), Wageningen Univ, Div Toxicol, POB 8000, NL-6700 EA Wageningen, Netherlands.</t>
  </si>
  <si>
    <t>artem.krasnobaev@gmail.com</t>
  </si>
  <si>
    <t>van Leeuwen, Stefan/C-4375-2013</t>
  </si>
  <si>
    <t>van Leeuwen, Stefan/0000-0003-4847-0768</t>
  </si>
  <si>
    <t>Netherland Polar Programme of the Netherlands Organisation for Scientific Research (NWO) [866.14.104]; NERC [bas0100036] Funding Source: UKRI</t>
  </si>
  <si>
    <t>Netherland Polar Programme of the Netherlands Organisation for Scientific Research (NWO)(Netherlands Organization for Scientific Research (NWO)); NERC(UK Research &amp; Innovation (UKRI)Natural Environment Research Council (NERC))</t>
  </si>
  <si>
    <t>This project was funded by the Netherland Polar Programme of the Netherlands Organisation for Scientific Research (NWO) (grant 866.14.104). The British Antarctic Survey (BAS) is acknowledged for general support. We thank personnel of Rothera Station for helping with the collection of the samples.</t>
  </si>
  <si>
    <t>10.1016/j.marpolbul.2018.10.008</t>
  </si>
  <si>
    <t>WOS:000453490300015</t>
  </si>
  <si>
    <t>Espejo, W; Padilha, JD; Kidd, KA; Dorneles, PR; Barra, R; Malm, O; Chiang, G; Celis, JE</t>
  </si>
  <si>
    <t>Espejo, Winfred; Padilha, Janeide de A.; Kidd, Karen A.; Dorneles, Paulo R.; Barra, Ricardo; Malm, Olaf; Chiang, Gustavo; Celis, Jose E.</t>
  </si>
  <si>
    <t>Trophic transfer of cadmium in marine food webs from Western Chilean Patagonia and Antarctica</t>
  </si>
  <si>
    <t>Bioaccumulation; Biomagnification; Trace elements; Marine food webs; Patagonia; Antarctica</t>
  </si>
  <si>
    <t>TRACE-ELEMENTS; HEAVY-METALS; ANALYZING BIOMAGNIFICATION; PYGOSCELIS-ADELIAE; STABLE CARBON; CONTAMINATION; ORGANISMS; BIOACCUMULATION; ACCUMULATION; SEDIMENTS</t>
  </si>
  <si>
    <t>In aquatic environments, Cd contamination is a great concern because this non -essential metal presents risks both for wildlife and human health. Data about the concentration and transfer of Cd in Patagonian and Antarctic aquatic food webs are crucial for assessing the impacts of this element in pristine ecosystems. Consequently, the concentration of Cd was measured in thirty-two species collected in the 2014 austral summer from two locations of the Western Patagonia and two locations of the Antarctic Peninsula. The main objective of this work was to assess the relationship between Cd concentration and trophic level determined by delta N-15. In the studied trophic positions, Cd showed a positive relationship between concentration and trophic level, which suggests bio-magnification of this element in macroinvertebrates. However, there was a significant dilution when higher trophic organisms were considered.</t>
  </si>
  <si>
    <t>[Espejo, Winfred] Fdn MERI, Melimoyu Ecosyst Res Inst, Santiago 7650720, Chile; [Padilha, Janeide de A.; Dorneles, Paulo R.; Malm, Olaf] Fed Univ Rio Janeiro, Biophys Inst, Radioisotopes Lab, Rio De Janeiro, Brazil; [Kidd, Karen A.] Univ New Brunswick, Canadian Rivers Inst, 100 Tucker Pk Rd, St John E2L 4L5, NB, Canada; [Kidd, Karen A.] Univ New Brunswick, Biol Dept, 100 Tucker Pk Rd, St John E2L 4L5, NB, Canada; [Barra, Ricardo] Univ Concepcion, Dept Aquat Syst, Fac Ciencias Ambient, Casilla 160-C, Concepcion, Chile; [Barra, Ricardo] Univ Concepcion, Dept Aquat Syst, EULA Chile Ctr, Casilla 160-C, Concepcion, Chile; [Celis, Jose E.] Univ Concepcion, Fac Ciencias Vet, Dept Anim Sci, Casilla 537, Chillan, Chile; [Kidd, Karen A.] McMaster Univ, Dept Biol, 1280 Main St W, Hamilton, ON L8S 4K1, Canada; [Kidd, Karen A.] McMaster Univ, Sch Geog &amp; Earth Sci, 1280 Main St W, Hamilton, ON L8S 4K1, Canada</t>
  </si>
  <si>
    <t>Universidade Federal do Rio de Janeiro; University of New Brunswick; University of New Brunswick; Universidad de Concepcion; Universidad de Concepcion; Universidad de Concepcion; McMaster University; McMaster University</t>
  </si>
  <si>
    <t>Celis, JE (corresponding author), Univ Concepcion, Fac Ciencias Vet, Dept Anim Sci, Casilla 537, Chillan, Chile.</t>
  </si>
  <si>
    <t>jcelis@udec.cl</t>
  </si>
  <si>
    <t>CELIS, JOSE/AAP-6048-2021; Barra, Ricardo O./A-5543-2009; Espejo, Winfred/AAO-7150-2020; de Assis Padilha, Janeide/S-1115-2016; Kidd, Karen/ABG-3237-2020; Malm, Olaf/H-1724-2012; Chiang, Gustavo/ABA-9349-2020; Dorneles, Paulo R/M-2049-2013; Barra, Ricardo O/AAE-7295-2019</t>
  </si>
  <si>
    <t>Barra, Ricardo O./0000-0002-1567-7722; de Assis Padilha, Janeide/0000-0002-1901-5822; Kidd, Karen/0000-0002-5619-1358; Barra, Ricardo O/0000-0002-1567-7722; Malm, Olaf/0000-0002-4116-7160; Chiang, Gustavo/0000-0003-4504-355X; Dorneles, Paulo/0000-0003-0296-739X; CELIS, JOSE E./0000-0002-2458-1239; Espejo, Winfred/0000-0002-3753-2006</t>
  </si>
  <si>
    <t>Universidad de Concepcion [VRID 216.153.025-1.0]; MERI Foundation; Institute Antartico Chileno [INACH T31-11]; Canada Research Chairs; Stephen A. Jarislowsky Foundation; [REDI170292]</t>
  </si>
  <si>
    <t>Universidad de Concepcion; MERI Foundation; Institute Antartico Chileno; Canada Research Chairs(Canada Research ChairsCGIAR); Stephen A. Jarislowsky Foundation;</t>
  </si>
  <si>
    <t>Many thanks are given to the personnel of the Stable Isotope in Nature Laboratory of the University of New Brunswick (Canada) and Radioisotopes Laboratory of the University of Rio de Janeiro (Brazil) for their valuable help in performing the analytical procedures. Also, many thanks are given to J. Thera for statistics support. Financial support was provided by project VRID 216.153.025-1.0 of the Universidad de Concepcion (granted to J. Celis), INACH T31-11 of the Institute Antartico Chileno (granted to G. Chiang), and the Canada Research Chairs and Stephen A. Jarislowsky Foundation (to K. Kidd). Finally, many thanks are given to the MERI Foundation and project REDI170292 for supporting the postdoctoral work of W. Espejo.</t>
  </si>
  <si>
    <t>10.1016/j.marpolbul.2018.10.022</t>
  </si>
  <si>
    <t>WOS:000453490300029</t>
  </si>
  <si>
    <t>Scientists capture eerie seismic howl of Antarctic ice shelf</t>
  </si>
  <si>
    <t>ACOUSTICS AUSTRALIA</t>
  </si>
  <si>
    <t>SPRINGER SINGAPORE PTE LTD</t>
  </si>
  <si>
    <t>#04-01 CENCON I, 1 TANNERY RD, SINGAPORE 347719, SINGAPORE</t>
  </si>
  <si>
    <t>0814-6039</t>
  </si>
  <si>
    <t>1839-2571</t>
  </si>
  <si>
    <t>ACOUST AUST</t>
  </si>
  <si>
    <t>Acoust. Aust.</t>
  </si>
  <si>
    <t>Acoustics</t>
  </si>
  <si>
    <t>HF0HO</t>
  </si>
  <si>
    <t>WOS:000453841500017</t>
  </si>
  <si>
    <t>Seitz, S; Putlitz, B; Baumgartner, LP; Bouvier, AS</t>
  </si>
  <si>
    <t>Seitz, Susanne; Putlitz, Benita; Baumgartner, Lukas Peter; Bouvier, Anne-Sophie</t>
  </si>
  <si>
    <t>The role of crustal melting in the formation of rhyolites: Constraints from SIMS oxygen isotope data (Chon Aike Province, Patagonia, Argentina)</t>
  </si>
  <si>
    <t>AMERICAN MINERALOGIST</t>
  </si>
  <si>
    <t>Oxygen isotopes; SIMS; rhyolites; crustal melting; quartz; zircon</t>
  </si>
  <si>
    <t>ION MICROPROBE ANALYSIS; HEISE VOLCANIC FIELD; S-TYPE GRANITES; ANTARCTIC PENINSULA; IGNEOUS ROCKS; U-PB; MAGMATIC EVOLUTION; SILICIC MAGMATISM; JURASSIC RHYOLITE; CENTRAL ANDES</t>
  </si>
  <si>
    <t>We report on the oxygen isotope composition of Jurassic rhyolites from a silicic large igneous province, the Chon Aike Province (Patagonia, Argentina). Quartz is shown to have refractory behavior with respect to diffusional oxygen isotope exchange, making it a robust tracer of magmatic processes. Detailed secondary ion mass spectroscopy (SIMS) transects across 24 quartz crystals reveal homogeneous, but elevated, oxygen isotope values (10.9-12.5 parts per thousand). None of the analyzed grains display distinct discontinuities in O-18 values. Late hydrothermal exchange is limited to a few tens of micrometers next to cracks, some grain boundaries, and inclusions. No correlation with igneous zoning as revealed by cathodoluminescence (CL) was found. Finally, quartz crystals display little to no inter-grain variability at a sample or outcrop scale. Zircons (7.5-10.1 parts per thousand), in contrast, display significant inter-crystalline oxygen isotopic heterogeneity (&gt;2.0 parts per thousand) at a sample scale, but core-rim analyses reveal no systematic variations. This is interpreted to confirm the antecrystic nature of zircons, while quartz crystals mostly are phenocrysts. The studied quartz and zircon provide, hence, complementary information on the evolution of the magmatic system of the Chon Aike Province. Zircon likely captures information about the deeper source region, in contrast to quartz that will record the last stages of the magmatic system and thus might provide important information on the buildup and duration of magma chamber processes in the upper crust. The data illustrate that quartz-in the absence of recrystallization-can retain its magmatic signature and is thus a useful tracer of pre-eruptive magmatic processes. The high delta O-18 values of both zircon and quartz require a significant (&gt;50%) crustal-most likely sedimentarycontribution in the melt formation process, either via assimilation or anatexis. This conclusion yields new constraints on petrological models for the Chon Aike Province.</t>
  </si>
  <si>
    <t>[Seitz, Susanne; Putlitz, Benita; Baumgartner, Lukas Peter; Bouvier, Anne-Sophie] Univ Lausanne, Inst Earth Sci, CH-1015 Lausanne, Switzerland</t>
  </si>
  <si>
    <t>University of Lausanne</t>
  </si>
  <si>
    <t>Seitz, S; Putlitz, B (corresponding author), Univ Lausanne, Inst Earth Sci, CH-1015 Lausanne, Switzerland.</t>
  </si>
  <si>
    <t>susanne.seitz@unil.ch; benita.putlitz@unil.ch</t>
  </si>
  <si>
    <t>Baumgartner, Lukas P./0000-0003-2304-1772; Bouvier, Anne-Sophie/0000-0002-5202-603X; Putlitz, Benita/0009-0006-0268-4372</t>
  </si>
  <si>
    <t>Swiss National Science Foundation [200020_150078, 200021_153094]; PCI CASA funding of the Swiss government; Swiss National Science Foundation (SNF) [200021_153094, 200020_150078] Funding Source: Swiss National Science Foundation (SNF)</t>
  </si>
  <si>
    <t>Swiss National Science Foundation(Swiss National Science Foundation (SNSF)); PCI CASA funding of the Swiss government; Swiss National Science Foundation (SNF)(Swiss National Science Foundation (SNSF))</t>
  </si>
  <si>
    <t>We thank the authorities of the Parque Nacional de los Glaciares (Argentina) for the permission to sample and the rangers in El Chalten for their support. A special thank you goes to A. Kosmal (El Chalten) for his hospitality, logistic support and geological insights. We also thank our field assistants N. Buchs and E. May for their help. We thank P. Vonlanthen for the introduction to the cathodoluminescence laboratory. We thank L. Caricchi and O. Muntener for helpful discussions. We appreciated the constructive suggestions by M. Stelten and L. Claiborne, which have led to a significant improvement of the manuscript. We gratefully acknowledge funding by the Swiss National Science Foundation (Fund 200020_150078 to B.P., 200021_153094 to L.P.B.) and PCI CASA funding of the Swiss government to L.P.B.</t>
  </si>
  <si>
    <t>MINERALOGICAL SOC AMER</t>
  </si>
  <si>
    <t>CHANTILLY</t>
  </si>
  <si>
    <t>3635 CONCORDE PKWY STE 500, CHANTILLY, VA 20151-1125 USA</t>
  </si>
  <si>
    <t>0003-004X</t>
  </si>
  <si>
    <t>1945-3027</t>
  </si>
  <si>
    <t>AM MINERAL</t>
  </si>
  <si>
    <t>Am. Miner.</t>
  </si>
  <si>
    <t>10.2138/am-2018-6520</t>
  </si>
  <si>
    <t>Geochemistry &amp; Geophysics; Mineralogy</t>
  </si>
  <si>
    <t>HE8OD</t>
  </si>
  <si>
    <t>WOS:000453705600014</t>
  </si>
  <si>
    <t>Edgar, GJ; Ward, TJ; Stuart-Smith, RD</t>
  </si>
  <si>
    <t>Edgar, Graham J.; Ward, Trevor J.; Stuart-Smith, Rick D.</t>
  </si>
  <si>
    <t>Rapid declines across Australian fishery stocks indicate global sustainability targets will not be achieved without an expanded network of 'no-fishing' reserves</t>
  </si>
  <si>
    <t>Convention on Biological Diversity; fish stocks; fisheries management; jackass morwong; marine protected area; marine reserve; overfishing; Reef Life Survey; reef monitoring; stock status</t>
  </si>
  <si>
    <t>MARINE PROTECTED AREAS; CLIMATE-CHANGE; MANAGEMENT; REEF; CONSERVATION; COMMUNITIES; ECOSYSTEM; RECOVERY; TRENDS; CORAL</t>
  </si>
  <si>
    <t>A continuing debate between environmental scientists and fisheries biologists on the sustainability of fisheries management practices, and the extent of fishing impacts on marine ecosystems, is unlikely to be resolved without fishery-independent data spanning large geographic and temporal scales. Here, we compare continental- and decadal-scale trends in fisheries catches with underwater reef monitoring data for 533 sites around Australia, and find matching evidence of rapid fish-stock declines. Regardless of a high global ranking for fisheries sustainability, catches from Australian wild fisheries decreased by 31% over the past decade. The biomass of large fishes observed on underwater transects decreased significantly over the same period on fished reefs (36% decline) and in marine park zones that allow limited fishing (18% decline), but with a negligible overall change in no-fishing marine reserves. Populations of exploited fishes generally rose within marine reserves and declined outside the reserves, whereas unexploited species showed little difference in population trends within or outside reserves. Although changing climate and more precautionary fisheries management contribute to declining fish catches, fisheries-independent transect data suggest that excessive fishing also plays a major role. The large number of fishery stocks that remain unmanaged or have poor data, coupled with continuing declines in the stock biomass of managed fish species, indicate that Aichi Target 6 of the Convention on Biological Diversity (i.e. 'by 2020, all fish and invertebrate stocks and aquatic plants are managed and harvested sustainably') will not be achieved in Australia, or elsewhere. In order to maintain some naturally functioning food webs supported by large predators and associated ecosystem services in this era of changing climate, a greatly expanded network of effective, fully protected marine protected areas is needed that encompasses global marine biodiversity. The present globally unbalanced situation, with &gt;98% of seas open to some form of fishing, deserves immediate multinational attention.</t>
  </si>
  <si>
    <t>[Edgar, Graham J.; Stuart-Smith, Rick D.] Univ Tasmania, Inst Marine &amp; Antarctic Studies, GPO Box 252-49, Hobart, Tas 7001, Australia; [Ward, Trevor J.] Univ Technol Sydney, Sch Life Sci, POB 123, Broadway, NSW 2007, Australia</t>
  </si>
  <si>
    <t>University of Tasmania; University of Technology Sydney</t>
  </si>
  <si>
    <t>Edgar, GJ (corresponding author), Univ Tasmania, Inst Marine &amp; Antarctic Studies, GPO Box 252-49, Hobart, Tas 7001, Australia.</t>
  </si>
  <si>
    <t>g.edgar@utas.edu.au</t>
  </si>
  <si>
    <t>Edgar, Graham/AAY-3797-2020; Stuart-Smith, Rick D/M-1829-2013</t>
  </si>
  <si>
    <t>Edgar, Graham/0000-0003-0833-9001; Stuart-Smith, Rick D/0000-0002-8874-0083</t>
  </si>
  <si>
    <t>Australian Research Council</t>
  </si>
  <si>
    <t>Australian Research Council(Australian Research Council)</t>
  </si>
  <si>
    <t>10.1002/aqc.2934</t>
  </si>
  <si>
    <t>HF0TA</t>
  </si>
  <si>
    <t>WOS:000453874900008</t>
  </si>
  <si>
    <t>Chase, Z; Ellwood, MJ; van de Flierdt, T</t>
  </si>
  <si>
    <t>Chase, Zanna; Ellwood, Michael J.; van de Flierdt, Tina</t>
  </si>
  <si>
    <t>Discovering the Ocean's Past through Geochemistry</t>
  </si>
  <si>
    <t>ELEMENTS</t>
  </si>
  <si>
    <t>paleoceanography; climate change; isotopes; metals; marine sediments; geochemical proxy; GEOTRACES</t>
  </si>
  <si>
    <t>ISOTOPE FRACTIONATION; SOUTHERN-OCEAN; MARINE; CLIMATE; CIRCULATION; TH-230; MG/CA; ZINC</t>
  </si>
  <si>
    <t>Trace elements and isotopes underlie many of the proxies used to reconstruct past ocean conditions. These proxies, recorded in diverse archives, are used to reconstruct seawater properties such as temperature, pH, and oxygen, or oceanic processes such as circulation, nutrient uptake, and biological productivity. Proxy calibration and validation requires a combination of ocean sediment core-top measurements, sediment trap studies, and laboratory- or field-based observations. New measurements of proxies in the modern ocean are rapidly illuminating the scope and limitations of each proxy while also helping to identify and evaluate new geochemical proxies that are based on trace elements and their isotopes.</t>
  </si>
  <si>
    <t>[Chase, Zanna] Univ Tasmania, Inst Marine &amp; Antarctic Studies, Battery Point, Australia; [Ellwood, Michael J.] Australian Natl Univ, Res Sch Earth Sci, Canberra, ACT, Australia; [van de Flierdt, Tina] Imperial Coll London, Dept Earth Sci &amp; Engn, London, England</t>
  </si>
  <si>
    <t>University of Tasmania; Australian National University; Imperial College London</t>
  </si>
  <si>
    <t>Chase, Z (corresponding author), Univ Tasmania, Inst Marine &amp; Antarctic Studies, Battery Point, Australia.</t>
  </si>
  <si>
    <t>zanna.chase@utas.edu.au; michael.ellwood@anu.edu.au; tina.vandeflierdt@imperial.ac.uk</t>
  </si>
  <si>
    <t>Ellwood, Michael J/G-7390-2011; Chase, Zanna/E-9232-2013</t>
  </si>
  <si>
    <t>Chase, Zanna/0000-0001-5060-779X; Ellwood, Michael/0000-0003-4288-8530</t>
  </si>
  <si>
    <t>NERC [NE/N001141/1, NE/J021636/1, NE/R018219/1, NE/P019080/1] Funding Source: UKRI</t>
  </si>
  <si>
    <t>1811-5209</t>
  </si>
  <si>
    <t>1811-5217</t>
  </si>
  <si>
    <t>Elements</t>
  </si>
  <si>
    <t>10.2138/gselements.14.6.397</t>
  </si>
  <si>
    <t>HE7YT</t>
  </si>
  <si>
    <t>WOS:000453658900006</t>
  </si>
  <si>
    <t>Box, JE; Colgan, WT; Wouters, B; Burgess, DO; O'Neel, S; Thomson, LI; Mernild, SH</t>
  </si>
  <si>
    <t>Box, Jason E.; Colgan, William T.; Wouters, Bert; Burgess, David O.; O'Neel, Shad; Thomson, Laura I.; Mernild, Sebastian H.</t>
  </si>
  <si>
    <t>Global sea-level contribution from Arctic land ice: 1971-2017</t>
  </si>
  <si>
    <t>ENVIRONMENTAL RESEARCH LETTERS</t>
  </si>
  <si>
    <t>sea-level; land ice; mass-balance; glaciology; climatology; climate change</t>
  </si>
  <si>
    <t>AXEL-HEIBERG ISLAND; GLACIER MASS CHANGE; WHITE GLACIER; CLIMATE; BALANCE; RISE; SHEET; SVALBARD; DRIVEN; CANADA</t>
  </si>
  <si>
    <t>The Arctic Monitoring and Assessment Program (AMAP2017) report identifies the Arctic as the largest regional source of land ice to global sea-level rise in the 2003-2014 period. Yet, this contextualization ignores the longer perspective from in situ records of glacier mass balance. Here, using 17 (&gt;55 degrees N latitude) glacier and ice capmass balance series in the 1971-2017 period, we develop a semi-empirical estimate of annual sea-level contribution from seven Arctic regions by scaling the in situ records to GRACE averages. We contend that our estimate represents the most accurate Arctic land ice mass balance assessment so far available before the 1992 start of satellite altimetry. We estimate the 1971-2017 eustatic sea-level contribution from land ice north of similar to 55 degrees N to be 23.0 +/- 12.3 mm sea-level equivalent (SLE). In all regions, the cumulative sea-level rise curves exhibit an acceleration, starting especially after 1988. Greenland is the source of 46% of the Arctic sea-level rise contribution (10.6 +/- 7.3mm), followed by Alaska (5.7 +/- 2.2mm), Arctic Canada (3.2 +/- 0.7mm) and the Russian High Arctic (1.5 +/- 0.4mm). Our annual results exhibit co-variability over a 43 year overlap (1971-2013) with the alternative dataset of Marzeion et al (2015 Cryosphere 9 2399-404) (M15). However, we find a 1.36 x lower sea-level contribution, in agreement with satellite gravimetry. The IPCC Fifth Assessment report identified constraining the pre-satellite era sea-level budget as a topic of low scientific understanding that we address and specify sea-level contributions coinciding with IPCC Special Report on the Ocean and Cryosphere in a Changing Climate (SROCC) 'present day' (2005-2015) and 'recent past' (1986-2005) reference periods. We assess an Arctic land ice loss of 8.3 mm SLE during the recent past and 12.4mm SLE during the present day. The seven regional sea-level rise contribution time series of this study are available from AMAP.no.</t>
  </si>
  <si>
    <t>[Box, Jason E.; Colgan, William T.] Geol Survey Denmark &amp; Greenland GEUS, Copenhagen, Denmark; [Wouters, Bert] Univ Utrecht, Inst Marine &amp; Atmospher Res, Utrecht, Netherlands; [Wouters, Bert] Delft Univ Technol, Fac Civil Engn &amp; Geosci, Delft, Netherlands; [Burgess, David O.] Nat Resources Canada, Ottawa, ON, Canada; [O'Neel, Shad] US Geol Survey, Alaska Sci Ctr, Anchorage, AK USA; [Thomson, Laura I.] Queens Univ, Dept Geog &amp; Planning, Kingston, ON, Canada; [Mernild, Sebastian H.] Nansen Environm &amp; Remote Sensing Ctr, Bergen, Norway; [Mernild, Sebastian H.] Western Norway Univ Appl Sci, Dept Environm Sci, Sogndal, Norway; [Mernild, Sebastian H.] Univ Magallanes, Direct Antarctic &amp; Subantarctic Programs, Punta Arenas, Chile</t>
  </si>
  <si>
    <t>Geological Survey Of Denmark &amp; Greenland; Utrecht University; Delft University of Technology; Natural Resources Canada; United States Department of the Interior; United States Geological Survey; Queens University - Canada; Nansen Environmental &amp; Remote Sensing Center (NERSC); Western Norway University of Applied Sciences; Universidad de Magallanes</t>
  </si>
  <si>
    <t>Box, JE (corresponding author), Geol Survey Denmark &amp; Greenland GEUS, Copenhagen, Denmark.</t>
  </si>
  <si>
    <t>jeb@geus.dk</t>
  </si>
  <si>
    <t>Box, Jason E/AAE-1654-2019; Box, Jason/H-5770-2013; Wouters, Bert/AAA-4254-2019; Colgan, William/ITU-7055-2023; Mernild, Sebastian H./M-5516-2013</t>
  </si>
  <si>
    <t>Box, Jason E/0000-0003-0052-8705; Box, Jason/0000-0003-0052-8705; Wouters, Bert/0000-0002-1086-2435; Colgan, William/0000-0001-6334-1660; O'Neel, Shad/0000-0002-9185-0144; Thomson, Laura/0000-0003-4753-7924; Mernild, Sebastian H./0000-0003-0797-3975</t>
  </si>
  <si>
    <t>Arctic Monitoring and Assessment Program (AMAP); Network on Arctic Glaciology (NAG) of the International Arctic Science Committee (IASC); DANCEA (Danish Cooperation for Environment in the Arctic) under the Danish Ministry of Energy, Buildings and Climate; Danish Council for Independent research [4002-00234]; Geological Survey of Canada; NWO VIDI [016.Vidi.171.065]</t>
  </si>
  <si>
    <t>Arctic Monitoring and Assessment Program (AMAP); Network on Arctic Glaciology (NAG) of the International Arctic Science Committee (IASC); DANCEA (Danish Cooperation for Environment in the Arctic) under the Danish Ministry of Energy, Buildings and Climate; Danish Council for Independent research(Det Frie Forskningsrad (DFF)); Geological Survey of Canada(Natural Resources Canada); NWO VIDI(Netherlands Organization for Scientific Research (NWO))</t>
  </si>
  <si>
    <t>This work is developed in support of the Arctic Monitoring and Assessment Program (AMAP) and under the framework of the Network on Arctic Glaciology (NAG) of the International Arctic Science Committee (IASC). Financing for this study is primarily by DANCEA (Danish Cooperation for Environment in the Arctic) under the Danish Ministry of Energy, Buildings and Climate and The Danish Council for Independent research under project 4002-00234. Support to DB was provided by the Geological Survey of Canada, with field logistics for collection of mass balance data in the Canadian Arctic provided by the Polar Continental Shelf Project, NRCAN. BW was funded NWO VIDI grant 016.Vidi.171.065. We are very grateful for constructive critique and comments from: two anonymous reviewers; Chris Larsen of University of Alaska, Fairbanks and Sharon Smith from the Geological Survey of Canada.</t>
  </si>
  <si>
    <t>IOP Publishing Ltd</t>
  </si>
  <si>
    <t>1748-9326</t>
  </si>
  <si>
    <t>ENVIRON RES LETT</t>
  </si>
  <si>
    <t>Environ. Res. Lett.</t>
  </si>
  <si>
    <t>10.1088/1748-9326/aaf2ed</t>
  </si>
  <si>
    <t>HF6AS</t>
  </si>
  <si>
    <t>WOS:000454316600001</t>
  </si>
  <si>
    <t>Ehmann, B; Altbäcker, A; Balázs, L</t>
  </si>
  <si>
    <t>Ehmann, Bea; Altbacker, Anna; Balazs, Laszlo</t>
  </si>
  <si>
    <t>Emotionality in isolated, confined and extreme (ICE) environments: Content analysis of diaries of Antarctic Winteroverers</t>
  </si>
  <si>
    <t>JOURNAL OF ENVIRONMENTAL PSYCHOLOGY</t>
  </si>
  <si>
    <t>Psychology; Emotion; Extreme environment; Content analysis; LIWC</t>
  </si>
  <si>
    <t>POLAR; ADAPTATION; SPACE</t>
  </si>
  <si>
    <t>[Ehmann, Bea; Altbacker, Anna; Balazs, Laszlo] Hungarian Acad Sci, Res Ctr Nat Sci, Inst Cognit Neurosci &amp; Psychol, Magyar Tudosok Korutja 2, H-1117 Budapest, Hungary</t>
  </si>
  <si>
    <t>Hungarian Research Network; HUN-REN Research Centre for Natural Sciences; Hungarian Academy of Sciences</t>
  </si>
  <si>
    <t>Ehmann, B (corresponding author), Hungarian Acad Sci, Res Ctr Nat Sci, Inst Cognit Neurosci &amp; Psychol, Magyar Tudosok Korutja 2, H-1117 Budapest, Hungary.</t>
  </si>
  <si>
    <t>ehmann.bea@ttk.mta.hu</t>
  </si>
  <si>
    <t>Balázs, László/A-2688-2010; Altbäcker, Anna/ABE-2822-2021; Ehmann, Bea/I-4741-2012</t>
  </si>
  <si>
    <t>Balázs, László/0000-0002-6701-973X; Altbacker, Anna/0000-0002-6346-8642</t>
  </si>
  <si>
    <t>ESA/PECS project [4000108001]</t>
  </si>
  <si>
    <t>ESA/PECS project</t>
  </si>
  <si>
    <t>This research received funding from ESA/PECS project 4000108001.</t>
  </si>
  <si>
    <t>0272-4944</t>
  </si>
  <si>
    <t>J ENVIRON PSYCHOL</t>
  </si>
  <si>
    <t>J. Environ. Psychol.</t>
  </si>
  <si>
    <t>10.1016/j.jenvp.2018.09.003</t>
  </si>
  <si>
    <t>Environmental Studies; Psychology, Multidisciplinary</t>
  </si>
  <si>
    <t>Environmental Sciences &amp; Ecology; Psychology</t>
  </si>
  <si>
    <t>HE7MT</t>
  </si>
  <si>
    <t>WOS:000453622500015</t>
  </si>
  <si>
    <t>Priyadarshi, S; Zhang, QH; Thomas, EG; Spogli, L; Cesaroni, C</t>
  </si>
  <si>
    <t>Priyadarshi, S.; Zhang, Q. H.; Thomas, E. G.; Spogli, L.; Cesaroni, C.</t>
  </si>
  <si>
    <t>Polar traveling ionospheric disturbances inferred with the B-spline method and associated scintillations in the Southern Hemisphere</t>
  </si>
  <si>
    <t>ADVANCES IN SPACE RESEARCH</t>
  </si>
  <si>
    <t>Ionosphere; Scintillation; TIDs; South Pole</t>
  </si>
  <si>
    <t>PHASE-SCINTILLATION; HIGH-LATITUDES; AURORAL OVAL; GPS; INDEX; IRREGULARITIES</t>
  </si>
  <si>
    <t>A new method for analyzing travelling ionospheric disturbances (TIDs) is developed by using two B-spline basis functions of degree 4 on the Total Electron Content (TEC) data from the ground-based Global Positioning System (GPS) receivers. This method enhances the spatial resolution to about 0.1 degrees (geographic latitude) x 0.1 degrees (geographic longitude), which is useful in studying all scales (small, medium and large) TIDs. Using this method, we investigated TIDs and their associated scintillation on 18-19 July 2013 at Southern Hemisphere and found phase scintillation is more sensitive than amplitude scintillation to the TIDs at South Pole. To see the full impact of TIDs on scintillation, we have used a proxy phase scintillation index, calculated using geodetic GPS receivers over Antarctica. We have verified the presence of TIDs during these two days by using a Global Navigation Satellite System (GNSS)-TEC single station approach and SuperDARN slant range signals. Our results show the TEC fluctuations are associated with ionospheric scintillation. The shape of TIDs, their elongation and flattening along/across the geographic latitude/longitude, seems to be related to the magnitude and occurrence of ionospheric scintillations. Magnetospheric particle precipitation boost TEC gradients and generate stronger amplitude scintillation, however, large-scale plasma irregularities cause overall enhancement in magnitude of the phase scintillation index. Due to the high turbulence in the polar ionosphere, TIDs change their shapes quite quickly and/or may disappear in the background ionosphere. B-spline TIDs analysis method is very useful in identifying the visible as well as hidden TIDs parts in the polar ionosphere. For the first time, ionospheric scintillation has been investigated in the vicinity of TIDs at high- latitude in the southern hemisphere. Further, the presented B-spline TIDs analysis method is unique and simple in itself as it uses GPS receiver processed TEC data as the primary input. Our results show that at polar latitude it is not necessary that TIDs always appear near the high TEC regions. Usefulness of the B-spline TIDs detection method has been demonstrated in analyzing TIDs at all geographic locations and different solar activity conditions by comparing B-spline TIDs method produced results with the previous case studies. (C) 2018 COSPAR. Published by Elsevier Ltd. All rights reserved.</t>
  </si>
  <si>
    <t>[Priyadarshi, S.; Zhang, Q. H.] Shandong Univ, Inst Space Sci, Shandong Prov Key Lab Opt Astron &amp; Solar Terr Env, Weihai 264209, Shandong, Peoples R China; [Thomas, E. G.] Dartmouth Coll, Thayer Sch Engn, Hanover, NH 03755 USA; [Spogli, L.; Cesaroni, C.] Ist Nazl Geofis &amp; Vulcanol, Via Vigna Murata 605, I-00143 Rome, Italy; [Spogli, L.] SpacEarth Technol, Via Vigna Murata 605, I-00143 Rome, Italy</t>
  </si>
  <si>
    <t>Shandong University; Dartmouth College; Istituto Nazionale Geofisica e Vulcanologia (INGV)</t>
  </si>
  <si>
    <t>Priyadarshi, S; Zhang, QH (corresponding author), Shandong Univ, Inst Space Sci, Shandong Prov Key Lab Opt Astron &amp; Solar Terr Env, Weihai 264209, Shandong, Peoples R China.</t>
  </si>
  <si>
    <t>spriyadarshi@sdu.edu.cn; zhangqinghe@sdu.edu.cn</t>
  </si>
  <si>
    <t>Spogli, Luca/AAD-1980-2021; Cesaroni, Claudio/AAF-1075-2020; Zhang, Qing-He/G-4572-2014; Priyadarshi, Shishir/C-5036-2019; Thomas, Evan G/B-3921-2017</t>
  </si>
  <si>
    <t>Zhang, Qing-He/0000-0003-2429-4050; Priyadarshi, Shishir/0000-0002-1775-8964; SPOGLI, Luca/0000-0003-2310-0306</t>
  </si>
  <si>
    <t>China Postdoctoral International Exchange Program Grant from the Institute of Space Sciences Shandong University, China; National Natural Science Foundation [41574138, 41274149, 41274148]; Shandong Provincial Natural Science Foundation [JQ201412]; International Collaboration Supporting Project, Chinese Arctic and Antarctic Administration [IC201511]; USA, National Science Foundation [PLR-1248062, PLR-1247975, PLR-1248087]</t>
  </si>
  <si>
    <t>China Postdoctoral International Exchange Program Grant from the Institute of Space Sciences Shandong University, China; National Natural Science Foundation(National Natural Science Foundation of China (NSFC)); Shandong Provincial Natural Science Foundation(Natural Science Foundation of Shandong Province); International Collaboration Supporting Project, Chinese Arctic and Antarctic Administration; USA, National Science Foundation(National Science Foundation (NSF))</t>
  </si>
  <si>
    <t>This work was supported by China Postdoctoral International Exchange Program Grant from the Institute of Space Sciences Shandong University, China; the National Natural Science Foundation (grants 41574138, 41274149, and 41274148); the Shandong Provincial Natural Science Foundation (grant JQ201412); and the International Collaboration Supporting Project, Chinese Arctic and Antarctic Administration (IC201511). We also gratefully acknowledge support from USA, National Science Foundation grants PLR-1248062, PLR-1247975, and PLR-1248087. Data used in the present paper have been downloaded from Madrigal database (http://madrigal.iggcas.ac.cn/madrigal/), NASAOMINIWEB server (http://omniweb.gsfc.nasa.gov/).We also acknowledge the use of SuperDARN data. SuperDARN is a collection of radars funded by national scientific funding agencies of Australia, Canada, China, France, Japan, South Africa, United Kingdom and United States of America.</t>
  </si>
  <si>
    <t>0273-1177</t>
  </si>
  <si>
    <t>1879-1948</t>
  </si>
  <si>
    <t>ADV SPACE RES</t>
  </si>
  <si>
    <t>Adv. Space Res.</t>
  </si>
  <si>
    <t>DEC 1</t>
  </si>
  <si>
    <t>10.1016/j.asr.2018.08.015</t>
  </si>
  <si>
    <t>Engineering, Aerospace; Astronomy &amp; Astrophysics; Geosciences, Multidisciplinary; Meteorology &amp; Atmospheric Sciences</t>
  </si>
  <si>
    <t>Engineering; Astronomy &amp; Astrophysics; Geology; Meteorology &amp; Atmospheric Sciences</t>
  </si>
  <si>
    <t>HD5PE</t>
  </si>
  <si>
    <t>WOS:000452581600022</t>
  </si>
  <si>
    <t>Koo, JH; Choi, T; Cho, Y; Lee, H; Kim, J; Ahn, DH; Kim, J; Lee, YG</t>
  </si>
  <si>
    <t>Koo, Ja-Ho; Choi, Taejin; Cho, Yeseul; Lee, Hana; Kim, Jaemin; Dha Hyun Ahn; Kim, Jhoon; Lee, Yun Gon</t>
  </si>
  <si>
    <t>The Variation in Aerosol Optical Depth over the Polar Stations of Korea</t>
  </si>
  <si>
    <t>AEROSOL AND AIR QUALITY RESEARCH</t>
  </si>
  <si>
    <t>Aerosol optical depth; Arctic; Antarctic; Carbon monoxide</t>
  </si>
  <si>
    <t>Using NASA's Modern-Era Retrospective Analysis for Research and Applications, version 2 (MERRA-2) reanalysis for aerosol optical depth (AOD) and satellite-observed carbon monoxide (CO) data, we examined the basic pattern of AOD variations over the three polar stations of Korea: the Jangbogo and King Sejong stations in Antarctica and the Dasan station in the Arctic. AOD values at the King Sejong and Dasan stations show maximum peaks in spring and appear to be associated with large amounts of atmospheric CO emitted from natural burning and biomass burning. The Jangbogo station shows a much lower AOD than the other two stations and does not appear to be strongly affected by the transport of airborne particles generated from mid-latitude regions. All three polar stations show an increasing trend in AOD in general, indicating that the polar background air quality is becoming polluted.</t>
  </si>
  <si>
    <t>[Koo, Ja-Ho; Cho, Yeseul; Lee, Hana; Dha Hyun Ahn; Kim, Jhoon] Yonsei Univ, Dept Atmospher Sci, Seoul 03722, South Korea; [Choi, Taejin] Korea Polar Res Inst, Incheon 406840, South Korea; [Kim, Jaemin; Lee, Yun Gon] Chungnam Natl Univ, Sch Dept Atmospher Sci, Daejeon 34134, South Korea</t>
  </si>
  <si>
    <t>Yonsei University; Korea Polar Research Institute (KOPRI); Chungnam National University</t>
  </si>
  <si>
    <t>Koo, JH (corresponding author), Yonsei Univ, Dept Atmospher Sci, Seoul 03722, South Korea.</t>
  </si>
  <si>
    <t>zach45@yonsei.ac.kr</t>
  </si>
  <si>
    <t>Kim, Jhoon/F-6635-2013</t>
  </si>
  <si>
    <t>Kim, Jhoon/0000-0002-1508-9218; Lee, Yun Gon/0000-0002-1187-6206</t>
  </si>
  <si>
    <t>Korea Polar Research Institute (KOPRI) [PE17010]; Korea Meteorological Administration Research and Development Program under Grant KMIPA [KMIPA2015-5010]</t>
  </si>
  <si>
    <t>Korea Polar Research Institute (KOPRI); Korea Meteorological Administration Research and Development Program under Grant KMIPA(Korea Meteorological Administration (KMA))</t>
  </si>
  <si>
    <t>This work was supported by the Korea Polar Research Institute (KOPRI, PE17010). Also, this work was funded by the Korea Meteorological Administration Research and Development Program under Grant KMIPA (KMIPA2015-5010).</t>
  </si>
  <si>
    <t>TAIWAN ASSOC AEROSOL RES-TAAR</t>
  </si>
  <si>
    <t>TAICHUNG COUNTY</t>
  </si>
  <si>
    <t>CHAOYANG UNIV TECH, DEPT ENV ENG &amp; MGMT, PROD CTR AAQR, NO 168, JIFONG E RD, WUFONG TOWNSHIP, TAICHUNG COUNTY, 41349, TAIWAN</t>
  </si>
  <si>
    <t>1680-8584</t>
  </si>
  <si>
    <t>2071-1409</t>
  </si>
  <si>
    <t>AEROSOL AIR QUAL RES</t>
  </si>
  <si>
    <t>Aerosol Air Qual. Res.</t>
  </si>
  <si>
    <t>10.4209/aaqr.2018.08.0308</t>
  </si>
  <si>
    <t>HC5KH</t>
  </si>
  <si>
    <t>WOS:000451841400025</t>
  </si>
  <si>
    <t>Priyadarshi, S; Zhang, QH; Ma, YZ</t>
  </si>
  <si>
    <t>Priyadarshi, S.; Zhang, Q. -H.; Ma, Y. -Z.</t>
  </si>
  <si>
    <t>Antarctica SED/TOI associated ionospheric scintillation during 27 February 2014 geomagnetic storm</t>
  </si>
  <si>
    <t>ASTROPHYSICS AND SPACE SCIENCE</t>
  </si>
  <si>
    <t>South Pole; Scintillation; SED; TOI; GPS; Geomagnetic storm; Dayside cusp</t>
  </si>
  <si>
    <t>GPS PHASE SCINTILLATION; HIGH-LATITUDES; SATELLITE; IRREGULARITIES; CLIMATOLOGY; INDEX; LINKS; TEC</t>
  </si>
  <si>
    <t>A geomagnetic storm occurred on 27 February 2014 and the shock related to it arrived at Earth's magnetosphere at similar to 17: 00 UT. Dayside cusp region scintillation over Antarctica have been studied along with the Global Positioning System (GPS) observed total electron content (TEC), and DefenseMeteorological Satellite Program (DMSP) Precipitating Particles (SSJ), Bulk Plasma Parameters (SSIES) and Magnetic Fields (SSM) data. For the first time, similar variation trend in amplitude and phase scintillation has been found near the polar latitude. Amplitude scintillation index (S4) and phase scintillation index (s.) show the similar enhancement trend at different numerical scale. During the southward interplanetary magnetic field (IMF) Bz condition there is a significant enhancement in the particle precipitation occurred through the dayside cusp region. During southward IMF Bz and dawnward By (By &lt; 0), high convection velocity guide solar wind plasma into the polar cap which enhances the phase scintillation, but, no amplitude scintillation enhancement at the similar numerical scale. The Halley and Dome C East radar data show that at the small to medium ionospheric irregularity speed, S4, and s. variations are alike. If proper variation scale is chosen, S4 also appears an appropriate scintillation index for the polar ionosphere. The possible mechanism for S4 occurrence similar to the s. at a dissimilar level has been discussed. Key points: 1. Dayside cusp region amplitude and phase scintillation indices give similar information but at different numerical scale during the geomagnetic storm onset. 2. Amplitude scintillation index is also an appropriate scintillation index for high latitude if proper numerical scales are chosen. 3. SED or TOI does not necessarily produce ionospheric scintillation. 4. Southward IMF Bz and westward IMF By allows the scintillation producing ionospheric irregularities to pass in deep inside the South Pole.</t>
  </si>
  <si>
    <t>[Priyadarshi, S.] Univ Wroclaw, Dept Climatol &amp; Atmospher Protect, Kosiby 8, PL-51621 Wroclaw, Poland; [Zhang, Q. -H.; Ma, Y. -Z.] Shandong Univ, Inst Space Sci, Shandong Prov Key Lab Opt Astron &amp; Solar Terr Env, Weihai, Peoples R China</t>
  </si>
  <si>
    <t>University of Wroclaw; Shandong University</t>
  </si>
  <si>
    <t>Priyadarshi, S (corresponding author), Univ Wroclaw, Dept Climatol &amp; Atmospher Protect, Kosiby 8, PL-51621 Wroclaw, Poland.;Zhang, QH (corresponding author), Shandong Univ, Inst Space Sci, Shandong Prov Key Lab Opt Astron &amp; Solar Terr Env, Weihai, Peoples R China.</t>
  </si>
  <si>
    <t>shishir.priyadarshi@uwr.edu.pl; zhangqinghe@sdu.edu.cn</t>
  </si>
  <si>
    <t>Priyadarshi, Shishir/C-5036-2019; Zhang, Qing-He/G-4572-2014</t>
  </si>
  <si>
    <t>Zhang, Qing-He/0000-0003-2429-4050; Priyadarshi, Shishir/0000-0002-1775-8964</t>
  </si>
  <si>
    <t>China Postdoctoral International Exchange Program Grant from the Institute of Space Sciences Shandong University, China; National Natural Science Foundation [41574138, 41274149, 41274148]; Shandong Provincial Natural Science Foundation [JQ201412]; International Collaboration Supporting Project, Chinese Arctic and Antarctic Administration [IC201511]; USA, National Science Foundation [PLR-1248062, PLR -1247975, PLR-1248087]; International Space Science Institute-Beijing China (ISS-BJ)</t>
  </si>
  <si>
    <t>China Postdoctoral International Exchange Program Grant from the Institute of Space Sciences Shandong University, China; National Natural Science Foundation(National Natural Science Foundation of China (NSFC)); Shandong Provincial Natural Science Foundation(Natural Science Foundation of Shandong Province); International Collaboration Supporting Project, Chinese Arctic and Antarctic Administration; USA, National Science Foundation(National Science Foundation (NSF)); International Space Science Institute-Beijing China (ISS-BJ)</t>
  </si>
  <si>
    <t>This work was supported by China Postdoctoral International Exchange Program Grant from the Institute of Space Sciences Shandong University, China; the National Natural Science Foundation (grants 41574138, 41274149, and 41274148); the Shandong Provincial Natural Science Foundation (grant JQ201412); and the International Collaboration Supporting Project, Chinese Arctic and Antarctic Administration (IC201511). We gratefully acknowledge support from the USA, National Science Foundation grants PLR-1248062, PLR -1247975, and PLR-1248087. Data used in the present paper have been downloaded from Madrigal database [http://madrigal.iggcas.ac.cn/madrigal/], NASAOMINIWEB server [http://omniweb.gsfc.nasa.gov/] and NOAA [http://www.ngdc.noaa.gov/stp/satellite/dmsp/]. We also acknowledge the use of SuperDARN data [http://vt.superdarn.org/tiki-index.php].SuperDARN is a collection of radars funded by national scientific funding agencies of Australia, Canada, China, France, Japan, South Africa, United Kingdom and the United States of America. We would also like to thank Dr. Patricia Doherty, Institute for Scientific Research for the data, from the CEDAR Madrigal database, which is available at https://w3id.org/cedar?experiment_list= experiments3/2018/dms/02jan18&amp;file_list=dms_20180102_15s1.001.hdf5. This research work is partially supported by International Space Science Institute-Beijing China (ISS-BJ).</t>
  </si>
  <si>
    <t>0004-640X</t>
  </si>
  <si>
    <t>1572-946X</t>
  </si>
  <si>
    <t>ASTROPHYS SPACE SCI</t>
  </si>
  <si>
    <t>Astrophys. Space Sci.</t>
  </si>
  <si>
    <t>10.1007/s10509-018-3484-x</t>
  </si>
  <si>
    <t>HC9FY</t>
  </si>
  <si>
    <t>WOS:000452112500001</t>
  </si>
  <si>
    <t>Pujols, EJ; Lopez, JL; Stockli, DF; Rossi, VM; Steel, RJ</t>
  </si>
  <si>
    <t>Pujols, Edgardo J.; Lopez, Julio Leva; Stockli, Daniel F.; Rossi, Valentina M.; Steel, Ronald J.</t>
  </si>
  <si>
    <t>New insights into the stratigraphic and structural evolution of the middle Jurassic S. Neuquen Basin from Detrital Zircon (U-Th)/(He-Pb) and Apatite (U-Th)/He ages</t>
  </si>
  <si>
    <t>BASIN RESEARCH</t>
  </si>
  <si>
    <t>apatite (U-Th)/He; Cuyo Group; detrital zircon (U-Th)/(He-Pb) double dating; Huincul ridge; Los Molles and Las Lajas Formation</t>
  </si>
  <si>
    <t>ANTARCTIC PENINSULA; SOUTH-AMERICA; HE DIFFUSION; SEQUENCE STRATIGRAPHY; TECTONIC EVOLUTION; HELIUM DIFFUSION; ARGENTINA; THERMOCHRONOMETRY; PALEOGEOGRAPHY; VISUALIZATION</t>
  </si>
  <si>
    <t>Previous studies on the Lower-Middle Jurassic Cuyo Group in the southern Neuquen Basin, Argentina, have discussed evidence for pre- and syn-depositional structural inversion during pre-Andean shortening. While the Cuyo Group sequence stratigraphic and facies framework are well understood, the effects of structural inversion and progressive postrift thermal subsidence on sediment provenance and dispersal, as well as the timing and magnitude of deformation during and after Cuyo Group deposition, remain poorly constrained. The Cuyo Group comprises both reservoir-quality fluvial to deep-marine siliciclastic deposits and a petroleum source-rock. Thus, the temporal relationship between the onset of deformation and sediment dispersal are crucial aspects for an improved understanding of both the basin evolution and petroleum system. This study presents new detrital zircon (U-Th)/(He-Pb) double dating from the Los Molles and Lajas Formations of the Cuyo Group in the southern area of SW Zapala to evaluate the influence of early rift inversion on sediment routing, provenance, and palaeogeography, and to provide crucial chronostratigraphic constraints. The youngest concordant Jurassic detrital zircon (DZ) U-Pb and He ages from the Lajas and Los Molles Formations in Lohan Mahuida and La Jardinera areas suggest a late Middle Jurassic depositional age. The DZ U-Pb provenance analysis confirms that both formations are part of the same Middle Jurassic shelf margin and were both sourced from the Choiyoi basement, Late Triassic to Middle Jurassic Andean magmatic arc and pre-Cuyo Group strata. The detrital He (DZHe) ages provide additional provenance constraints by recording three discrete cooling events, (1) early-Late Triassic, (2) early-Early Jurassic, and (3) Middle-Late Jurassic, documenting tectonically driven exhumation during rifting and contractional stages prior to and during early Neuquen basin evolution. Triassic-Jurassic He cooling ages of zircons derived from the Choiyoi Group document the existence of pre-Cuyo Pangean extensional structures and basins in the source area. Furthermore, the abundance of rapidly cool DZHe ages requires rapid exhumation of both Choiyoi and Carboniferous basement. All of this evidence suggests that structural inversion in the Huincul ridge region started in the Middle Jurassic, earlier than previously proposed. Hence, this challenges conventional Cuyo Group tectono-depositional models that advocated postrift thermal sagging as the primary control on subsidence and deposition. The occurrence of first-cycle volcanic (U-Th)/(He-Pb) ages implies that the Cuyo Group burial never reached depths &gt;4-5 kilometres. Exhumation to shallower crustal depths was spatially partitioned and driven by Cenozoic Andean shortening as constrained by AHe ages.</t>
  </si>
  <si>
    <t>[Pujols, Edgardo J.; Lopez, Julio Leva] Lamar Univ, Dept Earth &amp; Space Sci, POB 10009, Beaumont, TX 77710 USA; [Pujols, Edgardo J.; Stockli, Daniel F.; Steel, Ronald J.] Univ Texas Austin, Dept Geol Sci, Jackson Sch Geosci, Austin, TX USA; [Rossi, Valentina M.] Univ Bergen, Dept Earth Sci, Bergen, Norway</t>
  </si>
  <si>
    <t>Texas State University System; Lamar University; University of Texas System; University of Texas Austin; University of Bergen</t>
  </si>
  <si>
    <t>Pujols, EJ (corresponding author), Lamar Univ, Dept Earth &amp; Space Sci, POB 10009, Beaumont, TX 77710 USA.</t>
  </si>
  <si>
    <t>epujols@lamar.edu</t>
  </si>
  <si>
    <t>Rossi, Valentina/X-5468-2018; Steel, Ronald/B-2948-2008; Stockli, Daniel/N-8868-2015</t>
  </si>
  <si>
    <t>Rossi, Valentina/0000-0002-2853-6160; Stockli, Daniel/0000-0001-7652-2129; Pujols, Edgardo/0000-0003-2810-279X</t>
  </si>
  <si>
    <t>0950-091X</t>
  </si>
  <si>
    <t>1365-2117</t>
  </si>
  <si>
    <t>BASIN RES</t>
  </si>
  <si>
    <t>Basin Res.</t>
  </si>
  <si>
    <t>10.1111/bre.12304</t>
  </si>
  <si>
    <t>GZ8CH</t>
  </si>
  <si>
    <t>WOS:000449713500011</t>
  </si>
  <si>
    <t>Guihen, D; White, M; Lundälv, T</t>
  </si>
  <si>
    <t>Guihen, Damien; White, Martin; Lundalv, Tomas</t>
  </si>
  <si>
    <t>Zooplankton drive diurnal changes in oxygen concentration at Tisler cold-water coral reef</t>
  </si>
  <si>
    <t>CORAL REEFS</t>
  </si>
  <si>
    <t>Cold-water coral; Oxygen; Zooplankton; Replenishment; Respiration</t>
  </si>
  <si>
    <t>LOPHELIA-PERTUSA SCLERACTINIA; KRILL MEGANYCTIPHANES-NORVEGICA; VERTICAL MIGRATION BEHAVIOR; CALANUS-FINMARCHICUS; ENVIRONMENTAL CONTROLS; DARWIN MOUNDS; GROWTH; DEEP; SKAGERRAK; CARBON</t>
  </si>
  <si>
    <t>Tisler Reef is a Norwegian cold-water coral reef in the Northeastern Skagerrak, which lies at an average depth of 120m, is constructed principally of the scleractinian coral Lophelia pertusa and hosts a dynamic and diverse ecosystem. The availability of oxygen within Tisler Reef, recorded between 2006 and 2008, showed a decline during the summer months, caused by both the isolation of the reef from the atmosphere under conditions of seasonal stratification, and the enhanced respiration in the water column during the seasonal zooplankton proliferations. Concentrations of dissolved oxygen were replenished from high-current flows advecting water from off the reef. Low current flow conditions (&lt;0.05ms(-1)) coincided with a short-term reduction in oxygen, the extent of which varied seasonally and were observed to be greatest during July and August, coinciding with the summer Calanus proliferation in the Skagerrak. Normalized acoustic backscatter amplitude during the summer months showed a strong signal of zooplankton diurnal vertical migration, coinciding with the lowest oxygen concentrations at the reef observed during, and lagging slightly after, the deep phase of the zooplankton vertical migration. This effect was most obvious during low-flow conditions; highlighting the importance of zooplankton and associated activity as a consumer of oxygen at the reef.</t>
  </si>
  <si>
    <t>[Guihen, Damien] Univ Tasmania, Launceston, Tas, Australia; [White, Martin] Natl Univ Ireland, Galway, Ireland; [Lundalv, Tomas] Univ Gothenburg, Swedish Inst Marine Environm, Gothenburg, Sweden</t>
  </si>
  <si>
    <t>University of Tasmania; Ollscoil na Gaillimhe-University of Galway; University of Gothenburg</t>
  </si>
  <si>
    <t>Guihen, D (corresponding author), Univ Tasmania, Launceston, Tas, Australia.</t>
  </si>
  <si>
    <t>damien.guihen@utas.edu.au</t>
  </si>
  <si>
    <t>Lundälv, Tomas/O-7121-2019</t>
  </si>
  <si>
    <t>Guihen, Damien/0000-0002-5786-6599; white, martin/0000-0003-3271-1221</t>
  </si>
  <si>
    <t>European Community's Seventh Framework Programme (FP7/2007-2013) under the HER-MIONE project [226354]; HERMES project, EC [GOCE-CT-2005-511234]; Australian Research Council's Special Research Initiative for Antarctic Gateway Partnership [SR140300001]</t>
  </si>
  <si>
    <t>European Community's Seventh Framework Programme (FP7/2007-2013) under the HER-MIONE project; HERMES project, EC; Australian Research Council's Special Research Initiative for Antarctic Gateway Partnership(Australian Research Council)</t>
  </si>
  <si>
    <t>The authors wish to thank the staff of the Sven Loven Centre for Marine Sciences, Tjarno, Univeristy of Goteborg. This research has received funding from the European Community's Seventh Framework Programme (FP7/2007-2013) under the HER-MIONE project, grant agreement No 226354, and by the HERMES project, EC contract GOCE-CT-2005-511234). This research was supported under Australian Research Council's Special Research Initiative for Antarctic Gateway Partnership (Project ID SR140300001).</t>
  </si>
  <si>
    <t>0722-4028</t>
  </si>
  <si>
    <t>1432-0975</t>
  </si>
  <si>
    <t>Coral Reefs</t>
  </si>
  <si>
    <t>10.1007/s00338-018-1711-0</t>
  </si>
  <si>
    <t>HC8WC</t>
  </si>
  <si>
    <t>WOS:000452084700006</t>
  </si>
  <si>
    <t>Ling, SD; Barrett, NS; Edgar, GJ</t>
  </si>
  <si>
    <t>Ling, S. D.; Barrett, N. S.; Edgar, G. J.</t>
  </si>
  <si>
    <t>Facilitation of Australia's southernmost reef-building coral by sea urchin herbivory</t>
  </si>
  <si>
    <t>Novel ecosystem; Tropicalization; Regime-shift; Temperate reefs; Climate change; Kelp beds</t>
  </si>
  <si>
    <t>MARINE RESERVES; FISH; RESILIENCE; RECOVERY; ALGAE; MACROALGAE; EXPANSION; DENSITY; TRENDS; ROLES</t>
  </si>
  <si>
    <t>Competition for space between corals and macroalgae represents a key threatening process for coral reefs, yet the influence of climate change on this competitive interaction is poorly understood, particularly at the poleward margins of coral distribution. Here we describe the discovery of Australia's southernmost hermatypic corals and explore novel dynamics facilitating the presence and extent of high-latitude coral communities. Examination of 607 shallow reef sites across temperate Australia revealed hard corals to be negatively associated with increasing kelp bed cover, but positively associated with increasing sea surface temperature, herbivorous fishes, grazing sea urchins, and increasing cover of turf algae, which proliferates in the absence of kelp. However, the nature of these effects varied across different regions of temperate Australia consistent with regional variability in the presence/absence of key functional groups for temperate reefs, such as guilds of subtropical herbivorous fishes and/or prevalence of overgrazing sea urchins. For the southernmost coral communities, in eastern Bass Strait Tasmania, the dominant reef-building coral Plesiastrea versipora was negatively associated with kelp and positively associated with the southward range-extending diadematid sea urchin Centrostephanus rodgersii, which has caused extensive kelp bed overgrazing since first locally reported in 1974. Facilitation of coral establishment was strongest on overgrazed barrens where urchin density was relatively low, but sufficient to maintain the reef kelp-free, while corals were less frequent at high urchin densities and completely absent from barrens colonised by intensively grazing limpets. In contrast to tropical Australian coral reefs and other temperate regions (e.g. Western Australia), assays of herbivory confirmed sea urchin grazing, not herbivorous fishes, as chiefly responsible for kelp consumption within this high-latitude system. Size structure of P. versipora in eastern Bass Strait was dominated by small colonies (20cm(2)), suggesting an expanding population at the poleward edge of the species' range. Nevertheless, colonies up to a maximum area of 500cm(2) were observed, which are likely &gt;40yrs old based on growth rates established in warmer waters. This research highlights novel patterns and processes structuring the interface between subtropical and temperate reef communities under climate change and specifically highlights the role of herbivores in releasing corals from competition with kelp under warming ocean regimes.</t>
  </si>
  <si>
    <t>[Ling, S. D.; Barrett, N. S.; Edgar, G. J.] Univ Tasmania, Inst Marine &amp; Antarctic Studies, Hobart, Tas 7001, Australia</t>
  </si>
  <si>
    <t>Ling, SD (corresponding author), Univ Tasmania, Inst Marine &amp; Antarctic Studies, Hobart, Tas 7001, Australia.</t>
  </si>
  <si>
    <t>sdling@utas.edu.au</t>
  </si>
  <si>
    <t>Edgar, Graham/AAY-3797-2020; Ling, Scott/J-7161-2014; Barrett, Neville/J-7593-2014</t>
  </si>
  <si>
    <t>Edgar, Graham/0000-0003-0833-9001; Ling, Scott/0000-0002-5544-8174; Barrett, Neville/0000-0002-6167-1356</t>
  </si>
  <si>
    <t>ARC Linkage Project [LP15010076]; ARC Discovery Project [DP170104668]</t>
  </si>
  <si>
    <t>ARC Linkage Project(Australian Research Council); ARC Discovery Project(Australian Research Council)</t>
  </si>
  <si>
    <t>Support was provided by ARC Linkage Project LP15010076 to GJE and NSB, and ARC Discovery Project DP170104668 to GJE and SDL. German Soler and Kate Fraser assisted in the field and Antonia Cooper assisted with management of the long-term data set. Australian Temperate Reef Collaboration field surveys were supported by Tasmanian Parks and Wildlife, Parks Victoria, New South Wales Department of Primary Industries, South Australian Department of Environment, Water and Natural Resources, and Western Australian Department of Biodiversity, Conservation and Attractions.</t>
  </si>
  <si>
    <t>10.1007/s00338-018-1728-4</t>
  </si>
  <si>
    <t>WOS:000452084700009</t>
  </si>
  <si>
    <t>Mason, C; Alderman, R; McGowan, J; Possingham, HP; Hobday, AJ; Sumner, M; Shaw, J</t>
  </si>
  <si>
    <t>Mason, Claire; Alderman, Rachael; McGowan, Jennifer; Possingham, Hugh P.; Hobday, Alistair J.; Sumner, Michael; Shaw, Justine</t>
  </si>
  <si>
    <t>Telemetry reveals existing marine protected areas are worse than random for protecting the foraging habitat of threatened shy albatross (Thalassarche cauta)</t>
  </si>
  <si>
    <t>animal telemetry; Brownian bridge; conservation; marine protected areas; seabirds; threatened species</t>
  </si>
  <si>
    <t>WHITE-CAPPED ALBATROSSES; HOME-RANGE; MOVEMENT ECOLOGY; DYNAMIC OCEAN; CONSERVATION; MANAGEMENT; DISTRIBUTIONS; AUSTRALIA; SEABIRDS; RESERVES</t>
  </si>
  <si>
    <t>Aim To assess the efficacy of marine reserves in Australia for shy albatross, using long-term tracking data. Location Methods Albatross Island, Tasmania, and south Australian waters. We integrated a tracking dataset consisting of 111 individuals collected over 23 years and generated Brownian bridge kernel density estimations to identify important habitat. We quantified the overlap between the foraging distribution of early incubating adults and post-fledgling juveniles with management boundaries and marine reserves. We compared the extent of coverage of albatross foraging areas by Marine Protection Areas (MPAs) relative to a randomly designed network of the same size to determine whether the spatial protection measures are likely to be effective. Results Main conclusions Incubating adults consistently foraged in waters to the northwest of Tasmania while post-fledglings occupied shelf waters around Tasmania and South Australia. We show that our sample of 99 incubating adults adequately represented the population but that our sample of 12 post-fledgling birds was insufficient, thereby limiting the confidence in our results for this life stage. The Commonwealth Government has the majority of management responsibility for shy albatross at-sea, containing 88% and 90% of the area occupied most intensively by adult and post-fledgling shy albatross, respectively. Randomly designed reserve networks outperformed the current MPA network for both life stages, such that the mean protection by a random reserve system was 30% and 12% higher than the actual protection for adults and juveniles in Commonwealth waters. Important foraging habitat of shy albatross from Albatross Island is mostly within Commonwealth-managed waters. The current MPA network, the only spatial protection measure for shy albatross, provides less coverage for this species than a randomly placed network. An increase in the representation of productive shelf waters in MPA networks would benefit the conservation of shy albatross through reducing fisheries interactions and protecting habitat in these regions.</t>
  </si>
  <si>
    <t>[Mason, Claire; McGowan, Jennifer; Possingham, Hugh P.; Shaw, Justine] Univ Queensland, Sch Biol Sci, Ctr Excellence Environm Decis, Australian Res Council, St Lucia, Qld, Australia; [Alderman, Rachael] Dept Primary Ind Pk Water &amp; Environm, Marine Conservat Program, Hobart, Tas, Australia; [McGowan, Jennifer] Macquarie Univ, Dept Biol Sci, N Ryde, NSW, Australia; [Possingham, Hugh P.] Nature Conservancy, 1815 N Lynn St, Arlington, VA USA; [Hobday, Alistair J.] CSIRO Oceans &amp; Atmosphere, Hobart, Tas, Australia; [Sumner, Michael] Australian Antarctic Div, Kingston, NF, Australia</t>
  </si>
  <si>
    <t>University of Queensland; Macquarie University; Nature Conservancy; Commonwealth Scientific &amp; Industrial Research Organisation (CSIRO); Australian Antarctic Division</t>
  </si>
  <si>
    <t>Mason, C (corresponding author), Univ Tasmania, Inst Marine &amp; Antarctic Studies, 20 Castray Esplanade, Battery Point, Tas 7004, Australia.</t>
  </si>
  <si>
    <t>claire.mason@utas.edu.au</t>
  </si>
  <si>
    <t>Possingham, Hugh/B-1337-2008; Hobday, Alistair/A-1460-2012; POSSINGHAM, HUGH/R-8310-2019; McGowan, Jennifer A/A-7752-2014; Sumner, Michael D/J-3478-2013; Mason, Claire Jocelyn/F-6977-2018</t>
  </si>
  <si>
    <t>Possingham, Hugh/0000-0001-7755-996X; POSSINGHAM, HUGH/0000-0001-7755-996X; Mason, Claire Jocelyn/0000-0001-8063-5812; Sumner, Michael/0000-0002-2471-7511; Shaw, Justine/0000-0002-9603-2271</t>
  </si>
  <si>
    <t>10.1111/ddi.12830</t>
  </si>
  <si>
    <t>HA5IM</t>
  </si>
  <si>
    <t>WOS:000450303700003</t>
  </si>
  <si>
    <t>Pirli, M; Hainzl, S; Schweitzer, J; Köhler, A; Dahm, T</t>
  </si>
  <si>
    <t>Pirli, Myrto; Hainzl, Sebastian; Schweitzer, Johannes; Koehler, Andreas; Dahm, Torsten</t>
  </si>
  <si>
    <t>Localised thickening and grounding of an Antarctic ice shelf from tidal triggering and sizing of cryoseismicity</t>
  </si>
  <si>
    <t>tidally modulated cryogenic seismicity; stick-slip motion; event recurrence predictability; ice-shelf thickness; ice-shelf grounding; East Antarctica</t>
  </si>
  <si>
    <t>DRONNING MAUD LAND; EAST ANTARCTICA; SEISMIC EVENTS; GLACIER; STREAM; SHEET; EARTHQUAKES; GREENLAND; MIGRATION; DISCHARGE</t>
  </si>
  <si>
    <t>We observe remarkably periodic patterns of seismicity rates and magnitudes at the Fimbul Ice Shelf, East Antarctica, correlating with the cycles of the ocean tide. Our analysis covers 19 years of continuous seismic recordings from Antarctic broadband stations. Seismicity commences abruptly during austral summer 2011 at a location near the ocean front in a shallow water region. Dozens of highly repetitive events occur in semi-diurnal cycles, with magnitudes and rates fluctuating steadily with the tide. In contrast to the common unpredictability of earthquake magnitudes, the event magnitudes show deterministic trends within single cycles and strong correlations with spring tides and tide height. The events occur quasi-periodically and the highly constrained event sources migrate landwards during rising tide. We show that a simple, mechanical model can explain most of the observations. Our model assumes stick-slip motion on a patch of grounded ice shelf, which is forced by the variations of the ocean-tide height and ice flow. The well fitted observations give new insights into the general process of frictional triggering of earthquakes, while providing independent evidence of variations in ice shelf thickness and grounding. (C) 2018 Elsevier B.V. All rights reserved.</t>
  </si>
  <si>
    <t>[Pirli, Myrto] Tarnbyveien 370, N-2013 Skjetten, Norway; [Hainzl, Sebastian; Dahm, Torsten] GFZ German Res Ctr Geosci, D-14473 Potsdam, Germany; [Schweitzer, Johannes] NORSAR, Gunnar Randers Vei 15, N-2007 Kjeller, Norway; [Schweitzer, Johannes] Univ Oslo, CEED, POB 1028 Blindern, N-0315 Oslo, Norway; [Koehler, Andreas] Univ Oslo, Dept Geosci, POB 1047 Blindern, N-0315 Oslo, Norway; [Dahm, Torsten] Univ Potsdam, Inst Earth &amp; Environm Sci, D-14476 Potsdam, Germany</t>
  </si>
  <si>
    <t>Helmholtz Association; Helmholtz-Center Potsdam GFZ German Research Center for Geosciences; University of Oslo; University of Oslo; University of Potsdam</t>
  </si>
  <si>
    <t>Pirli, M (corresponding author), Tarnbyveien 370, N-2013 Skjetten, Norway.</t>
  </si>
  <si>
    <t>myrto.pirli@gmail.com; hainzl@gfz-potsdam.de; johannes.schweitzer@norsar.no; andreas.kohler@geo.uio.no; torsten.dahm@gfz-potsdam.de</t>
  </si>
  <si>
    <t>Köhler, Andreas/P-3742-2019; Köhler, Andreas/Q-2645-2017</t>
  </si>
  <si>
    <t>Köhler, Andreas/0000-0002-1060-7637; Köhler, Andreas/0000-0002-1060-7637; Schweitzer, Johannes/0000-0002-5986-1492; Hainzl, Sebastian/0000-0002-2875-0933; Dahm, Torsten/0000-0001-6432-7422</t>
  </si>
  <si>
    <t>10.1016/j.epsl.2018.09.024</t>
  </si>
  <si>
    <t>GZ2VI</t>
  </si>
  <si>
    <t>WOS:000449246100009</t>
  </si>
  <si>
    <t>Crawford, J; Chambers, SD; Cohen, DD; Williams, AG; Atanacio, A</t>
  </si>
  <si>
    <t>Crawford, Jagoda; Chambers, Scott D.; Cohen, David D.; Williams, Alastair G.; Atanacio, Armand</t>
  </si>
  <si>
    <t>Baseline characterisation of source contributions to daily-integrated PM2.5 observations at Cape Grim using Radon-222</t>
  </si>
  <si>
    <t>ENVIRONMENTAL POLLUTION</t>
  </si>
  <si>
    <t>Aerosols; Radon; Cape Grim; Baseline</t>
  </si>
  <si>
    <t>AIR MASSES; LONG-TERM; RADON; AEROSOLS; DIOXIDE; ISLAND</t>
  </si>
  <si>
    <t>We discuss 15 years (2000-2015) of daily-integrated PM2.5 samples from the Cape Grim Station. Ion beam analysis and positive matrix factorisation are used to identify six source-type fingerprints: fresh sea salt (57%); secondary sulfate (14%); smoke (13%); aged sea salt (12%); soil dust (2.4%); and industrial metals (1.5%). An existing hourly radon-only baseline selection technique is modified for use with the daily-integrated observations. Results were not significantly different for days on which &gt;20 hours were below the baseline radon threshold compared with days when all 24 hours satisfied the baseline criteria. This relaxed daily baseline criteria increased the number of samples for analysis by almost a factor of two. Two radon baseline thresholds were tested: historic (100 mBq m(-3)), and revised (50 mBq m(-3)). Median aerosol concentrations were similar for both radon thresholds, but maximum values were higher for the 100 mBq m(-3) threshold. Back trajectories indicated more interaction with southern Australia and the Antarctic coastline for air masses selected with the 100 mBq m(-3) threshold. Radon-only baseline selection using the 50 mBq m(-3) threshold was more selective of minimal terrestrial influence than a similar recent study using wind direction and back trajectories. The ratio of concentrations between terrestrial and baseline days for the primary sources soil, smoke and industrial metals was 3.4, 2.6, and 5.5, respectively. Seasonal cycles of soil dust had a summer maximum and winter minimum. Seasonal cycles of smoke were of similar amplitude for terrestrial and baseline events, but of completely different shape: peaking in autumn and spring for terrestrial events, compared to summer for baseline conditions. Seasonal cycles of industrial metals had a summer maximum and winter minimum. A significant fraction of the Cape Grim baseline smoke and industrial metal contributions appeared to be derived from long-term transport (&gt;3 weeks since last terrestrial influence). Crown Copyright (C) 2018 Published by Elsevier Ltd. All rights reserved.</t>
  </si>
  <si>
    <t>[Crawford, Jagoda; Chambers, Scott D.; Cohen, David D.; Williams, Alastair G.; Atanacio, Armand] Australian Nucl Sci &amp; Technol Org, Locked Bag 2001, Kirrawee Dc, NSW 2232, Australia</t>
  </si>
  <si>
    <t>Australian Nuclear Science &amp; Technology Organisation</t>
  </si>
  <si>
    <t>Crawford, J (corresponding author), Australian Nucl Sci &amp; Technol Org, Locked Bag 2001, Kirrawee Dc, NSW 2232, Australia.</t>
  </si>
  <si>
    <t>Jagoda.Crawford@ansto.gov.au</t>
  </si>
  <si>
    <t>Williams, Alastair/N-3193-2019; , Scott/AAI-6917-2020; Atanacio, Armand/B-3609-2013</t>
  </si>
  <si>
    <t>Williams, Alastair/0000-0002-0568-8487; Chambers, Scott/0000-0002-2521-959X; Cohen, David/0000-0002-1209-9234; Atanacio, Armand/0000-0002-1033-8174</t>
  </si>
  <si>
    <t>NCRIS</t>
  </si>
  <si>
    <t>NCRIS(Australian GovernmentDepartment of Industry, Innovation and Science)</t>
  </si>
  <si>
    <t>The authors would like to acknowledge NCRIS funding for accelerators and Centre for Accelerator Science staff for access to their ion beam analysis facilities. The NOAA Air Resources Laboratory (ARL) made available the HYSPLIT transport and dispersion model. Also, thanks to the Cape Grim staff for their role in collecting the samples at the station over these many years, the radon group at ANSTO, and Dr Fabienne Reisen and Dr Melita Keywood from Commonwealth Scientific and Industrial Research Organization (CSIRO) for valuable comments on an earlier draft of the manuscript.</t>
  </si>
  <si>
    <t>0269-7491</t>
  </si>
  <si>
    <t>1873-6424</t>
  </si>
  <si>
    <t>ENVIRON POLLUT</t>
  </si>
  <si>
    <t>Environ. Pollut.</t>
  </si>
  <si>
    <t>10.1016/j.envpol.2018.08.043</t>
  </si>
  <si>
    <t>HA0IN</t>
  </si>
  <si>
    <t>WOS:000449891800005</t>
  </si>
  <si>
    <t>Hobday, AJ; Fleming, A; Ogier, EM; Thomas, L; Hartog, JR; Hornborg, S; Stephenson, RL</t>
  </si>
  <si>
    <t>Hobday, Alistair J.; Fleming, Aysha; Ogier, Emily M.; Thomas, Linda; Hartog, Jason R.; Hornborg, Sara; Stephenson, Robert L.</t>
  </si>
  <si>
    <t>Perceptions regarding the need for broad sustainability assessments of Australian fisheries</t>
  </si>
  <si>
    <t>FISHERIES RESEARCH</t>
  </si>
  <si>
    <t>Reporting; Seafood guide; Social license; Socio-economic and governance metrics</t>
  </si>
  <si>
    <t>ECOSYSTEM-BASED MANAGEMENT; CLIMATE-CHANGE; SOCIAL LICENSE; FRAMEWORK; IMPACTS; ADAPTATION; FISH; VULNERABILITY; COMMUNITIES; GOVERNANCE</t>
  </si>
  <si>
    <t>Demonstration of fishery sustainability has expanded from a relatively narrow biological focus to one that includes a wide range of issues in response to environmental legislation, social factors, and demands from markets and consumers. The Healthcheck for Australian Fisheries Sustainability (Healthcheck) is a new initiative designed to be comprehensive with regard to ecological, economic, social and governance aspects, presenting available information about a fishery for easy access and use. Here we report on the framework development process, including engagement with fishery managers, environmental non-government organisations, and fishery participants. All participants emphasized the need for a broad sustainability assessment with timely reporting, easy availability, and wider coverage of seafood sustainability information than is currently accessible, and expressed the importance of trustworthy and transparent information. Differences were found when comparing sustainability issues generally reported and issues of main concern to stakeholders. Subsequent refinement of the Healthcheck extended coverage into issues that are on the horizon for fishery reporting, but may soon be of interest to a wide range of stakeholders.</t>
  </si>
  <si>
    <t>[Hobday, Alistair J.; Fleming, Aysha; Thomas, Linda; Hartog, Jason R.; Hornborg, Sara; Stephenson, Robert L.] CSIRO Oceans &amp; Atmosphere, Hobart, Tas 7000, Australia; [Hobday, Alistair J.; Fleming, Aysha; Ogier, Emily M.; Hornborg, Sara; Stephenson, Robert L.] Univ Tasmania, Ctr Marine Socioecol, Hobart, Tas 7000, Australia; [Fleming, Aysha; Hornborg, Sara] CSIRO Land &amp; Water, Hobart, Tas 7000, Australia; [Ogier, Emily M.] Univ Tasmania, Inst Marine &amp; Antarctic Studies, Hobart, Tas 7001, Australia; [Hornborg, Sara] RISE Res Inst Sweden, Agrifood &amp; Biosci, POB 5401, SE-40229 Gothenburg, Sweden; [Stephenson, Robert L.] Fisheries &amp; Oceans Canada, Canadian Fisheries Res Network, St Andrews Biol Stn, St Andrews, NB E5B 2L9, Canada</t>
  </si>
  <si>
    <t>Commonwealth Scientific &amp; Industrial Research Organisation (CSIRO); University of Tasmania; Commonwealth Scientific &amp; Industrial Research Organisation (CSIRO); University of Tasmania; RISE Research Institutes of Sweden; Fisheries &amp; Oceans Canada</t>
  </si>
  <si>
    <t>Hobday, AJ (corresponding author), CSIRO Oceans &amp; Atmosphere, Hobart, Tas 7000, Australia.</t>
  </si>
  <si>
    <t>alistair.hobday@csiro.au</t>
  </si>
  <si>
    <t>Hobday, Alistair/A-1460-2012; Thomas, Linda/Q-2521-2018; Fleming, Aysha/E-8753-2011; Hartog, Jason/F-6389-2014</t>
  </si>
  <si>
    <t>Fleming, Aysha/0000-0001-9895-1928; Ogier, Emily/0000-0001-6157-5279; Stephenson, Robert/0000-0002-1207-1063; Hartog, Jason/0000-0003-3308-7846; Hornborg, Sara/0000-0003-0814-5258</t>
  </si>
  <si>
    <t>Fisheries Research and Development Corporation; Swedish Research Council Formas</t>
  </si>
  <si>
    <t>Fisheries Research and Development Corporation; Swedish Research Council Formas(Swedish Research Council Formas)</t>
  </si>
  <si>
    <t>This research was supported by the Fisheries Research and Development Corporation and has benefited from the engagement and feedback from many stakeholders at workshops and by email and phone conversations. We thank all participants involved in the process. SH was supported by Swedish Research Council Formas. Thoughtful and deep comments by Christopher Cvitanovic, Jake Rice and one anonymous reviewer improved this and an earlier draft of the manuscript and extended our approach in follow-up work described here.</t>
  </si>
  <si>
    <t>0165-7836</t>
  </si>
  <si>
    <t>1872-6763</t>
  </si>
  <si>
    <t>FISH RES</t>
  </si>
  <si>
    <t>Fish Res.</t>
  </si>
  <si>
    <t>10.1016/j.fishres.2018.08.006</t>
  </si>
  <si>
    <t>GW6XL</t>
  </si>
  <si>
    <t>WOS:000447108300026</t>
  </si>
  <si>
    <t>Ferguson, K</t>
  </si>
  <si>
    <t>Ferguson, Ken</t>
  </si>
  <si>
    <t>Copepods flourishing in warmer Antarctic</t>
  </si>
  <si>
    <t>FRONTIERS IN ECOLOGY AND THE ENVIRONMENT</t>
  </si>
  <si>
    <t>1540-9295</t>
  </si>
  <si>
    <t>1540-9309</t>
  </si>
  <si>
    <t>FRONT ECOL ENVIRON</t>
  </si>
  <si>
    <t>Front. Ecol. Environ.</t>
  </si>
  <si>
    <t>HC6LB</t>
  </si>
  <si>
    <t>WOS:000451912200017</t>
  </si>
  <si>
    <t>Zwerschke, N; van Rein, H; Harrod, C; Reddin, C; Emmerson, MC; Roberts, D; O'Connor, NE</t>
  </si>
  <si>
    <t>Zwerschke, Nadescha; van Rein, Henk; Harrod, Chris; Reddin, Carl; Emmerson, Mark C.; Roberts, Dai; O'Connor, Nessa E.</t>
  </si>
  <si>
    <t>Competition between co-occurring invasive and native consumers switches between habitats</t>
  </si>
  <si>
    <t>FUNCTIONAL ECOLOGY</t>
  </si>
  <si>
    <t>competition; ecological niche; invasive species; orientation; oysters; stable isotope analysis; temperate reefs</t>
  </si>
  <si>
    <t>STABLE-ISOTOPE RATIOS; CRASSOSTREA-GIGAS; PACIFIC OYSTERS; INTERFERENCE COMPETITION; BIOTIC RESISTANCE; ECOSYSTEM; COEXISTENCE; NICHE; BIODIVERSITY; FACILITATION</t>
  </si>
  <si>
    <t>The introduction of a non-native species frequently has adverse direct effects on native species. The underlying mechanisms, however, often remain unclear, in particular where native and invasive species are taxonomically similar. We found evidence of direct competitive interactions between a globally distributed invasive species (the Pacific oyster, Magallana gigas) and its native counterpart (the European oyster, Ostrea edulis). We also discovered that the competitive outcome differed between different habitat types and orientation by identifying context-dependent responses driven by environmental conditions and stress (i.e. intertidal compared to subtidal habitats; and vertical versus horizontal substratum). This is particularly important because the European oyster is threatened, or in decline, throughout most of its range, and restoration efforts are underway in many regions. We combined experimental manipulations and stable isotope analysis (SIA) to identify the direct effects of competition and the mechanisms by which the invasive and native species compete. We identified negative effects of the invasive species on the native oyster, but these were limited to the subtidal habitat (lower stress environment) and determined by substratum orientation (habitat structure). Crucially, we found that effects of the invasive species on the native species were not always negative and under certain conditions (e.g. on vertical substrata) were positive. Shifts in isotopic niches of both species when co-occurring, alongside mixing models, indicate that exploitative competition for food is most likely to underpin niche partitioning between both species. We have identified different foraging strategies under different contexts, and our findings highlight the importance of exploitative competition as a driving mechanism behind the co-occurrence of two seemingly functionally similar consumers. The combination of experimental manipulations with SIA is a powerful tool, and we illustrate how this approach should be incorporated, into multiple environmental contexts at appropriate scales, to more accurately predict impacts of the spread of invasive species on native communities.</t>
  </si>
  <si>
    <t>[Zwerschke, Nadescha; van Rein, Henk; Emmerson, Mark C.; Roberts, Dai] Queens Univ, Marine Lab, Portaferry, North Ireland; [Zwerschke, Nadescha] British Antarctic Survey, Cambridge, England; [van Rein, Henk] Joint Nat Conservat Comm, Peterborough, Cambs, England; [Harrod, Chris] Univ Anofagasta, Inst Ciencias Nat Alexander Von Humboldt, Antofagasta, Chile; [Harrod, Chris] Nucleo Milenio INVASAL, Concepcion, Chile; [Reddin, Carl] Univ Erlangen Nurnberg, GeoZentrum Nordbayern Paleobiol, Erlangen, Germany; [Emmerson, Mark C.; Roberts, Dai; O'Connor, Nessa E.] Queens Univ Belfast, Sch Biol Sci, Belfast, Antrim, North Ireland; [O'Connor, Nessa E.] Trinity Coll Dublin, Sch Nat Sci, Dublin, Ireland</t>
  </si>
  <si>
    <t>UK Research &amp; Innovation (UKRI); Natural Environment Research Council (NERC); NERC British Antarctic Survey; University of Erlangen Nuremberg; Queens University Belfast; Trinity College Dublin</t>
  </si>
  <si>
    <t>Zwerschke, N (corresponding author), Queens Univ, Marine Lab, Portaferry, North Ireland.;Zwerschke, N (corresponding author), British Antarctic Survey, Cambridge, England.</t>
  </si>
  <si>
    <t>nzwerschke01@qub.ac.uk</t>
  </si>
  <si>
    <t>Emmerson, Mark Charles/ABD-6274-2021; Harrod, Chris/A-8830-2008; Zwerschke, Nadescha/AAK-8685-2021; Reddin, Carl J/D-2154-2016</t>
  </si>
  <si>
    <t>Harrod, Chris/0000-0002-5353-1556; Zwerschke, Nadescha/0000-0003-4099-8269; Reddin, Carl J/0000-0001-5930-1164; Emmerson, Mark/0000-0003-1034-8572; O'Connor, Nessa/0000-0002-3133-0913</t>
  </si>
  <si>
    <t>European Union's INTERREG IV Programme [2859]; NERC [dml011000, bas0100036] Funding Source: UKRI</t>
  </si>
  <si>
    <t>European Union's INTERREG IV Programme; NERC(UK Research &amp; Innovation (UKRI)Natural Environment Research Council (NERC))</t>
  </si>
  <si>
    <t>IBIS, project 2859 supported by the European Union's INTERREG IV Programme managed by the Special EU Programmes Body (http://www.seupb.eu)</t>
  </si>
  <si>
    <t>0269-8463</t>
  </si>
  <si>
    <t>1365-2435</t>
  </si>
  <si>
    <t>FUNCT ECOL</t>
  </si>
  <si>
    <t>Funct. Ecol.</t>
  </si>
  <si>
    <t>10.1111/1365-2435.13211</t>
  </si>
  <si>
    <t>HC8FU</t>
  </si>
  <si>
    <t>WOS:000452038300008</t>
  </si>
  <si>
    <t>Pacelli, C; Bryan, RA; Onofri, S; Selbmann, L; Zucconi, L; Shuryak, I; Dadachova, E</t>
  </si>
  <si>
    <t>Pacelli, Claudia; Bryan, Ruth A.; Onofri, Silvano; Selbmann, Laura; Zucconi, Laura; Shuryak, Igor; Dadachova, Ekaterina</t>
  </si>
  <si>
    <t>Survival and redox activity of Friedmanniomyces endolithicus, an Antarctic endemic black meristematic fungus, after gamma rays exposure</t>
  </si>
  <si>
    <t>FUNGAL BIOLOGY</t>
  </si>
  <si>
    <t>Black fungus; Ionizing radiation; Melanin; Metabolic activity</t>
  </si>
  <si>
    <t>RADIATION-RESISTANCE; DEINOCOCCUS-RADIODURANS; ULTRAVIOLET-RADIATION; IONIZING-RADIATION; MELANIN; IRRADIATION; PROTECTION; CHERNOBYL; CELLS; LIFE</t>
  </si>
  <si>
    <t>Despite living organisms are not exposed to acute ionizing radiation under natural conditions, some exhibit a high radiation resistance. Understanding this phenomenon is important for assessing the impact of radiation-related accidents, occupational exposures and space missions. In this context, in this study we analyzed the effect of gamma rays on the Antarctic cryptoendolithic melanized fungus Friedmanniomyces endolithicus CCFEE 5208 and demonstrated its resistance to acute doses of gamma radiation (up to 400 Gy), accompanied by increase in metabolic activity. (C) 2018 British Mycological Society. Published by Elsevier Ltd. All rights reserved.</t>
  </si>
  <si>
    <t>[Pacelli, Claudia; Onofri, Silvano; Selbmann, Laura; Zucconi, Laura] Univ Tuscia, Dept Ecol &amp; Biol Sci, Viterbo, Italy; [Pacelli, Claudia; Bryan, Ruth A.] Albert Einstein Coll Med, Bronx, NY 10467 USA; [Selbmann, Laura] Italian Natl Antarctic Museum MNA, Mycol Sect, Genoa, Italy; [Shuryak, Igor] Columbia Univ, Ctr Radiol Res, New York, NY 10032 USA; [Dadachova, Ekaterina] Univ Saskatchewan, Coll Pharm &amp; Nutr, Saskatoon, SK, Canada</t>
  </si>
  <si>
    <t>Tuscia University; Yeshiva University; Albert Einstein College of Medicine; Columbia University; University of Saskatchewan</t>
  </si>
  <si>
    <t>Onofri, S (corresponding author), Univ Tuscia, Dept Ecol &amp; Biol Sci DEB, Largo Univ Snc, I-01100 Viterbo, Italy.</t>
  </si>
  <si>
    <t>onofri@unitus.it</t>
  </si>
  <si>
    <t>Zucconi, L./U-9781-2018; Pacelli, Claudia/AAI-2677-2020; Selbmann, Laura/L-3056-2013</t>
  </si>
  <si>
    <t>Zucconi, L./0000-0001-9793-2303; Pacelli, Claudia/0000-0001-5113-4293; Selbmann, Laura/0000-0002-8967-3329; ONOFRI, Silvano/0000-0001-8872-1440</t>
  </si>
  <si>
    <t>Defense Threat Reduction Agency (DTRA) [I-IDTRA1-17-1-0013]; ASI (Italian Space Agency); PNRA (Italian National Program for Antarctic Research); Italian National Antarctic Museum Felice Ippolito</t>
  </si>
  <si>
    <t>Defense Threat Reduction Agency (DTRA)(United States Department of DefenseDefense Threat Reduction Agency); ASI (Italian Space Agency)(Agenzia Spaziale Italiana (ASI)); PNRA (Italian National Program for Antarctic Research); Italian National Antarctic Museum Felice Ippolito</t>
  </si>
  <si>
    <t>E.D., R.B and I.S. thank the Defense Threat Reduction Agency (DTRA) grant I-IDTRA1-17-1-0013 for supporting research. C.P., S.O., L.S., and L.Z. acknowledge the ASI (Italian Space Agency) for funding BIOMEX-MCF, PNRA (Italian National Program for Antarctic Research) for supporting expedition in Antarctica, and the Italian National Antarctic Museum Felice Ippolito, for funding CCFEE (Culture Collection of Fungi From Extreme Environments).</t>
  </si>
  <si>
    <t>1878-6146</t>
  </si>
  <si>
    <t>1878-6162</t>
  </si>
  <si>
    <t>FUNGAL BIOL-UK</t>
  </si>
  <si>
    <t>Fungal Biol.</t>
  </si>
  <si>
    <t>10.1016/j.funbio.2018.10.002</t>
  </si>
  <si>
    <t>HD2ME</t>
  </si>
  <si>
    <t>WOS:000452343900011</t>
  </si>
  <si>
    <t>Li, SJ; Yin, QZ; Bao, HM; Sanborn, ME; Irving, A; Ziegler, K; Agee, C; Marti, K; Miao, BK; Li, XY; Li, Y; Wang, SJ</t>
  </si>
  <si>
    <t>Li, Shijie; Yin, Qing-Zhu; Bao, Huiming; Sanborn, Matthew E.; Irving, Anthony; Ziegler, Karen; Agee, Carl; Marti, Kurt; Miao, Bingkui; Li, Xiongyao; Li, Yang; Wang, Shijie</t>
  </si>
  <si>
    <t>Evidence for a multilayered internal structure of the chondritic acapulcoite-lodranite parent asteroid</t>
  </si>
  <si>
    <t>GRV 020043; Acapulcoite; Lodranite; Oxygen isotope; Chromium isotope</t>
  </si>
  <si>
    <t>HF-W THERMOCHRONOMETRY; NORTHWEST AFRICA 7325; OXYGEN-ISOTOPE; METEORITICAL BULLETIN; THERMAL HISTORY; EVOLUTION HISTORY; COOLING HISTORY; ACHONDRITE; CLASSIFICATION; RECOVERY</t>
  </si>
  <si>
    <t>We report a petrography, mineral chemistry, oxygen and chromium isotopic study of Grove Mountains (GRV) 020043 together with a subset of other acapulcoites and lodranites. GRV 020043 is a petrologic type 4 chondrite, with chondrules of diverse types and sizes, and is composed of low-Ca pyroxene (40 vol.%), olivine (24 vol.%), diopside (8 vol.%), plagioclase (10 vol.%), Fe-Ni metal (kamacite and taenite), troilite and some accessory minerals (chromite and apatite). The olivine in GRV 020043 has an average fayalite content (Fa) of 10.7 mol.% with the low-Ca pyroxene having an average ferrosilite content (Fs) of 10.8 mol.%. The whole rock oxygen isotopic composition of GRV 020043 is +3.226 +/- 0.267 parts per thousand, +0.797 +/- 0.131 parts per thousand, and -0.927 +/- 0.017 parts per thousand for delta O-18, delta O-17, and Delta O-17, respectively, with a bulk chromium isotopic compositions of epsilon Cr-54 = -0.48 +/- 0.10. These characteristics of GRV 020043 are different from all established or ungrouped chondrites but agree with those of the acapulcoite-lodranite clan. We therefore suggest that GRV 020043 represents the chondritic precursor of acapulcoite-lodranite parent body. The similarity of bulk oxygen and chromium isotopic compositions among GRV 020043, Acapulco, Northwest Africa (NWA) 468 (metal-rich lodranite), NWA 8118 (lodranite), NWA 8287 (acapulcoite), and NWA 8422 (lodranite) indicates that they originated from a common oxygen and chromium reservoir in the protoplanetary disk or may have derived from a parent body with a differentiated multilayer structure. (C) 2018 Elsevier Ltd. All rights reserved.</t>
  </si>
  <si>
    <t>[Li, Shijie; Li, Xiongyao; Li, Yang] Chinese Acad Sci, Ctr Lunar &amp; Planetary Sci, Inst Geochem, Guiyang, Guizhou, Peoples R China; [Yin, Qing-Zhu; Sanborn, Matthew E.] Univ Calif Davis, Dept Earth &amp; Planetary Sci, One Shields Ave, Davis, CA 95616 USA; [Bao, Huiming] Louisiana State Univ, Dept Geol &amp; Geophys, E235 Howe Russell Geosci Complex, Baton Rouge, LA 70803 USA; [Bao, Huiming] Chinese Acad Sci, Inst Geochem, State Key Lab Ore Deposit Geochem, Guiyang 550002, Guizhou, Peoples R China; [Irving, Anthony] Univ Washington, Dept Earth &amp; Space Sci, Seattle, WA 98195 USA; [Ziegler, Karen; Agee, Carl] Univ New Mexico, Inst Meteorit, Albuquerque, NM 87131 USA; [Marti, Kurt] Univ Calif San Diego, Dept Chem &amp; Biochem, La Jolla, CA 92093 USA; [Miao, Bingkui] Guilin Univ Technol, Guangxi Key Univ Lab Planetary Geol Evolut, Guilin 541004, Peoples R China; [Wang, Shijie] Chinese Acad Sci, Inst Geochem, State Key Lab Environm Geochem, Guiyang, Guizhou, Peoples R China</t>
  </si>
  <si>
    <t>Chinese Academy of Sciences; Institute of Geochemistry, CAS; University of California System; University of California Davis; Louisiana State University System; Louisiana State University; Chinese Academy of Sciences; Institute of Geochemistry, CAS; University of Washington; University of Washington Seattle; University of New Mexico; University of California System; University of California San Diego; Guilin University of Technology; Chinese Academy of Sciences; Institute of Geochemistry, CAS</t>
  </si>
  <si>
    <t>Wang, SJ (corresponding author), Chinese Acad Sci, Inst Geochem, State Key Lab Environm Geochem, Guiyang, Guizhou, Peoples R China.</t>
  </si>
  <si>
    <t>wangshijie@vip.skleg.cn</t>
  </si>
  <si>
    <t>Yin, Qing-Zhu/B-8198-2009; yang, qing/JBR-8440-2023; Li, Yang/ADG-2895-2022; Bao, Huiming/C-1069-2012</t>
  </si>
  <si>
    <t>Sanborn, Matthew/0000-0003-3218-1195</t>
  </si>
  <si>
    <t>National Natural Science Foundation of China [41273080, 41473067, 41490630]</t>
  </si>
  <si>
    <t>The samples of GRV 020043 and GRV 021663 involved in this work were provided by the Antarctic Meteorite Repository of Polar Research Institute of China (PRIC). Royal Ontario Museum is acknowledged for the samples of NWA 468. SJL would like to thank Y.T. Lin for his constructive suggestions. We also thank Dr. T. Sun for his assistance with bulk oxygen isotopes measurement at LSU. We are grateful to the A.E. and the reviewer D. W. Mittlefehldt for the detailed comments and constructive suggestions. The work was supported by National Natural Science Foundation of China (grants 41273080, 41473067, and 41490630).</t>
  </si>
  <si>
    <t>10.1016/j.gca.2018.09.004</t>
  </si>
  <si>
    <t>GV9KG</t>
  </si>
  <si>
    <t>WOS:000446475700006</t>
  </si>
  <si>
    <t>Baecker, B; Ott, U; Cordier, C; Folco, L; Trieloff, M; van Ginneken, M; Rochette, P</t>
  </si>
  <si>
    <t>Baecker, Bastian; Ott, Ulrich; Cordier, Carole; Folco, Luigi; Trieloff, Mario; van Ginneken, Matthias; Rochette, Pierre</t>
  </si>
  <si>
    <t>Noble gases in micrometeorites from the Transantarctic Mountains</t>
  </si>
  <si>
    <t>Micrometeorites; Transantarctic Mountains; Noble gases; Solar wind; Planetary noble gases; Cosmic ray exposure; Pre-irradiation</t>
  </si>
  <si>
    <t>INTERPLANETARY DUST PARTICLES; IONIZATION MASS-SPECTROMETER; SOLAR ENERGETIC PARTICLES; ARGON ISOTOPIC VARIATIONS; COSMIC SPHERULES; ANTARCTIC MICROMETEORITES; ATMOSPHERIC ENTRY; OXYGEN-ISOTOPE; ORDINARY CHONDRITES; PRESOLAR DIAMONDS</t>
  </si>
  <si>
    <t>The bulk of extraterrestrial matter currently accreted by the Earth is in the form of micrometeorites (MMs) and interplanetary dust particles (IDPs), thus they may have collectively made a substantial contribution to the volatile inventory of the Earth and the other terrestrial planets. We have performed a complete noble gas study, accompanied by a complete petrographic characterization, of MMs from the Transantarctic Mountain (TAM) collection in the size range similar to 300 to similar to 1000 mu m that fell over an extended time period during the last similar to 1 Ma. Our noble gas study includes krypton and xenon, which have been largely missing in previous work. Helium and neon are dominated by a solar component, with generally lower abundance in scoriaceous MMs than in unmelted ones, and also generally lower in abundance than in previously studied MMs, which may be explained by the larger particle size (surface/volume ratio) of the MMs we studied. Considering an enhanced MM flux in the early Solar System, such MMs may have supplied a significant fraction of Earth's neon. A number of MMs have kept what was probably their pre-terrestrial He/Ne ratio, from which we infer that the observed solar component is retained in a tiny surface region not affected by atmospheric entry. The abundances of (volume-correlated) heavier gases are similar to what was found in previous studies of smaller MMs. While Ar contains both solar and planetary contributions, the heavy noble gases (Kr, Xe) generally show planetary patterns but are often also compromised by terrestrial contamination as evidenced by an enhanced Kr/Xe ratio. Kr and Xe in a subset of scoriaceous MMs are dominated by isotopically fractionated air, possibly acquired during the passage through Earth's ionosphere. Those not obviously affected by air show isotopic ratios similar to primitive meteorites (the Q component), thus primordial heavy gases supplied to the Earth by MMs are likely as those found in macroscopic meteorites. There is no evidence for the presence of a cometary Xe component as identified in the coma of comet 67P/Churyumov-Gerasimenko, hence a cometary source for a significant fraction of MMs in the studied size range is unlikely. Cosmogenic helium, neon and argon were detected in several cases. Cosmic ray exposure ages were calculated based on cosmogenic Ne-21 in combination with the Poynting-Robertson effect, but depend on assumptions about atmospheric entry loss. Still, several cases are consistent with an origin from the asteroid belt (even assuming no loss) and one scoriaceous MM (#45b.17) would have to originate from beyond Jupiter. In at least two cases, including #45b.17, the isotopic composition of cosmogenic Ne appears to be inconsistent with predominant production in small particles free-floating in space, however; much of the irradiation of these MMs may have occurred when they were part of larger parent bodies. (C) 2018 Elsevier Ltd. All rights reserved.</t>
  </si>
  <si>
    <t>[Baecker, Bastian; Ott, Ulrich] Max Planck Inst Chem, Hahn Meitner Weg 1, D-55128 Mainz, Germany; [Baecker, Bastian; Ott, Ulrich; Trieloff, Mario] Heidelberg Univ, Inst Geowissensch, Klaus Tschira Lab Kosmochem, Neuenheimer Feld 234-236, D-69120 Heidelberg, Germany; [Ott, Ulrich] MTA Atomki, Bern Ter 18-C, H-4026 Debrecen, Hungary; [Cordier, Carole] Univ Grenoble Alpes, Univ Savoie Mt Blanc, CNRS, IRD,IFSTTAR,ISTerre, F-38000 Grenoble, France; [Folco, Luigi] Univ Pisa, Dipartimento Sci Terra, Via S Maria 53, I-56126 Pisa, Italy; [van Ginneken, Matthias] Univ Libre Bruxelles, Lab G Time, Franklin Rooseveltlaan 50, B-1050 Brussels, Belgium; [Rochette, Pierre] Aix Marseille Univ, CNRS, INRA, IRD,Coll France,CEREGE, F-13545 Aix En Provence, France; [Baecker, Bastian] BHGE, Baker Hughes Str 1, D-29221 Celle, Germany</t>
  </si>
  <si>
    <t>Max Planck Society; Ruprecht Karls University Heidelberg; Hungarian Academy of Sciences; Hungarian Research Network; HUN-REN Institute for Nuclear Research; Communaute Universite Grenoble Alpes; Universite Grenoble Alpes (UGA); Centre National de la Recherche Scientifique (CNRS); Institut de Recherche pour le Developpement (IRD); Universite Gustave-Eiffel; Universite Savoie Mont Blanc; University of Pisa; Universite Libre de Bruxelles; Centre National de la Recherche Scientifique (CNRS); INRAE; Aix-Marseille Universite; Universite PSL; College de France; Institut de Recherche pour le Developpement (IRD)</t>
  </si>
  <si>
    <t>Ott, U (corresponding author), Max Planck Inst Chem, Hahn Meitner Weg 1, D-55128 Mainz, Germany.</t>
  </si>
  <si>
    <t>uli.ott@mpic.de</t>
  </si>
  <si>
    <t>Folco, Luigi/AAA-6351-2020; Van Ginneken, Matthias/AFQ-5594-2022; Folco, Luigi/AAB-8586-2021; Rochette, Pierre/O-4612-2019; Ott, Ulrich/ABH-2337-2020</t>
  </si>
  <si>
    <t>Van Ginneken, Matthias/0000-0002-2508-7021; Rochette, Pierre/0000-0002-7362-0660; Folco, Luigi/0000-0002-7276-3483</t>
  </si>
  <si>
    <t>DFG [OT 171/5-1, OT 171/5-2]; Italian Ministero della Istruzione, Universita' e Ricerca through the Programma Nazionale delle Ricerche in Antartide (PNRA) Meteoriti Antartiche project [PNRA16_00029]; Progetti di Rilevenza Nazionale Cosmic Dust project [PRIN_201520158W4JZ7]; Labex OSUG@2020 [ANR10 LABX56]</t>
  </si>
  <si>
    <t>DFG(German Research Foundation (DFG)); Italian Ministero della Istruzione, Universita' e Ricerca through the Programma Nazionale delle Ricerche in Antartide (PNRA) Meteoriti Antartiche project; Progetti di Rilevenza Nazionale Cosmic Dust project; Labex OSUG@2020</t>
  </si>
  <si>
    <t>Thanks go to Siegfried Herrmann, Reinhard Haubold and Christa Sudek for technical and chemical assistance with the noble gas measurements and the sample preparation. We are particularly grateful to Reto Trappitsch and Ingo Leya for providing model calculations for cosmogenic nuclide production in micrometeorites. Constructive comments by reviewers Rainer Wieler and Anonymous as well as the editorial handling by David L. Shuster are appreciated. This work was partially supported by DFG grants OT 171/5-1 and 5-2 and by the Italian Ministero della Istruzione, Universita' e Ricerca through the Programma Nazionale delle Ricerche in Antartide (PNRA) Meteoriti Antartiche project (grant ID: PNRA16_00029) and the Progetti di Rilevenza Nazionale Cosmic Dust project (grant ID: PRIN_201520158W4JZ7). Carole Cordier is part of Labex OSUG@2020 (ANR10 LABX56).</t>
  </si>
  <si>
    <t>10.1016/j.gca.2018.08.027</t>
  </si>
  <si>
    <t>WOS:000446475700014</t>
  </si>
  <si>
    <t>Charman, DJ; Amesbury, MJ; Roland, TP; Royles, J; Hodgson, DA; Convey, P; Griffiths, H</t>
  </si>
  <si>
    <t>Charman, Dan J.; Amesbury, Matthew J.; Roland, Thomas P.; Royles, Jessica; Hodgson, Dominic A.; Convey, Peter; Griffiths, Howard</t>
  </si>
  <si>
    <t>Spatially coherent late Holocene Antarctic Peninsula surface air temperature variability</t>
  </si>
  <si>
    <t>GEOLOGY</t>
  </si>
  <si>
    <t>CLIMATE-CHANGE; MOSS BANK; TRENDS; OCEAN; ISLAND; WEST</t>
  </si>
  <si>
    <t>The Antarctic Peninsula experienced a rapid rise in regional temperature during the second half of the 20th century, but the regional pattern of multi-centennial temperature changes and their dynamical drivers remain poorly understood. Here we use proxies of biological productivity in rare, deep moss banks to infer past surface air temperature changes on the Antarctic Peninsula and identify the drivers of these changes. Late Holocene temperatures are broadly consistent between the low-elevation moss bank records and a high-elevation ice core site, and we conclude that variation in the strength of the westerlies, linked to the Southern Annular Mode, is the most likely driver. Our data do not support a hypothesized persistent temperature dipole over the Antarctic Peninsula related to a strong influence of El Nino-Southern Oscillation. Rates of change in biological productivity on the peninsula over the 20th century are unusual in the context of the late Holocene, and further warming will drive rapid future increases in moss growth and microbial populations.</t>
  </si>
  <si>
    <t>[Charman, Dan J.; Amesbury, Matthew J.; Roland, Thomas P.] Univ Exeter, Dept Geog, Coll Life &amp; Environm Sci, Exeter EX4 4RJ, Devon, England; [Amesbury, Matthew J.] Univ Helsinki, ECRU, Fac Biol &amp; Environm Sci, SF-00100 Helsinki, Finland; [Royles, Jessica; Convey, Peter; Griffiths, Howard] Univ Cambridge, Dept Plant Sci, Downing St, Cambridge CB2 3EA, Cambs, England; [Royles, Jessica; Hodgson, Dominic A.] British Antarctic Survey, NERC, Cambridge CB3 0ET, Cambs, England; [Hodgson, Dominic A.] Univ Durham, Dept Geog, Durham DH1 3LE, England</t>
  </si>
  <si>
    <t>University of Exeter; University of Helsinki; University of Cambridge; UK Research &amp; Innovation (UKRI); Natural Environment Research Council (NERC); NERC British Antarctic Survey; Durham University</t>
  </si>
  <si>
    <t>Charman, DJ (corresponding author), Univ Exeter, Dept Geog, Coll Life &amp; Environm Sci, Exeter EX4 4RJ, Devon, England.</t>
  </si>
  <si>
    <t>Roland, Thomas/B-4703-2013; Convey, Peter/AAV-5728-2020; Charman, Dan/K-9303-2014</t>
  </si>
  <si>
    <t>Roland, Thomas/0000-0002-9237-1364; Convey, Peter/0000-0001-8497-9903; Charman, Dan/0000-0003-3464-4536; Amesbury, Matthew/0000-0002-4667-003X</t>
  </si>
  <si>
    <t>UK Natural Environment Research Council (NERC) Antarctic Funding Initiative [NE/H014896/1]; NERC [1605.0312]; British Antarctic Survey; Royal Navy ships HMS Protector and HMS Endurance; NERC [NE/H014632/1, NE/H014810/1, NE/H014896/1, bas0100030, NE/M001946/1, bas0100036] Funding Source: UKRI</t>
  </si>
  <si>
    <t>UK Natural Environment Research Council (NERC) Antarctic Funding Initiative(UK Research &amp; Innovation (UKRI)Natural Environment Research Council (NERC)); NERC(UK Research &amp; Innovation (UKRI)Natural Environment Research Council (NERC)); British Antarctic Survey; Royal Navy ships HMS Protector and HMS Endurance; NERC(UK Research &amp; Innovation (UKRI)Natural Environment Research Council (NERC))</t>
  </si>
  <si>
    <t>This research was funded by the UK Natural Environment Research Council (NERC) Antarctic Funding Initiative (grant NE/H014896/1) and NERC Radiocarbon Facility allocation 1605.0312. Melanie Leng at the NERC Isotope Geosciences Laboratory assisted with isotope measurements. Sample collection was supported by Iain Rudkin, Ashly Fusiarski, the British Antarctic Survey, and Royal Navy ships HMS Protector and HMS Endurance. We thank Nerilie Abram and two anonymous reviewers for their comments.</t>
  </si>
  <si>
    <t>0091-7613</t>
  </si>
  <si>
    <t>1943-2682</t>
  </si>
  <si>
    <t>10.1130/G45347.1</t>
  </si>
  <si>
    <t>HB7QM</t>
  </si>
  <si>
    <t>Green Submitted, hybrid, Green Published, Green Accepted</t>
  </si>
  <si>
    <t>WOS:000451275100013</t>
  </si>
  <si>
    <t>Kim, D; Kim, T; Lee, J; Kim, Y; Kim, H; Lee, JI</t>
  </si>
  <si>
    <t>Kim, Daeyeong; Kim, Taehwan; Lee, Jeongmin; Kim, Yoonsup; Kim, Hyeoncheol; Lee, Jong Ik</t>
  </si>
  <si>
    <t>Microfabrics of omphacite and garnet in eclogite from the Lanterman Range, northern Victoria Land, Antarctica</t>
  </si>
  <si>
    <t>GEOSCIENCES JOURNAL</t>
  </si>
  <si>
    <t>eclogite; omphacite; garnet; layered structure; seismic anisotropy; electron backscatter diffraction (EBSD)</t>
  </si>
  <si>
    <t>SUBDUCTING OCEANIC-CRUST; ULTRAHIGH-PRESSURE METAMORPHISM; LATTICE-PREFERRED ORIENTATIONS; NW CHINA IMPLICATIONS; QILIAN SUTURE ZONE; SEISMIC ANISOTROPY; ELASTIC PROPERTIES; POSTSEISMIC CREEP; HIGH-TEMPERATURE; ACTIVE MARGIN</t>
  </si>
  <si>
    <t>We examined the microfabrics of omphacite and garnet in foliated eclogite to determine the influence of the layered structure on seismic observations in subduction zone. The analyzed eclogite, from the Lanterman Range, northern Victoria Land, Antarctica, is characterized by layering in which the modal abundances of garnet and omphacite vary. For garnet, the low aspect ratios, similar angular distribution of long axes relative to the foliation in both layers, uniform grain size distribution, near-random crystallographic preferred orientations (CPOs), and misorientation angle distributions are indicative of passive behavior during deformation. In contrast, omphacite shows relatively high aspect ratios, a low angle between the long axes of crystals and the foliation, a wide grain-size distribution, and distinctive CPOs, suggesting dislocation creep as the main deformation mechanism. The results of fabric analyses are consistent with strain localization into omphacite or omphacite-rich layers rather than garnet or garnet- rich layers. The single-crystal seismic anisotropy of garnet is very weak (AV(P) = 0.2%, AV(S) = 0.5-0.6%), whereas that of omphacite is much stronger (AV(P) = 3.7-5.9% and AV(S) = 2.9-3.8%). Seismic anisotropy of the omphacite-rich layers shows an increase of 329% for AV(P) and 146% for AV(S) relative to the garnet-rich layers. Our results demonstrate the importance of the layered structure in strain localization and in the development of the seismic anisotropies of subducting oceanic crust.</t>
  </si>
  <si>
    <t>[Kim, Daeyeong; Lee, Jeongmin] Korea Polar Res Inst KOPRI, Div Polar Earth Syst Sci, 26 Songdomirae Ro, Incheon 21990, South Korea; [Kim, Taehwan] Seoul Natl Univ, Sch Earth &amp; Environm Sci, Seoul 08826, South Korea; [Kim, Yoonsup] Chungbuk Natl Univ, Dept Geol &amp; Earth Environm Sci, Cheongju 28644, South Korea; [Kim, Hyeoncheol] Korea Inst Geosci &amp; Mineral Resources KIGAM, Geol Div, Daejeon 34132, South Korea; [Lee, Jong Ik] Korea Polar Res Inst KOPRI, Unit Antarctic K Route Expedit, Incheon 21990, South Korea</t>
  </si>
  <si>
    <t>Korea Polar Research Institute (KOPRI); Seoul National University (SNU); Chungbuk National University; Korea Institute of Geoscience &amp; Mineral Resources (KIGAM); Korea Polar Research Institute (KOPRI)</t>
  </si>
  <si>
    <t>Kim, D (corresponding author), Korea Polar Res Inst KOPRI, Div Polar Earth Syst Sci, 26 Songdomirae Ro, Incheon 21990, South Korea.</t>
  </si>
  <si>
    <t>dkim@kopri.re.kr</t>
  </si>
  <si>
    <t>Kim, Daeyeong/H-4318-2018</t>
  </si>
  <si>
    <t>Kim, Taehwan/0000-0002-0586-3433; Kim, Daeyeong/0000-0003-4444-7851</t>
  </si>
  <si>
    <t>KOPRI project [20140409, PM18030]</t>
  </si>
  <si>
    <t>KOPRI project(Korea Polar Research Institute of Marine Research Placement (KOPRI))</t>
  </si>
  <si>
    <t>The authors appreciate the technical supports of Changkun Park and Hwayoung Kim for the EPMA analysis, and Kyungtae Park and Heymi Cho for the EBSD analysis. This research was supported by a KOPRI project (20140409, PM18030) to JI Lee. The authors acknowledge the editor, Raehee Han, and two anonymous reviewers for assistance and constructive comments that significantly improved the manuscript.</t>
  </si>
  <si>
    <t>GEOLOGICAL SOCIETY KOREA</t>
  </si>
  <si>
    <t>NEW BLD RM 813, KSTC, 835-4, YEOKSAM-DONG, KANGNAM-GU, SEOUL, 135-703, SOUTH KOREA</t>
  </si>
  <si>
    <t>1226-4806</t>
  </si>
  <si>
    <t>1598-7477</t>
  </si>
  <si>
    <t>GEOSCI J</t>
  </si>
  <si>
    <t>Geosci. J.</t>
  </si>
  <si>
    <t>10.1007/s12303-018-0055-7</t>
  </si>
  <si>
    <t>HA1PF</t>
  </si>
  <si>
    <t>WOS:000449989800006</t>
  </si>
  <si>
    <t>Ventura, T; Palero, F; Rotllant, G; Fitzgibbon, QP</t>
  </si>
  <si>
    <t>Ventura, Tomer; Palero, Ferran; Rotllant, Guiomar; Fitzgibbon, Quinn P.</t>
  </si>
  <si>
    <t>Crustacean metamorphosis: an omics perspective</t>
  </si>
  <si>
    <t>HYDROBIOLOGIA</t>
  </si>
  <si>
    <t>TCS Conference</t>
  </si>
  <si>
    <t>JUN 19-22, 2017</t>
  </si>
  <si>
    <t>Barcelona, SPAIN</t>
  </si>
  <si>
    <t>Metamorphosis; Ecdysone; Juvenile hormone; Cytochrome P450; Omics</t>
  </si>
  <si>
    <t>RETINOID-X-RECEPTOR; METHYL FARNESOATE SYNTHESIS; JUVENILE-HORMONE; SPINY LOBSTER; TRANSCRIPTOME ANALYSIS; ECDYSTEROID RECEPTOR; POLYTENE CHROMOSOMES; GENE-TRANSCRIPTION; ECDYSONE RECEPTOR; ANDROGENIC GLAND</t>
  </si>
  <si>
    <t>Metamorphosis involves a complex network of genes that orchestrate a perfectly timed reorganization of one body form to another. The molecular pathways that start to unravel for an increasing number of species show that there exists great diversity among different species, as would be expected by their wide range of life histories and transformation strategies. The metamorphosis process could account for a considerably high percentile of transcribed sequences over a short period of time, with the genome encoding for different life forms. Such important changes in expression patterns for a high number of genes pose a challenge for accurately assign each gene to a function. Several key conserved factors are consistently expressed and can be placed at the center of metamorphosis, including the mechanisms involving the molt hormone, 20 Hydroxy-Ecdysone, and the juvenile hormone. Yet, many additional factors are not characterized, remain unannotated, or do not have a function assigned. This manuscript provides several examples of how an integrated omics approach can develop further insights into crustacean metamorphosis and eventually lead to discovery of key factors for metamorphosis.</t>
  </si>
  <si>
    <t>[Ventura, Tomer] Univ Sunshine Coast, GeneCol Res Ctr, Fac Sci Hlth Educ &amp; Engn, 4 Locked Bag, Maroochydore, Qld 4558, Australia; [Palero, Ferran] CSIC, CEAB, Carrer Acces Cala St Francesc 14, Blanes 17300, Spain; [Rotllant, Guiomar] CSIC, Inst Ciencias Mar, Passeig Maritim Barceloneta 37-49, E-08003 Barcelona, Spain; [Fitzgibbon, Quinn P.] Univ Tasmania, Inst Marine &amp; Antarctic Studies, Ctr Fisheries &amp; Aquaculture, Private Bag 49, Hobart, Tas, Australia</t>
  </si>
  <si>
    <t>University of the Sunshine Coast; Consejo Superior de Investigaciones Cientificas (CSIC); CSIC - Centre d'Estudis Avancats de Blanes (CEAB); Consejo Superior de Investigaciones Cientificas (CSIC); CSIC - Centro Mediterraneo de Investigaciones Marinas y Ambientales (CMIMA); CSIC - Instituto de Ciencias del Mar (ICM); University of Tasmania</t>
  </si>
  <si>
    <t>Ventura, T (corresponding author), Univ Sunshine Coast, GeneCol Res Ctr, Fac Sci Hlth Educ &amp; Engn, 4 Locked Bag, Maroochydore, Qld 4558, Australia.</t>
  </si>
  <si>
    <t>tventura@usc.edu.au; fpalero@ceab.csic.es; guio@icm.csic.es; quinn.fitzgibbon@utas.edu.au</t>
  </si>
  <si>
    <t>Ventura, T./H-9832-2019; Palero, Ferran/L-7186-2019; Rotllant, Guiomar/I-1838-2013</t>
  </si>
  <si>
    <t>Ventura, T./0000-0002-0777-2367; Palero, Ferran/0000-0002-0343-8329; Rotllant, Guiomar/0000-0002-6692-9678; Fitzgibbon, Quinn/0000-0002-1104-3052</t>
  </si>
  <si>
    <t>Australian Research Council Discovery Project [DP160103320]; Marie Curie International Research Staff Exchange Scheme Fellowship within the 7th European Community Framework Programme [612296]; project CHALLENGEN of the Spanish Government [CTM2013-48163]; Beatriu de Pinos Programme of the Generalitat de Catalunya</t>
  </si>
  <si>
    <t>Australian Research Council Discovery Project(Australian Research Council); Marie Curie International Research Staff Exchange Scheme Fellowship within the 7th European Community Framework Programme(European Union (EU)); project CHALLENGEN of the Spanish Government; Beatriu de Pinos Programme of the Generalitat de Catalunya(Generalitat de Catalunya)</t>
  </si>
  <si>
    <t>The current study was supported by the Australian Research Council Discovery Project (DP160103320) and the Marie Curie International Research Staff Exchange Scheme Fellowship within the 7th European Community Framework Programme (612296-DeNuGReC). FP acknowledges the project CHALLENGEN (CTM2013-48163) of the Spanish Government and a post-doctoral contract funded by the Beatriu de Pinos Programme of the Generalitat de Catalunya.</t>
  </si>
  <si>
    <t>0018-8158</t>
  </si>
  <si>
    <t>1573-5117</t>
  </si>
  <si>
    <t>Hydrobiologia</t>
  </si>
  <si>
    <t>10.1007/s10750-017-3445-3</t>
  </si>
  <si>
    <t>HA9TH</t>
  </si>
  <si>
    <t>WOS:000450649200004</t>
  </si>
  <si>
    <t>Norman, R; Carter, BA; Healy, SB; Culverwell, ID; von Engeln, A; Le Marshall, J; Younger, JP; Cate, A; Zhang, K</t>
  </si>
  <si>
    <t>Norman, R.; Carter, B. A.; Healy, S. B.; Culverwell, I. D.; von Engeln, A.; Le Marshall, J.; Younger, J. P.; Cate, A.; Zhang, K.</t>
  </si>
  <si>
    <t>Ionospheric Regions Producing Anomalous GNSS Radio Occultation Results</t>
  </si>
  <si>
    <t>Atmosphere; global positioning system; Ionosphere; low earth orbit (LEO) satellites; radiowave propagation; ray tracing</t>
  </si>
  <si>
    <t>REFRACTIVE-INDEX; IMPACT; GPS; ASSIMILATION; TROPOSPHERE; GRADIENTS; PROFILES; DENSITY; SYSTEM; ERRORS</t>
  </si>
  <si>
    <t>Anomalous GPS radio occultation (RO) events are characterised as those with L1 bending angle greater than their corresponding L2 bending angle. An investigation by EUMETSAT and the United Kingdom Meteorological Office revealed there are regions in the earth's atmosphere where at times up to 60% of Global Navigation Satellite System Receiver for Atmospheric Sounding RO events, at the Tangent Point height of 50 km, exhibited anomalous bending angle results. The exact source of these anomalous RO events has been unclear to the RO data user community, i.e., data processing artifact or atmospheric phenomenon. In this paper, the regions of increased occurrence of anomalous RO have been identified to be the mid-latitude ionospheric trough, ionospheric polar hole, and poleward edges of the equatorial anomaly. They are more frequent at nighttime and in the southern hemisphere winter months. This is when the plasma density in these regions is depleted. However, within these regions, there are ionospheric features of increased electron density gradients such as at the walls of the mid-latitude ionospheric trough. 3-D numerical ray tracing simulations of GPS RO are presented, showing that these increased electron density features in a weakly ionized ionosphere can produce the anomalous bending angle results.</t>
  </si>
  <si>
    <t>[Norman, R.; Carter, B. A.; Cate, A.; Zhang, K.] RMIT Univ, Space Res Ctr, Melbourne, Vic 3001, Australia; [Norman, R.; Carter, B. A.] SERC Ltd, Weston, ACT 2611, Australia; [Healy, S. B.] European Ctr Medium Range Weather Forecasts, Satellite Sect, Reading RG2 9AX, Berks, England; [Culverwell, I. D.] Met Off, Weather Sci, Exeter EX1 3PB, Devon, England; [von Engeln, A.] EUMETSAT, D-64295 Darmstadt, Germany; [Le Marshall, J.] Bur Meteorol, Sci &amp; Innovat Grp, Melbourne, Vic 3001, Australia; [Younger, J. P.] Univ Adelaide, Sch Phys Sci, Adelaide, SA 5005, Australia; [Zhang, K.] China Univ Min &amp; Technol, Sch Environm Sci &amp; Spatial Informat, Xuzhou 221116, Jiangsu, Peoples R China</t>
  </si>
  <si>
    <t>Melbourne Genomics Health Alliance; Royal Melbourne Institute of Technology (RMIT); European Centre for Medium-Range Weather Forecasts (ECMWF); Met Office - UK; European Organisation for the Exploitation of Meteorological Satellites; Bureau of Meteorology - Australia; Melbourne Genomics Health Alliance; University of Adelaide; China University of Mining &amp; Technology</t>
  </si>
  <si>
    <t>Norman, R (corresponding author), RMIT Univ, Space Res Ctr, Melbourne, Vic 3001, Australia.</t>
  </si>
  <si>
    <t>robert.norman@rmit.edu.au; brett.carter@rmit.edu.au; sean.healy@ecmwf.int; ian.culverwell@metoffice.gov.uk; Axel.vonEngeln@eumetsat.int; jlm@bom.gov.au; joel.younger@adelaide.edu.au; ara.cate@rmit.edu.au; kefei.zhang@rmit.edu.au</t>
  </si>
  <si>
    <t>Carter, Brett/J-2224-2012; zhang, ke/AAH-8217-2019; Zhang, Kefei/R-5239-2019; Younger, Joel/I-4601-2012</t>
  </si>
  <si>
    <t>Carter, Brett/0000-0003-4881-3345; Zhang, Kefei/0000-0001-9376-1148; Younger, Joel/0000-0003-2918-1709; Norman, Robert/0000-0001-8306-9588</t>
  </si>
  <si>
    <t>Cooperative Research Centre for Space Environment Management (SERC Limited) through the Australian Government's Cooperative Research Centre Program; Australian Antarctic Science [4469]</t>
  </si>
  <si>
    <t>Cooperative Research Centre for Space Environment Management (SERC Limited) through the Australian Government's Cooperative Research Centre Program; Australian Antarctic Science</t>
  </si>
  <si>
    <t>This work was supported in part by the Cooperative Research Centre for Space Environment Management (SERC Limited) through the Australian Government's Cooperative Research Centre Program and in part by the Australian Antarctic Science under Grant 4469.</t>
  </si>
  <si>
    <t>10.1109/TGRS.2018.2850942</t>
  </si>
  <si>
    <t>HC2GT</t>
  </si>
  <si>
    <t>WOS:000451621000039</t>
  </si>
  <si>
    <t>Pagel, ÉC; Reis, NC; de Alvarez, CE; Santos, JM; Beghi, SP; Boechat, JL; Nishikawa, MM; Antunes, PWP; Cassini, ST</t>
  </si>
  <si>
    <t>Pagel, Erica Coelho; Reis, Neyval Costa, Jr.; de Alvarez, Cristina Engel; Santos, Jane Meri; Beghi, Sandra Paule; Boechat, Jose Laerte; Nishikawa, Marilia Martins; Pereira Antunes, Paulo Wagnner; Cassini, Servio Tulio</t>
  </si>
  <si>
    <t>Indoor air quality in an Antarctic Research Station: Fungi, particles and aldehyde concentrations associated with building materials and architectural design</t>
  </si>
  <si>
    <t>INDOOR AND BUILT ENVIRONMENT</t>
  </si>
  <si>
    <t>Indoor air quality; Building materials; Human activities; Aldehydes; Particles; Antarctic station</t>
  </si>
  <si>
    <t>VOLATILE ORGANIC-COMPOUNDS; PARTICULATE MATTER; OUTDOOR AIR; SPORE CONCENTRATIONS; ULTRAFINE PARTICLES; CARBONYL-COMPOUNDS; BACKGROUND LEVELS; EXPOSURE; HEALTH; FINE</t>
  </si>
  <si>
    <t>Antarctic buildings are enclosed structures, which provide shelter and logistic support to researchers and personnel who remain indoors for long periods and can be affected by air pollution caused by construction materials and activities inside buildings. This study aims to investigate the indoor air quality at the Brazilian Comandante Ferraz Antarctic Station based on measurements of aldehydes, particulate matter and fungi conducted during the Antarctic summer in 2012. The sampling site was divided in conditioned (personnel living quarters) and unconditioned (service and utilities areas) compartments and outdoor sites. A field log book was used to record the activities in the station. Furniture and plywood coverings may have contributed to high average concentrations of formaldehyde. Cooking resulted in high average levels of acrolein and fine particles in most of the monitored environments. Other activities such as cleaning, use of personal and cosmetic products, waste incineration, building maintenance and movement of people and vehicles have also contributed to particles concentration increase. Dominance of the species Aspergillus versicolor and Penicillium sp. showed potential means of fungal proliferation. Considering that the functionality and operation are similar in many Antarctic buildings, some general recommendations were outlined.</t>
  </si>
  <si>
    <t>[Pagel, Erica Coelho; Reis, Neyval Costa, Jr.; Santos, Jane Meri; Beghi, Sandra Paule; Pereira Antunes, Paulo Wagnner; Cassini, Servio Tulio] Univ Fed Espirito Santo, Dept Environm Engn, Av Fernando Ferrari 514, BR-29060910 Vitoria, ES, Brazil; [de Alvarez, Cristina Engel] Univ Fed Espirito Santo, Dept Architecture &amp; Urbanism, Av Vitoria, Vitoria, ES, Brazil; [Boechat, Jose Laerte] Fed Univ Fluminense, Dept Clin Immunol, Rio De Janeiro, Brazil; [Nishikawa, Marilia Martins] Fundacao Oswaldo Cruz, Dept Microbiol, Rio De Janeiro, Brazil</t>
  </si>
  <si>
    <t>Universidade Federal do Espirito Santo; Universidade Federal do Espirito Santo; Fundacao Oswaldo Cruz</t>
  </si>
  <si>
    <t>Pagel, ÉC (corresponding author), Univ Fed Espirito Santo, Dept Environm Engn, Av Fernando Ferrari 514, BR-29060910 Vitoria, ES, Brazil.</t>
  </si>
  <si>
    <t>erica.coelho@faesa.com</t>
  </si>
  <si>
    <t>Reis, Neyval costa/A-4778-2013; de Alvarez, Cristina Engel/J-4629-2012; CASSINI, SERVIO TULIO/O-7320-2019; CASSINI, SERVIO/KHC-8374-2024; Boechat, Jose Laerte/O-4014-2017; santos, jane meri/L-4325-2016</t>
  </si>
  <si>
    <t>Reis, Neyval costa/0000-0002-6159-4063; CASSINI, SERVIO TULIO/0000-0001-5200-3666; Boechat, Jose Laerte/0000-0002-9738-8210; Pagel, Erica Coelho/0000-0003-4484-1963; santos, jane meri/0000-0003-3933-2849</t>
  </si>
  <si>
    <t>FAPES/CNPQ; CAPES; INCT-APA; PROANTAR; PRONEX</t>
  </si>
  <si>
    <t>FAPES/CNPQ(Conselho Nacional de Desenvolvimento Cientifico e Tecnologico (CNPQ)); CAPES(Coordenacao de Aperfeicoamento de Pessoal de Nivel Superior (CAPES)); INCT-APA; PROANTAR; PRONEX</t>
  </si>
  <si>
    <t>The author(s) disclosed receipt of the following financial support for the research, authorship, and/or publication of this article: The authors thank the FAPES/CNPQ, PRONEX, CAPES, INCT-APA and PROANTAR for financial support.</t>
  </si>
  <si>
    <t>SAGE PUBLICATIONS LTD</t>
  </si>
  <si>
    <t>1 OLIVERS YARD, 55 CITY ROAD, LONDON EC1Y 1SP, ENGLAND</t>
  </si>
  <si>
    <t>1420-326X</t>
  </si>
  <si>
    <t>1423-0070</t>
  </si>
  <si>
    <t>INDOOR BUILT ENVIRON</t>
  </si>
  <si>
    <t>Indoor Built Environ.</t>
  </si>
  <si>
    <t>10.1177/1420326X17719953</t>
  </si>
  <si>
    <t>Construction &amp; Building Technology; Engineering, Environmental; Public, Environmental &amp; Occupational Health</t>
  </si>
  <si>
    <t>Construction &amp; Building Technology; Engineering; Public, Environmental &amp; Occupational Health</t>
  </si>
  <si>
    <t>HD1NB</t>
  </si>
  <si>
    <t>WOS:000452276100003</t>
  </si>
  <si>
    <t>Ardini, F; Bazzano, A; Grotti, M</t>
  </si>
  <si>
    <t>Ardini, Francisco; Bazzano, Andrea; Grotti, Marco</t>
  </si>
  <si>
    <t>Lead isotopic analysis of Antarctic snow by quadrupole ICP-MS using a total-consumption sample introduction system</t>
  </si>
  <si>
    <t>JOURNAL OF ANALYTICAL ATOMIC SPECTROMETRY</t>
  </si>
  <si>
    <t>PLASMA-MASS SPECTROMETRY; DYNAMIC REACTION CELL; DOME-C; SHEATHING GAS; LAW DOME; DUST; METALS; EPICA; CORE; CLIMATE</t>
  </si>
  <si>
    <t>Measurement of lead isotope ratios in snow samples using inductively coupled plasma-dynamic reaction cell-mass spectrometry (ICP-DRC-MS) at a low sample consumption rate was thoroughly studied. Sample volumes were reduced from 20.0 to 0.200 mL by freeze-drying, and the pre-concentrates were efficiently introduced into the plasma source at 20 mu L min(-1) by using the heated torch-integrated sample introduction system (hTISIS). In addition, the DRC was pressurised with neon to improve the precision by collisional damping. Sensitivity was maximised by optimising the operating parameters of the sample introduction system (nebulizer/sheathing gas flow rate ratio), the reaction cell (rod offset and damping gas flow rate) and the signal measurement conditions. The developed method was then characterised in terms of the analytical working range, accuracy and uncertainty estimation. Under the optimal conditions, isotope ratios did not differ in the 0.1-20 mu g L-1 range. Internal precision, expressed as relative standard deviation, varied from 0.12 to 0.18% (c = 10 mu g L-1; n = 12), while the external precision was &lt;0.1%. The potential influence of the pre-concentration procedure on the analytical data was carefully investigated in terms of blank contribution, recovery and isotopic fractionation. The lowest Pb concentration needed in the samples to limit the influence of the blanks within an experimental precision of 0.5% was 4.4 pg g(-1), and the recovery of five standard reference solutions with a Pb concentration of 100 ng L-1 was 90 +/- 5%, with no significant isotopic fractionation. The developed ICP-DRC-MS method was finally applied to a number of representative Antarctic snow samples previously characterised by multi-collector ICP-MS, obtaining a satisfactory agreement between the data provided by the two techniques and analytical results consistent with literature data on the glaciochemistry of Antarctic ice cores.</t>
  </si>
  <si>
    <t>[Ardini, Francisco; Bazzano, Andrea; Grotti, Marco] Univ Genoa, Dept Chem &amp; Ind Chem, Via Dodecaneso 31, I-16146 Genoa, Italy</t>
  </si>
  <si>
    <t>University of Genoa</t>
  </si>
  <si>
    <t>Grotti, M (corresponding author), Univ Genoa, Dept Chem &amp; Ind Chem, Via Dodecaneso 31, I-16146 Genoa, Italy.</t>
  </si>
  <si>
    <t>grotti@chimica.unige.it</t>
  </si>
  <si>
    <t>Grotti, Marco/HGU-3949-2022; Ardini, Francisco/Q-1965-2017; Bazzano, Andrea/O-2879-2019</t>
  </si>
  <si>
    <t>Grotti, Marco/0000-0001-6956-5761; Ardini, Francisco/0000-0003-0094-9227; Bazzano, Andrea/0000-0002-9353-3919</t>
  </si>
  <si>
    <t>Italian National Program for Research in Antarctica [PNRA14_00091, PNRA16_00252]</t>
  </si>
  <si>
    <t>Italian National Program for Research in Antarctica(Ministry of Education, Universities and Research (MIUR))</t>
  </si>
  <si>
    <t>This study was financially supported by the Italian National Program for Research in Antarctica (projects PNRA14_00091 and PNRA16_00252).</t>
  </si>
  <si>
    <t>THOMAS GRAHAM HOUSE, SCIENCE PARK, MILTON RD, CAMBRIDGE CB4 0WF, CAMBS, ENGLAND</t>
  </si>
  <si>
    <t>0267-9477</t>
  </si>
  <si>
    <t>1364-5544</t>
  </si>
  <si>
    <t>J ANAL ATOM SPECTROM</t>
  </si>
  <si>
    <t>J. Anal. At. Spectrom.</t>
  </si>
  <si>
    <t>10.1039/c8ja00296g</t>
  </si>
  <si>
    <t>Chemistry, Analytical; Spectroscopy</t>
  </si>
  <si>
    <t>Chemistry; Spectroscopy</t>
  </si>
  <si>
    <t>HC1CE</t>
  </si>
  <si>
    <t>WOS:000451536000009</t>
  </si>
  <si>
    <t>Palm, SP; Yang, YK; Kayetha, V; Nicolas, JP</t>
  </si>
  <si>
    <t>Palm, Stephen P.; Yang, Yuekui; Kayetha, Vinay; Nicolas, Julien P.</t>
  </si>
  <si>
    <t>Insight into the Thermodynamic Structure of Blowing-Snow Layers in Antarctica from Dropsonde and CALIPSO Measurements</t>
  </si>
  <si>
    <t>JOURNAL OF APPLIED METEOROLOGY AND CLIMATOLOGY</t>
  </si>
  <si>
    <t>Atmosphere-land interaction; Moisture; moisture budget; Snow cover; Thermodynamics; Dropsondes; Lidars; Lidar observations</t>
  </si>
  <si>
    <t>SURFACE MASS-BALANCE; KATABATIC WINDS; MIZUHO STATION; SUBLIMATION; VALIDATION</t>
  </si>
  <si>
    <t>Blowing snow is a frequent and widespread phenomenon over most of Antarctica. The transport and sublimation of blowing snow are important for the mass balance of the Antarctic ice sheet, and the latter is a major contributor to the hydrological cycle in high-latitude regions. Although much is known about blowing snow from surface observations, knowledge of the thermodynamic structure of deep (&gt;50 m) blowing-snow layers is lacking. Here, dropsonde measurements are used to investigate the temperature, moisture, and wind structure of deep blowing-snow layers over Antarctica. The temperature lapse rate within the blowing-snow layer is at times close to dry adiabatic and is on average between dry and moist adiabatic. Initiation of blowing snow causes the surface temperature to increase to a degree proportional to the depth of the blowing-snow layer. The relative humidity with respect to ice is generally largest near the surface (but less than 100%) and decreases with height, reaching a minimum near the top of the layer. These findings are at odds with the generally accepted theory that blowing-snow sublimation will cool and eventually saturate the layer. The observations support the conclusion that high levels of wind-shear-induced turbulence cause mixing and entrainment of warmer air from above the blowing-snow layer, which suppresses humidity and produces the observed well-mixed temperature structure within the layer. The results may have important consequences for understanding the mass balance of the Antarctic ice sheet and the moisture budget of the atmosphere in high latitudes.</t>
  </si>
  <si>
    <t>[Palm, Stephen P.; Kayetha, Vinay] Sci Syst &amp; Applicat Inc, Lanham, MD 20706 USA; [Yang, Yuekui] NASA, Goddard Space Flight Ctr, Greenbelt, MD USA; [Nicolas, Julien P.] Ohio State Univ, Byrd Polar &amp; Climate Res Ctr, Columbus, OH 43210 USA</t>
  </si>
  <si>
    <t>Science Systems and Applications Inc; National Aeronautics &amp; Space Administration (NASA); NASA Goddard Space Flight Center; University System of Ohio; Ohio State University</t>
  </si>
  <si>
    <t>Palm, SP (corresponding author), Sci Syst &amp; Applicat Inc, Lanham, MD 20706 USA.</t>
  </si>
  <si>
    <t>stephen.p.palm@nasa.gov</t>
  </si>
  <si>
    <t>Yang, Yuekui/B-4326-2015; Kayetha, Vinay/E-6377-2014</t>
  </si>
  <si>
    <t>Yang, Yuekui/0000-0002-1630-272X; Kayetha, Vinay/0000-0002-4258-3481</t>
  </si>
  <si>
    <t>NASA [NNH14CK40C, NNH14CK39C]; National Science Foundation</t>
  </si>
  <si>
    <t>NASA(National Aeronautics &amp; Space Administration (NASA)); National Science Foundation(National Science Foundation (NSF))</t>
  </si>
  <si>
    <t>This research was performed under NASA contracts NNH14CK40C and NNH14CK39C. The authors thank Thomas Wagner and David Considine for their support and encouragement. We also thank Mr. Alec Stiller for providing help with some figures. The CALIPSO data used in this study were obtained online from the NASA Langley Research Center Atmospheric Science Data Center (https://doi.org/10.5067/CALIOP/CALIPSO/CAL_LID_L1-STANDARD-V4-00_L1B-004.00). The dropsonde data were provided online by the NCAREarth Observing Laboratory under the sponsorship of the National Science Foundation (https://data.eol.ucar.edu/dataset/221.002). ERA-5 data were obtained from the Meteorological Archival and Retrieval System (MARS) through the ECMWF's WebAPI (more details are available at http://apps.ecmwf.int/datasets/). Blowing-snow data are available from the author and will soon be made available from the NASA Langley Research Center Atmospheric Science Data Center. The AWS data (except station Irene) are publicly available online (https://amrc.ssec.wisc.edu/). The data for AWS station Irene are also available online (http://www.climantartide.it/).</t>
  </si>
  <si>
    <t>45 BEACON ST, BOSTON, MA 02108-3693, UNITED STATES</t>
  </si>
  <si>
    <t>1558-8424</t>
  </si>
  <si>
    <t>1558-8432</t>
  </si>
  <si>
    <t>J APPL METEOROL CLIM</t>
  </si>
  <si>
    <t>J. Appl. Meteorol. Climatol.</t>
  </si>
  <si>
    <t>10.1175/JAMC-D-18-0082.1</t>
  </si>
  <si>
    <t>HD7HA</t>
  </si>
  <si>
    <t>WOS:000452721000002</t>
  </si>
  <si>
    <t>Hoque, SNMA; Fenrich, F</t>
  </si>
  <si>
    <t>Hoque, S. N. M. Azizul; Fenrich, Frances</t>
  </si>
  <si>
    <t>A new technique for understanding magnetosphere-ionosphere coupling using directional derivatives of SuperDARN convection flow</t>
  </si>
  <si>
    <t>JOURNAL OF ASTROPHYSICS AND ASTRONOMY</t>
  </si>
  <si>
    <t>SuperDARN directional derivative technique; ionospheric convection driven by solar wind-magnetosphere-ionosphere coupling; open-closed magnetic field line boundary</t>
  </si>
  <si>
    <t>PARTICLE-PRECIPITATION BOUNDARIES; INTERPLANETARY MAGNETIC-FIELD; SPECTRAL WIDTH BOUNDARIES; HIGH-LATITUDE CONVECTION; DEPENDENT PLASMA-FLOW; LINE BOUNDARY; POLAR-CAP; DAYSIDE MAGNETOSPHERE; BIRKELAND CURRENTS; IMAGE SPACECRAFT</t>
  </si>
  <si>
    <t>The purpose of this paper is to present and evaluate a new technique to better understand ionospheric convection and it's magnetospheric drivers using convection maps derived from the Super Dual Auroral Radar Network (SuperDARN). We postulate that the directional derivative of the SuperDARN ionospheric convection flow can be used as a technique for understanding solar wind-magnetosphere-ionosphere coupling by identifying regions of strong acceleration/deceleration of plasma flow associated with drivers of magnetospheric convection such as magnetic reconnection. Thus, the technique may be used to identify the open-closed magnetic field line boundary (OCB) in certain circumstances. In this study, directional derivatives of the SuperDARN ionospheric convection flow over a four and a half hour interval on Nov. 04, 2001, is presented during which the interplanetary magnetic field was predominantly southward. At each one-minute time point in the interval the positive peak in the directional derivative of flow is identified and evaluated via comparison with known indicators of the OCB including the poleward boundary of ultraviolet emissions from three FUV detectors onboard the IMAGE spacecraft as well as the SuperDARN spectral widths. Good comparison is found between the location of the peak in the directional derivative of SuperDARN flow and the poleward boundary of ultraviolet emissions confirming that acceleration of ionospheric plasma flow is associated with magnetic reconnection and the open-closed boundary.</t>
  </si>
  <si>
    <t>[Hoque, S. N. M. Azizul] Independent Univ, Dept Phys Sci, Dhaka, Bangladesh; [Fenrich, Frances] Univ Alberta, Dept Phys, Edmonton, AB T6G 2E9, Canada</t>
  </si>
  <si>
    <t>Independent University Bangladesh (IUB); University of Alberta</t>
  </si>
  <si>
    <t>Hoque, SNMA (corresponding author), Independent Univ, Dept Phys Sci, Dhaka, Bangladesh.</t>
  </si>
  <si>
    <t>snmhoque@gmail.com</t>
  </si>
  <si>
    <t>Fenrich, Frances/0000-0002-5725-6678; Hoque, S.N.M. Azizul/0000-0002-7365-8677</t>
  </si>
  <si>
    <t>Natural Sciences and Engineering Research Council of Canada</t>
  </si>
  <si>
    <t>Natural Sciences and Engineering Research Council of Canada(Natural Sciences and Engineering Research Council of Canada (NSERC)CGIAR)</t>
  </si>
  <si>
    <t>This work was supported by the Natural Sciences and Engineering Research Council of Canada. The authors thank the SuperDARN PIs for providing the SuperDARN data and software. We gratefully acknowledge the IMAGE FUV Imager team and PI Stephen Mende. Auroral boundary data were derived and provided by the British Antarctic Survey based on IMAGE satellite data. The SuperDARN data were collected from superdarn. org. The OMNI data were obtained from the GSFC/SPDF OMNIWeb interface.</t>
  </si>
  <si>
    <t>INDIAN ACAD SCIENCES</t>
  </si>
  <si>
    <t>BANGALORE</t>
  </si>
  <si>
    <t>C V RAMAN AVENUE, SADASHIVANAGAR, P B #8005, BANGALORE 560 080, INDIA</t>
  </si>
  <si>
    <t>0250-6335</t>
  </si>
  <si>
    <t>0973-7758</t>
  </si>
  <si>
    <t>J ASTROPHYS ASTRON</t>
  </si>
  <si>
    <t>J. Astrophys. Astron.</t>
  </si>
  <si>
    <t>10.1007/s12036-018-9561-2</t>
  </si>
  <si>
    <t>HB4DP</t>
  </si>
  <si>
    <t>WOS:000451003100007</t>
  </si>
  <si>
    <t>Dimitrova-Stefanova, DB; Gocheva, BT</t>
  </si>
  <si>
    <t>Dimitrova-Stefanova, Darina Blagovest; Gocheva, Blagovesta Todorova</t>
  </si>
  <si>
    <t>Screening for production of proteinase inhibitors by Antarctic Streptomycetes</t>
  </si>
  <si>
    <t>JOURNAL OF BASIC MICROBIOLOGY</t>
  </si>
  <si>
    <t>Antarctic; proteinase inhibitor; Streptomycetes</t>
  </si>
  <si>
    <t>PROTEASE INHIBITORS; TRYPSIN-INHIBITORS; HIV PROTEASE; DIFFERENTIATION</t>
  </si>
  <si>
    <t>Three out of 17 Streptomycetes strains - Streptomyces sp. 35 LBG09, Streptomyces sp. 36 LBG09, and Streptomyces sp. 39 LBG09, were selected based on the high production of proteinase inhibitors with trypsin serine proteinase activity. The strains were isolated from soil samples taken from the area around the Bulgarian station on Livingston Island, Antarctica. Biosynthesis of proteinase inhibitors by the promising strains started at different stages of their development but was generally not associated with the growth of the producers. Peak levels were reached in the stationary phase (96-120 h) of their cultivation. Inducing effects on strain development, biomass accumulation, and proteinase inhibitor biosynthesis were based on the composition of the nutrient medium: the polypeptones contained in Taguchi medium and glucose as a carbon source. The most productive out of the three strains was Streptomyces sp. 36 LBG09. Its maximum inhibitory activity was reached at 96 h in culturing media modified by three different carbon sources. The active proteinase inhibitor biosynthesis proceeded at pH values between 6.8 and 8.6 and the dynamics of production depended on the type of carbon source. Peak levels of extracellular protein and dry biomass were reached at 120 h in the stationary growth phase. The residual sugars were minimal at the end of the process when using soluble starch as a carbon source, and maximal when glucose was used.</t>
  </si>
  <si>
    <t>[Dimitrova-Stefanova, Darina Blagovest] Med Univ, Med Coll J Filaretova Sofia, Sofia, Bulgaria; [Gocheva, Blagovesta Todorova] Sofia Univ, Fac Biol, 8 Dragan Tzankov Bul, Sofia 1164, Bulgaria</t>
  </si>
  <si>
    <t>Medical University Sofia; University of Sofia</t>
  </si>
  <si>
    <t>Gocheva, BT (corresponding author), Sofia Univ, Fac Biol, 8 Dragan Tzankov Bul, Sofia 1164, Bulgaria.</t>
  </si>
  <si>
    <t>blgocheva@abv.bg</t>
  </si>
  <si>
    <t>Dimitrova-Stefanova, Darina Bl./HNR-2818-2023</t>
  </si>
  <si>
    <t>0233-111X</t>
  </si>
  <si>
    <t>1521-4028</t>
  </si>
  <si>
    <t>J BASIC MICROB</t>
  </si>
  <si>
    <t>J. Basic Microbiol.</t>
  </si>
  <si>
    <t>10.1002/jobm.201800102</t>
  </si>
  <si>
    <t>HC5SN</t>
  </si>
  <si>
    <t>WOS:000451862800003</t>
  </si>
  <si>
    <t>Nagashima, HD; Nemoto, K; Ohmura, R</t>
  </si>
  <si>
    <t>Nagashima, Hironori D.; Nemoto, Kotaro; Ohmura, Ryo</t>
  </si>
  <si>
    <t>Phase equilibrium for argon clathrate hydrate at the temperatures from 197.6 K to 274.1 K</t>
  </si>
  <si>
    <t>JOURNAL OF CHEMICAL THERMODYNAMICS</t>
  </si>
  <si>
    <t>Clathrate hydrate; Phase equilibrium; Planetary science; Argon hydrate; Air hydrate</t>
  </si>
  <si>
    <t>CARBON-DIOXIDE CLATHRATE; FORMING SYSTEM; ANTARCTIC ICE; FREEZING-POINT; METHANE; AIR; NITROGEN; WATER; ETHANE; OZONE</t>
  </si>
  <si>
    <t>The phase equilibrium conditions of clathrate hydrate of argon were measured by the isochoric procedure at the temperatures from 197.6 K to 274.1 K. Argon hydrate would have industrial applications including a working medium of the hydrate-based heat pump systems as well as influence the analysis of the past climate change on the Earth. Nevertheless, the equilibrium conditions of argon hydrate were limited in the literatures and not reported below the temperature 264 K. The lowest and the highest measured equilibrium pressure is the pressure 0.825 MPa at the temperature 197.6 K and the pressure 9.881 MPa at the temperature 274.1 K. The equilibrium pressure increases with an increase in temperature. The reliability of the measured equilibrium conditions is supported by the internal consistency of those and the coincidence of the experimentally determined quadruple point (vapor + hydrate + ice + aqueous phases in equilibrium) temperature with the water freezing temperature theoretically predicted. The discussion is given on the comparison of the equilibrium data measured in this study and those reported in the literature. (C) 2018 Elsevier Ltd.</t>
  </si>
  <si>
    <t>[Nagashima, Hironori D.; Nemoto, Kotaro; Ohmura, Ryo] Keio Univ, Dept Mech Engn, Kohoku Ku, 3-14-1 Hiyoshi, Kanagawa, Kanagawa 2238522, Japan</t>
  </si>
  <si>
    <t>Keio University</t>
  </si>
  <si>
    <t>Nagashima, HD (corresponding author), Keio Univ, Dept Mech Engn, Kohoku Ku, 3-14-1 Hiyoshi, Kanagawa, Kanagawa 2238522, Japan.</t>
  </si>
  <si>
    <t>nagashima-daiten@keio.jp</t>
  </si>
  <si>
    <t>Ohmura, Ryo/D-6035-2014; Nagashima, Hironori/N-1248-2017</t>
  </si>
  <si>
    <t>Nagashima, Hironori/0000-0002-4431-9297</t>
  </si>
  <si>
    <t>JKA. Foundation; JSPS KAKENHI [25289045]; Keio University</t>
  </si>
  <si>
    <t>JKA. Foundation; JSPS KAKENHI(Ministry of Education, Culture, Sports, Science and Technology, Japan (MEXT)Japan Society for the Promotion of ScienceGrants-in-Aid for Scientific Research (KAKENHI)); Keio University</t>
  </si>
  <si>
    <t>This study was supported by a Keirin-racing-based research-promotion fund from the JKA. Foundation and by JSPS KAKENHI Grant Number 25289045 and by a Keio University Ph. D. Program Research Grant.</t>
  </si>
  <si>
    <t>0021-9614</t>
  </si>
  <si>
    <t>1096-3626</t>
  </si>
  <si>
    <t>J CHEM THERMODYN</t>
  </si>
  <si>
    <t>J. Chem. Thermodyn.</t>
  </si>
  <si>
    <t>10.1016/j.jct.2018.07.019</t>
  </si>
  <si>
    <t>Thermodynamics; Chemistry, Physical</t>
  </si>
  <si>
    <t>Thermodynamics; Chemistry</t>
  </si>
  <si>
    <t>GR3XR</t>
  </si>
  <si>
    <t>WOS:000442531700012</t>
  </si>
  <si>
    <t>Wen, Q; Yao, J; Döös, K; Yang, HJ</t>
  </si>
  <si>
    <t>Wen, Qin; Yao, Jie; Doos, Kristofer; Yang, Haijun</t>
  </si>
  <si>
    <t>Decoding Hosing and Heating Effects on Global Temperature and Meridional Circulations in a Warming Climate</t>
  </si>
  <si>
    <t>JOURNAL OF CLIMATE</t>
  </si>
  <si>
    <t>Atmosphere-ocean interaction; Dynamics; Heating; Hydrologic cycle</t>
  </si>
  <si>
    <t>FRESH-WATER; NORTH-ATLANTIC; SEA-ICE; BJERKNES COMPENSATION; OVERTURNING CIRCULATION; POLAR AMPLIFICATION; LAST DEGLACIATION; SOUTHERN-OCEAN; SIMULATION; CONVECTION</t>
  </si>
  <si>
    <t>The global temperature changes under global warming result from two effects: one is the pure radiative heating effect caused by a change in greenhouse gases, and the other is the freshwater effect related to changes in precipitation, evaporation, and sea ice. The two effects are separated in a coupled climate model through sensitivity experiments in this study. It is indicated that freshwater change has a significant cooling effect that can mitigate the global surface warming by as much as similar to 30%. Two significant regional cooling centers occur: one in the subpolar Atlantic and one in the Southern Ocean. The subpolar Atlantic cooling, also known as the warming hole, is triggered by sea ice melting and the southward cold-water advection from the Arctic Ocean, and is sustained by the weakened Atlantic meridional overturning circulation. The Southern Ocean surface cooling is triggered by sea ice melting along the Antarctic and is maintained by the enhanced northward Ekman flow. In these two regions, the effect of freshwater flux change dominates over that of radiation flux change, controlling the sea surface temperature change in the warming climate. The freshwater flux change also results in the Bjerknes compensation, with the atmosphere heat transport change compensating the ocean heat transport change by about 80% during the transient stage of global warming. In terms of global temperature and Earth's energy balance, the freshwater change plays a stabilizing role in a warming climate.</t>
  </si>
  <si>
    <t>[Wen, Qin; Yao, Jie; Yang, Haijun] Peking Univ, Sch Phys, Lab Climate &amp; Ocean Atmosphere Studies LaCOAS, Beijing, Peoples R China; [Wen, Qin; Yao, Jie; Yang, Haijun] Peking Univ, Sch Phys, Dept Atmospher &amp; Ocean Sci, Beijing, Peoples R China; [Doos, Kristofer] Stockholm Univ, Dept Meteorol MISU, Stockholm, Sweden</t>
  </si>
  <si>
    <t>Peking University; Peking University; Stockholm University</t>
  </si>
  <si>
    <t>Yang, HJ (corresponding author), Peking Univ, Sch Phys, Lab Climate &amp; Ocean Atmosphere Studies LaCOAS, Beijing, Peoples R China.;Yang, HJ (corresponding author), Peking Univ, Sch Phys, Dept Atmospher &amp; Ocean Sci, Beijing, Peoples R China.</t>
  </si>
  <si>
    <t>hjyang@pku.edu.cn</t>
  </si>
  <si>
    <t>National Key Research and Development Program of China [2016YFA0601802]; National Natural Science Foundation of China [41725021, 91737204, 41376007]</t>
  </si>
  <si>
    <t>This work is jointly supported by the National Key Research and Development Program of China (2016YFA0601802) and the National Natural Science Foundation of China (41725021, 91737204, and 41376007). All experiments were performed on the supercomputer at LaCOAS at Peking University.</t>
  </si>
  <si>
    <t>0894-8755</t>
  </si>
  <si>
    <t>1520-0442</t>
  </si>
  <si>
    <t>J CLIMATE</t>
  </si>
  <si>
    <t>J. Clim.</t>
  </si>
  <si>
    <t>10.1175/JCLI-D-18-0297.1</t>
  </si>
  <si>
    <t>GZ6ZU</t>
  </si>
  <si>
    <t>WOS:000449623800002</t>
  </si>
  <si>
    <t>Ordoñez, AC; Bitz, CM; Blanchard-Wrigglesworth, E</t>
  </si>
  <si>
    <t>Ordonez, Ana C.; Bitz, Cecilia M.; Blanchard-Wrigglesworth, Edward</t>
  </si>
  <si>
    <t>Processes Controlling Arctic and Antarctic Sea Ice Predictability in the Community Earth System Model</t>
  </si>
  <si>
    <t>Sea ice; Climate models; Coupled models</t>
  </si>
  <si>
    <t>LOW-FREQUENCY VARIABILITY; SEASONAL TIMESCALES; CLIMATE SYSTEM; PREDICTION; OCEAN; INITIALIZATION; ATMOSPHERE; TRENDS; EXTENT; SKILL</t>
  </si>
  <si>
    <t>Sea ice predictability is a rapidly growing area of research, with most studies focusing on the Arctic. This study offers new insights by comparing predictability between the Arctic and Antarctic sea ice anomalies, focusing on the effects of regional differences in ice thickness and ocean dynamics. Predictability in simulated regional sea ice area and volume is investigated in long control runs of an Earth system model. Sea ice area predictability in the Arctic agrees with results from other studies, with features of decaying initial persistence and reemergence because of ocean mixed layer processes and memory in thick ice. In pan-Arctic averages, sea ice volume and the area covered by thick ice are the best predictors of September area for lead times greater than 2 months. In the Antarctic, area is generally the best predictor of future area for all times of year. Predictability of area in summer differs between the hemispheres because of unique aspects of the coupling between area and volume. Generally, ice volume only adds to the predictability of summer sea ice area in the Arctic. Predictability patterns vary greatly among different regions of the Arctic but share similar seasonality among regions of the Antarctic. Interactive ocean dynamics influence anomaly reemergence differently in the Antarctic than the Arctic, both for the total and regional area. In the Antarctic, ocean dynamics generally decrease the persistence of area anomalies, reducing predictability. In the Arctic, the presence of ocean dynamics improves ice area predictability, mainly through mixed layer depth variability.</t>
  </si>
  <si>
    <t>[Ordonez, Ana C.; Bitz, Cecilia M.; Blanchard-Wrigglesworth, Edward] Univ Washington, Dept Atmospher Sci, Seattle, WA 98195 USA</t>
  </si>
  <si>
    <t>University of Washington; University of Washington Seattle</t>
  </si>
  <si>
    <t>Ordoñez, AC (corresponding author), Univ Washington, Dept Atmospher Sci, Seattle, WA 98195 USA.</t>
  </si>
  <si>
    <t>ordonana@uw.edu</t>
  </si>
  <si>
    <t>Bitz, Cecilia M/S-8423-2016</t>
  </si>
  <si>
    <t>National Science Foundation; National Science Foundation Graduate Research Fellowship Grant [DGE-1256082]; ONR [N00014-15-1-2873, N00014-17-1-2986]</t>
  </si>
  <si>
    <t>National Science Foundation(National Science Foundation (NSF)); National Science Foundation Graduate Research Fellowship Grant; ONR(Office of Naval Research)</t>
  </si>
  <si>
    <t>We thank Marika Holland, Daehyun Kim, and Dargan Frierson for helpful discussions and feedback. Comments from three reviewers are greatly appreciated. Computing resources were provided by the Climate Simulation Laboratory at NCAR's Computational and Information Systems Laboratory, sponsored by the National Science Foundation and other agencies. This work was supported by National Science Foundation Graduate Research Fellowship Grant DGE-1256082 (ACO) and ONR Grants N00014-15-1-2873 (CMB) and N00014-17-1-2986 (CMB and EBW). The authors declare that they have no conflict of interest. All CESM-LENS output used in this study are available on the Earth System Grid.</t>
  </si>
  <si>
    <t>10.1175/JCLI-D-18-0348.1</t>
  </si>
  <si>
    <t>HA6RI</t>
  </si>
  <si>
    <t>WOS:000450407100003</t>
  </si>
  <si>
    <t>McCallum, AB; Wiegand, A</t>
  </si>
  <si>
    <t>McCallum, Adrian B.; Wiegand, Aaron</t>
  </si>
  <si>
    <t>Simple Method for Estimating Snow Strength Using CPT Sleeve Friction Data</t>
  </si>
  <si>
    <t>JOURNAL OF COLD REGIONS ENGINEERING</t>
  </si>
  <si>
    <t>The in situ strength of polar snow is not easily measured; most assessments rely on indices derived from snow density and/or are limited in depth. To overcome these deficiencies, modified cone penetration testing (CPT) equipment is used to obtain rate-variable tip-resistance and sleeve-friction data in Antarctic firn to depths of 10 m. A physical model of snow deformation ahead of the penetrating cone is considered to allow generation of a continuous profile of snow strength. Dynamic profiling of strength to depth in polar snow is possible using the cone penetration test. However, more in situ strength data are needed to comprehensively validate the simple method presented herein. (c) 2018 American Society of Civil Engineers.</t>
  </si>
  <si>
    <t>[McCallum, Adrian B.; Wiegand, Aaron] Univ Sunshine Coast, Fac Sci Hlth Educ &amp; Engn, Sippy Downs, Qld 4556, Australia</t>
  </si>
  <si>
    <t>University of the Sunshine Coast</t>
  </si>
  <si>
    <t>McCallum, AB (corresponding author), Univ Sunshine Coast, Fac Sci Hlth Educ &amp; Engn, Sippy Downs, Qld 4556, Australia.</t>
  </si>
  <si>
    <t>amccallu@usc.edu.au</t>
  </si>
  <si>
    <t>McCallum, Adrian/K-5796-2019</t>
  </si>
  <si>
    <t>McCallum, Adrian/0000-0002-3718-614X</t>
  </si>
  <si>
    <t>Menzies Foundation, Australia; Lankelma and Gardline Geosciences UK; British Antarctic Survey</t>
  </si>
  <si>
    <t>This work was only possible through the support of Lankelma and Gardline Geosciences UK and the British Antarctic Survey. Financial support was received from the Menzies Foundation, Australia. Assistance with the manuscript was received from Professor Elizabeth Morris, Scott Polar Research Institute, UK and from Dr. Martin Schneebeli, WSL Institute for Snow and Avalanche Research SLF. The authors also thank the reviewers for their assistance in enhancing this manuscript.</t>
  </si>
  <si>
    <t>ASCE-AMER SOC CIVIL ENGINEERS</t>
  </si>
  <si>
    <t>RESTON</t>
  </si>
  <si>
    <t>1801 ALEXANDER BELL DR, RESTON, VA 20191-4400 USA</t>
  </si>
  <si>
    <t>0887-381X</t>
  </si>
  <si>
    <t>1943-5495</t>
  </si>
  <si>
    <t>J COLD REG ENG</t>
  </si>
  <si>
    <t>J. Cold Reg. Eng.</t>
  </si>
  <si>
    <t>10.1061/(ASCE)CR.1943-5495.0000170</t>
  </si>
  <si>
    <t>Engineering, Environmental; Engineering, Civil; Geosciences, Multidisciplinary</t>
  </si>
  <si>
    <t>Engineering; Geology</t>
  </si>
  <si>
    <t>GW8SZ</t>
  </si>
  <si>
    <t>WOS:000447252500002</t>
  </si>
  <si>
    <t>Uribe, E; Vega-Gálvez, A; Vargas, N; Pasten, A; Rodríguez, K; Ah-Hen, KS</t>
  </si>
  <si>
    <t>Uribe, Elsa; Vega-Galvez, Antonio; Vargas, Natalia; Pasten, Alexis; Rodriguez, Katia; Ah-Hen, Kong Shun</t>
  </si>
  <si>
    <t>Phytochemical components and amino acid profile of brown seaweed Durvillaea antarctica as affected by air drying temperature</t>
  </si>
  <si>
    <t>JOURNAL OF FOOD SCIENCE AND TECHNOLOGY-MYSORE</t>
  </si>
  <si>
    <t>Brown seaweed Durvillaea; Bioactive components; Amino acids; Antioxidant activity; Functional food</t>
  </si>
  <si>
    <t>FUNCTIONAL-PROPERTIES; ANTIOXIDANT CAPACITY; DIETARY FIBER; MARINE-ALGAE; SARGASSUM; SYSTEM; REGION; COLOR; ORAC</t>
  </si>
  <si>
    <t>The effects of different drying temperatures between 40 and 80 degrees C on bioactive constituents and antioxidant activity of edible sub Antarctic brown seaweed, Durvillaea antarctica were studied. Dietary fibre, amino acids profile, pigments (chlorophyll and carotenoids), vitamin E, total phenolics and total flavonoids as well as antioxidant activity were determined, beside a measurement of the chromatic coordinates. The brown seaweed D. antarctica had a high content of dietary fibre and was rich in essential amino acids and drying between 40 and 80 degrees C did not influence significantly dietary fibre content nor the level of essential amino acids that remained around 44%. However, a significant degradation of the chlorophyll pigments was observed with the lowest level of the initial chlorophyll content occurring at 60 degrees C (59%). Total carotenoids content was stable during drying between 50 and 70 degrees C. Vitamin E showed no significant loss during drying at any of the assayed temperatures, which could be due to its occurrence within the lipid fraction. Drying at 40 degrees C imparted a darker brown colour to the seaweed, while a lighter brown colour was acquired as drying temperature increased. The greatest loss in total phenolics content occurred at 60 degrees C, while total flavonoids content showed a significant reduction, which declined as drying temperature increased. According to the experimental results, phenolics and flavonoids could be considered as an important source of bioactive compounds with relatively high antioxidant activity. Thus D. antarctica may satisfy the requirements for development of functional foods.</t>
  </si>
  <si>
    <t>[Uribe, Elsa; Vega-Galvez, Antonio; Vargas, Natalia; Pasten, Alexis; Rodriguez, Katia] Univ La Serena, Fac Engn, Food Engn Dept, Av Raul Bitran 1305, La Serena, Chile; [Ah-Hen, Kong Shun] Univ Austral Chile, Inst Food Sci &amp; Technol, Fac Agr Sci, Av Julio Sarrazin S-N,Campus Isla Teja, Valdivia, Chile; [Uribe, Elsa] Univ La Serena, Inst Multidisciplinary Invest Sci &amp; Technol, Av Raul Bitran 1305, La Serena, Chile</t>
  </si>
  <si>
    <t>Universidad de La Serena; Universidad Austral de Chile; Universidad de La Serena</t>
  </si>
  <si>
    <t>Ah-Hen, KS (corresponding author), Univ Austral Chile, Inst Food Sci &amp; Technol, Fac Agr Sci, Av Julio Sarrazin S-N,Campus Isla Teja, Valdivia, Chile.</t>
  </si>
  <si>
    <t>muribe@userena.cl; avegag@userena.cl; nataliavvg@live.cl; alexisfapc@gmail.com; krodrigu@userena.cl; kshun@uach.cl</t>
  </si>
  <si>
    <t>Vega-Galvez, Antonio/F-1089-2015; Ah-Hen, Kong Shun/D-2591-2011</t>
  </si>
  <si>
    <t>Vega-Galvez, Antonio/0000-0001-9991-6139; Ah-Hen, Kong Shun/0000-0003-4595-0707; Uribe, Elsa/0000-0002-7608-1180; Pasten, Alexis/0000-0002-1256-3586</t>
  </si>
  <si>
    <t>Research Department of Universidad de la Serena (DIULS Project) [PR16332]; CONICYT-Chile, Fondecyt Project [1160597]</t>
  </si>
  <si>
    <t>Research Department of Universidad de la Serena (DIULS Project); CONICYT-Chile, Fondecyt Project(Comision Nacional de Investigacion Cientifica y Tecnologica (CONICYT)CONICYT FONDECYT)</t>
  </si>
  <si>
    <t>The authors gratefully acknowledge financial support of the Research Department of Universidad de la Serena (DIULS Project No PR16332) and CONICYT-Chile, Fondecyt Project No 1160597 for publication of this research.</t>
  </si>
  <si>
    <t>SPRINGER INDIA</t>
  </si>
  <si>
    <t>NEW DELHI</t>
  </si>
  <si>
    <t>7TH FLOOR, VIJAYA BUILDING, 17, BARAKHAMBA ROAD, NEW DELHI, 110 001, INDIA</t>
  </si>
  <si>
    <t>0022-1155</t>
  </si>
  <si>
    <t>0975-8402</t>
  </si>
  <si>
    <t>J FOOD SCI TECH MYS</t>
  </si>
  <si>
    <t>J. Food Sci. Technol.-Mysore</t>
  </si>
  <si>
    <t>10.1007/s13197-018-3412-7</t>
  </si>
  <si>
    <t>HA3XF</t>
  </si>
  <si>
    <t>WOS:000450190000009</t>
  </si>
  <si>
    <t>Bergman, AS; Ade, PAR; Akers, S; Amiri, M; Austermann, JA; Beall, JA; Becker, DT; Benton, SJ; Bock, JJ; Bond, JR; Bryan, SA; Chiang, HC; Contaldi, CR; Domagalski, RS; Doré, O; Duff, SM; Duivenvoorden, AJ; Eriksen, HK; Farhang, M; Filippini, JP; Fissel, LM; Fraisse, AA; Freese, K; Galloway, M; Gambrel, AE; Gandilo, NN; Ganga, K; Grigorian, A; Gualtieri, R; Gudmundsson, JE; Halpern, M; Hartley, J; Hasselfield, M; Hilton, G; Holmes, W; Hristov, VV; Huang, Z; Hubmayr, J; Irwin, KD; Jones, WC; Khan, A; Kuo, CL; Kermish, ZD; Li, S; Mason, PV; Megerian, K; Moncelsi, L; Morford, TA; Nagy, JM; Netterfield, CB; Nolta, M; Osherson, B; Padilla, IL; Racine, B; Rahlin, AS; Redmond, S; Reintsema, C; Romualdez, LJ; Ruhl, JE; Runyan, MC; Ruud, TM; Shariff, JA; Shaw, EC; Shiu, C; Soler, JD; Song, X; Trangsrud, A; Tucker, C; Tucker, RS; Turner, AD; Ullom, J; van der List, JF; Van Lanen, J; Vissers, MR; Weber, AC; Wehus, IK; Wen, S; Wiebe, DV; Young, EY</t>
  </si>
  <si>
    <t>Bergman, A. S.; Ade, P. A. R.; Akers, S.; Amiri, M.; Austermann, J. A.; Beall, J. A.; Becker, D. T.; Benton, S. J.; Bock, J. J.; Bond, J. R.; Bryan, S. A.; Chiang, H. C.; Contaldi, C. R.; Domagalski, R. S.; Dore, O.; Duff, S. M.; Duivenvoorden, A. J.; Eriksen, H. K.; Farhang, M.; Filippini, J. P.; Fissel, L. M.; Fraisse, A. A.; Freese, K.; Galloway, M.; Gambrel, A. E.; Gandilo, N. N.; Ganga, K.; Grigorian, A.; Gualtieri, R.; Gudmundsson, J. E.; Halpern, M.; Hartley, J.; Hasselfield, M.; Hilton, G.; Holmes, W.; Hristov, V. V.; Huang, Z.; Hubmayr, J.; Irwin, K. D.; Jones, W. C.; Khan, A.; Kuo, C. L.; Kermish, Z. D.; Li, S.; Mason, P. V.; Megerian, K.; Moncelsi, L.; Morford, T. A.; Nagy, J. M.; Netterfield, C. B.; Nolta, M.; Osherson, B.; Padilla, I. L.; Racine, B.; Rahlin, A. S.; Redmond, S.; Reintsema, C.; Romualdez, L. J.; Ruhl, J. E.; Runyan, M. C.; Ruud, T. M.; Shariff, J. A.; Shaw, E. C.; Shiu, C.; Soler, J. D.; Song, X.; Trangsrud, A.; Tucker, C.; Tucker, R. S.; Turner, A. D.; Ullom, J.; van der List, J. F.; Van Lanen, J.; Vissers, M. R.; Weber, A. C.; Wehus, I. K.; Wen, S.; Wiebe, D. V.; Young, E. Y.</t>
  </si>
  <si>
    <t>280 GHz Focal Plane Unit Design and Characterization for the SPIDER-2 Suborbital Polarimeter</t>
  </si>
  <si>
    <t>JOURNAL OF LOW TEMPERATURE PHYSICS</t>
  </si>
  <si>
    <t>Detector packaging; Magnetic shielding; Transition-edge sensors; Scientific ballooning; Cosmic microwave background</t>
  </si>
  <si>
    <t>We describe the construction and characterization of the 280 GHz bolometric focal plane units (FPUs) to be deployed on the second flight of the balloon-borne SPIDER instrument. These FPUs are vital to SPIDER's primary science goal of detecting or placing an upper limit on the amplitude of the primordial gravitational wave signature in the cosmic microwave background (CMB) by constraining the B-mode contamination in the CMB from Galactic dust emission. Each 280 GHz focal plane contains a 16 x 16 grid of corrugated silicon feedhorns coupled to an array of aluminum-manganese transition-edge sensor (TES) bolometers fabricated on 150 mm diameter substrates. In total, the three 280 GHz FPUs contain 1530 polarization-sensitive bolometers (765 spatial pixels) optimized for the low loading environment in flight and read out by time-division SQUID multiplexing. In this paper, we describe the mechanical, thermal, and magnetic shielding architecture of the focal planes and present cryogenic measurements which characterize yield and the uniformity of several bolometer parameters. The assembled FPUs have high yields, with one array as high as 95% including defects from wiring and readout. We demonstrate high uniformity in device parameters, finding the median saturation power for each TES array to be similar to 3 pW at 300 mK with a less than 6% variation across each array at 1 sigma. These focal planes will be deployed alongside the 95 and 150 GHz telescopes in the SPIDER-2 instrument, slated to fly from McMurdo Station in Antarctica in December 2018.</t>
  </si>
  <si>
    <t>[Bergman, A. S.; Benton, S. J.; Fraisse, A. A.; Gambrel, A. E.; Jones, W. C.; Kermish, Z. D.; Li, S.; Shiu, C.; Song, X.; van der List, J. F.; Young, E. Y.] Princeton Univ, Dept Phys, Princeton, NJ 08544 USA; [Ade, P. A. R.; Tucker, C.] Cardiff Univ, Sch Phys &amp; Astron, Cardiff, S Glam, Wales; [Akers, S.; Nagy, J. M.; Ruhl, J. E.; Wen, S.] Case Western Reserve Univ, Dept Phys, Ctr Educ &amp; Res Cosmol &amp; Astrophys, Cleveland, OH 44106 USA; [Amiri, M.; Halpern, M.; Wiebe, D. V.] Univ British Columbia, Dept Phys &amp; Astron, Vancouver, BC, Canada; [Austermann, J. A.; Beall, J. A.; Becker, D. T.; Duff, S. M.; Grigorian, A.; Hilton, G.; Hubmayr, J.; Reintsema, C.; Ullom, J.; Van Lanen, J.; Vissers, M. R.] NIST, Boulder, CO USA; [Bock, J. J.; Dore, O.; Hristov, V. V.; Mason, P. V.; Moncelsi, L.; Morford, T. A.; Trangsrud, A.; Tucker, R. S.] CALTECH, Div Phys Math &amp; Astron, Pasadena, CA 91125 USA; [Bock, J. J.; Dore, O.; Holmes, W.; Megerian, K.; Runyan, M. C.; Trangsrud, A.; Turner, A. D.; Weber, A. C.] Jet Prop Lab, Pasadena, CA USA; [Bond, J. R.; Farhang, M.; Huang, Z.; Nolta, M.; Shariff, J. A.] Univ Toronto, Canadian Inst Theoret Astrophys, Toronto, ON, Canada; [Bryan, S. A.] Arizona State Univ, Sch Earth &amp; Space Explorat, Tempe, AZ USA; [Chiang, H. C.] Univ KwaZulu Natal, Sch Math Stat &amp; Comp Sci, Durban, South Africa; [Chiang, H. C.] Natl Inst Theoret Phys NITheP, Johannesburg, Kwazulu Natal, South Africa; [Contaldi, C. R.] Imperial Coll London, Blackett Lab, London SW7 2AZ, England; [Domagalski, R. S.; Farhang, M.; Fissel, L. M.; Li, S.; Netterfield, C. B.; Padilla, I. L.] Univ Toronto, Dept Astron &amp; Astrophys, Toronto, ON, Canada; [Duivenvoorden, A. J.; Freese, K.; Gudmundsson, J. E.] Stockholm Univ, Dept Phys, Oskar Klein Ctr Cosmoparticle Phys, Stockholm, Sweden; [Eriksen, H. K.; Racine, B.; Ruud, T. M.; Wehus, I. K.] Univ Oslo, Inst Theoret Astrophys, Oslo, Norway; [Filippini, J. P.; Gualtieri, R.; Khan, A.; Osherson, B.; Shaw, E. C.] Univ Illinois, Dept Phys, Urbana, IL USA; [Filippini, J. P.] Univ Illinois, Dept Astron, Urbana, IL USA; [Fissel, L. M.] Natl Radio Astron Observ, Charlottesville, NC USA; [Freese, K.] Univ Michigan, Dept Phys, Ann Arbor, MI 48109 USA; [Galloway, M.; Hartley, J.; Netterfield, C. B.] Univ Toronto, Dept Phys, Toronto, ON, Canada; [Gandilo, N. N.; Padilla, I. L.] Johns Hopkins Univ, Dept Phys &amp; Astron, Baltimore, MD 21218 USA; [Gandilo, N. N.] NASA, Goddard Space Flight Ctr, Greenbelt, MD USA; [Ganga, K.] Univ Paris Diderot, Sorbonne Paris Cite, APC, CEA,Irfu,Observ Paris,CNRS,IN2P3, Paris, France; [Hasselfield, M.] Penn State Univ, University Pk, PA 16802 USA; [Irwin, K. D.; Kuo, C. L.] Stanford Univ, Dept Phys, Stanford, CA 94305 USA; [Irwin, K. D.] SLAC Natl Accelerator Lab, Menlo Pk, CA USA; [Li, S.] Princeton Univ, Dept Mech &amp; Aerosp Engn, Princeton, NJ 08544 USA; [Nagy, J. M.] Univ Toronto, Dunlap Inst Astron &amp; Astrophys, Toronto, ON, Canada; [Racine, B.] Harvard Smithsonian Ctr Astrophys, 60 Garden St, Cambridge, MA 02138 USA; [Rahlin, A. S.] Fermilab Natl Accelerator Lab, POB 500, Batavia, IL 60510 USA; [Rahlin, A. S.] Univ Chicago, Kavli Inst Cosmol Phys, Chicago, IL 60637 USA; [Redmond, S.; Romualdez, L. J.] Univ Toronto, Inst Aerosp Studies, Toronto, ON, Canada; [Soler, J. D.] Max Planck Inst Astron, Heidelberg, Germany</t>
  </si>
  <si>
    <t>Princeton University; Cardiff University; University System of Ohio; Case Western Reserve University; University of British Columbia; National Institute of Standards &amp; Technology (NIST) - USA; California Institute of Technology; National Aeronautics &amp; Space Administration (NASA); NASA Jet Propulsion Laboratory (JPL); University of Toronto; Arizona State University; Arizona State University-Tempe; University of Kwazulu Natal; Imperial College London; University of Toronto; Stockholm University; Oskar Klein Centre; University of Oslo; University of Illinois System; University of Illinois Urbana-Champaign; University of Illinois System; University of Illinois Urbana-Champaign; National Radio Astronomy Observatory (NRAO); University of Michigan System; University of Michigan; University of Toronto; Johns Hopkins University; National Aeronautics &amp; Space Administration (NASA); NASA Goddard Space Flight Center; Universite PSL; Observatoire de Paris; CEA; Centre National de la Recherche Scientifique (CNRS); Universite Paris Cite; CNRS - National Institute of Nuclear and Particle Physics (IN2P3); Pennsylvania Commonwealth System of Higher Education (PCSHE); Pennsylvania State University; Pennsylvania State University - University Park; Stanford University; Stanford University; United States Department of Energy (DOE); SLAC National Accelerator Laboratory; Princeton University; University of Toronto; Smithsonian Institution; Harvard University; Smithsonian Astrophysical Observatory; United States Department of Energy (DOE); University of Chicago; Fermi National Accelerator Laboratory; University of Chicago; University of Toronto; Max Planck Society</t>
  </si>
  <si>
    <t>Bergman, AS (corresponding author), Princeton Univ, Dept Phys, Princeton, NJ 08544 USA.</t>
  </si>
  <si>
    <t>stevie@princeton.edu</t>
  </si>
  <si>
    <t>jones, william C/AGJ-6132-2022; Moncelsi, Lorenzo/AAU-1009-2020; Ruhl, John/HHS-2212-2022; Gualtieri, Riccardo/AAH-2961-2019; Huang, Zhiqi/JVN-7317-2024</t>
  </si>
  <si>
    <t>jones, william C/0000-0002-3636-1241; Moncelsi, Lorenzo/0000-0002-4242-3015; Ruhl, John/0000-0001-5875-4751; Gualtieri, Riccardo/0000-0003-4245-2315; Huang, Zhiqi/0000-0002-1506-1063; Soler, Juan Diego/0000-0002-0294-4465; Nagy, Johanna/0000-0002-2036-7008; Tucker, Carole/0000-0002-1851-3918; Li, Lun/0000-0002-8896-911X; AUSTERMANN, JASON/0000-0002-6338-0069; Bergman, Stevie/0000-0002-4331-1357; Racine, Benjamin/0000-0001-8861-3052; Irwin, Kent/0000-0002-2998-9743; Duivenvoorden, Adri/0000-0003-2856-2382; Contaldi, Carlo/0000-0001-7285-0707; Galloway, Mathew/0000-0001-9279-137X; Chiang, Hsin/0000-0002-4098-9533</t>
  </si>
  <si>
    <t>National Aeronautics and Space Administration through the Science Mission Directorate [NNX17AC55G, NNX12AE95G]; National Science Foundation [PLR-1043515]; Department of Energy [DE-SC007859]; National Science Foundation Graduate Research Fellowship; NSF through the U.S. Antarctic Program; National Sciences and Engineering Council; Canadian Space Agency; Research Council of Norway; Swedish Research Council through the Oskar Klein Centre [638-2013-8993]; David and Lucile Packard Foundation; STFC [ST/N000838/1, ST/P000762/1] Funding Source: UKRI</t>
  </si>
  <si>
    <t>National Aeronautics and Space Administration through the Science Mission Directorate; National Science Foundation(National Science Foundation (NSF)); Department of Energy(United States Department of Energy (DOE)); National Science Foundation Graduate Research Fellowship(National Science Foundation (NSF)); NSF through the U.S. Antarctic Program; National Sciences and Engineering Council; Canadian Space Agency(Canadian Space Agency); Research Council of Norway(Research Council of Norway); Swedish Research Council through the Oskar Klein Centre(Swedish Research Council); David and Lucile Packard Foundation(The David &amp; Lucile Packard Foundation); STFC(UK Research &amp; Innovation (UKRI)Science &amp; Technology Facilities Council (STFC))</t>
  </si>
  <si>
    <t>SPIDER is supported in the USA by the National Aeronautics and Space Administration under Grant Nos. NNX17AC55G and NNX12AE95G issued through the Science Mission Directorate and by the National Science Foundation through PLR-1043515. Additional support is provided by the Department of Energy Grant DE-SC007859. Corresponding author is supported by a National Science Foundation Graduate Research Fellowship. Logistical support for the Antarctic deployment and operations was provided by the NSF through the U.S. Antarctic Program. Support in Canada is provided by the National Sciences and Engineering Council and the Canadian Space Agency. Support in Norway is provided by the Research Council of Norway. Support in Sweden is provided by the Swedish Research Council through the Oskar Klein Centre (Contract No. 638-2013-8993). We also wish to acknowledge the generous support of the David and Lucile Packard Foundation, which has been crucial to the success of the project. The collaboration is grateful to the British Antarctic Survey, particularly Sam Burrell, for invaluable assistance with data and payload recovery after the 2015 flight.</t>
  </si>
  <si>
    <t>0022-2291</t>
  </si>
  <si>
    <t>1573-7357</t>
  </si>
  <si>
    <t>J LOW TEMP PHYS</t>
  </si>
  <si>
    <t>J. Low Temp. Phys.</t>
  </si>
  <si>
    <t>5-6</t>
  </si>
  <si>
    <t>10.1007/s10909-018-2065-2</t>
  </si>
  <si>
    <t>Physics, Applied; Physics, Condensed Matter</t>
  </si>
  <si>
    <t>HC3WU</t>
  </si>
  <si>
    <t>WOS:000451734500056</t>
  </si>
  <si>
    <t>Gualtieri, R; Filippini, JP; Ade, PAR; Amiri, M; Benton, SJ; Bergman, AS; Bihary, R; Bock, JJ; Bond, JR; Bryan, SA; Chiang, HC; Contaldi, CR; Doré, O; Duivenvoorden, AJ; Eriksen, HK; Farhang, M; Fissel, LM; Fraisse, AA; Freese, K; Galloway, M; Gambrel, AE; Gandilo, NN; Ganga, K; Gramillano, RV; Gudmundsson, JE; Halpern, M; Hartley, J; Hasselfield, M; Hilton, G; Holmes, W; Hristov, VV; Huang, Z; Irwin, KD; Jones, WC; Kuo, CL; Kermish, ZD; Li, S; Mason, PV; Megerian, K; Moncelsi, L; Morford, TA; Nagy, JM; Netterfield, CB; Nolta, M; Osherson, B; Padilla, IL; Racine, B; Rahlin, AS; Reintsema, C; Ruhl, JE; Runyan, MC; Ruud, TM; Shariff, JA; Soler, JD; Song, X; Trangsrud, A; Tucker, C; Tucker, RS; Turner, AD; van der List, JF; Weber, AC; Wehus, IK; Wiebe, DV; Young, EY</t>
  </si>
  <si>
    <t>Gualtieri, R.; Filippini, J. P.; Ade, P. A. R.; Amiri, M.; Benton, S. J.; Bergman, A. S.; Bihary, R.; Bock, J. J.; Bond, J. R.; Bryan, S. A.; Chiang, H. C.; Contaldi, C. R.; Dore, O.; Duivenvoorden, A. J.; Eriksen, H. K.; Farhang, M.; Fissel, L. M.; Fraisse, A. A.; Freese, K.; Galloway, M.; Gambrel, A. E.; Gandilo, N. N.; Ganga, K.; Gramillano, R. V.; Gudmundsson, J. E.; Halpern, M.; Hartley, J.; Hasselfield, M.; Hilton, G.; Holmes, W.; Hristov, V. V.; Huang, Z.; Irwin, K. D.; Jones, W. C.; Kuo, C. L.; Kermish, Z. D.; Li, S.; Mason, P. V.; Megerian, K.; Moncelsi, L.; Morford, T. A.; Nagy, J. M.; Netterfield, C. B.; Nolta, M.; Osherson, B.; Padilla, I. L.; Racine, B.; Rahlin, A. S.; Reintsema, C.; Ruhl, J. E.; Runyan, M. C.; Ruud, T. M.; Shariff, J. A.; Soler, J. D.; Song, X.; Trangsrud, A.; Tucker, C.; Tucker, R. S.; Turner, A. D.; van der List, J. F.; Weber, A. C.; Wehus, I. K.; Wiebe, D. V.; Young, E. Y.</t>
  </si>
  <si>
    <t>SPIDER: CMB Polarimetry from the Edge of Space</t>
  </si>
  <si>
    <t>Cosmic microwave background; Inflation; Bolometers; Transition-edge sensors; Polarimetry</t>
  </si>
  <si>
    <t>BICEP</t>
  </si>
  <si>
    <t>SPIDER is a balloon-borne instrument designed to map the polarization of the millimeter-wave sky at large angular scales. Spider targets the B-mode signature of primordial gravitational waves in the cosmic microwave background (CMB), with a focus on mapping a large sky area with high fidelity at multiple frequencies. SPIDER's first long-duration balloon (LDB) flight in January 2015 deployed a total of 2400 antenna-coupled transition-edge sensors (TESs) at 90 GHz and 150 GHz. In this work we review the design and in-flight performance of the SPIDER instrument, with a particular focus on the measured performance of the detectors and instrument in a space-like loading and radiation environment. SPIDER's second flight in December 2018 will incorporate payload upgrades and new receivers to map the sky at 285 GHz, providing valuable information for cleaning polarized dust emission from CMB maps.</t>
  </si>
  <si>
    <t>[Gualtieri, R.; Filippini, J. P.; Gramillano, R. V.; Osherson, B.] Univ Illinois, Dept Phys, Urbana, IL 61801 USA; [Filippini, J. P.] Univ Illinois, Dept Astron, Urbana, IL USA; [Ade, P. A. R.; Tucker, C.] Cardiff Univ, Sch Phys &amp; Astron, Cardiff CF24 3AA, S Glam, Wales; [Amiri, M.; Halpern, M.; Wiebe, D. V.] Univ British Columbia, Dept Phys &amp; Astron, Vancouver, BC, Canada; [Benton, S. J.; Bergman, A. S.; Fraisse, A. A.; Gambrel, A. E.; Jones, W. C.; Kermish, Z. D.; Li, S.; Song, X.; van der List, J. F.; Young, E. Y.] Princeton Univ, Dept Phys, Princeton, NJ 08544 USA; [Bihary, R.; Nagy, J. M.; Ruhl, J. E.] Case Western Reserve Univ, Dept Phys, Ctr Educ &amp; Res Cosmol &amp; Astrophys, Cleveland, OH 44106 USA; [Bock, J. J.; Dore, O.; Hristov, V. V.; Mason, P. V.; Moncelsi, L.; Morford, T. A.; Trangsrud, A.; Tucker, R. S.] CALTECH, Div Phys Math &amp; Astron, Pasadena, CA 91125 USA; [Bock, J. J.; Dore, O.; Holmes, W.; Megerian, K.; Runyan, M. C.; Trangsrud, A.; Turner, A. D.; Weber, A. C.] Jet Prop Lab, Pasadena, CA USA; [Bond, J. R.; Farhang, M.; Huang, Z.; Nolta, M.; Shariff, J. A.] Univ Toronto, Canadian Inst Theoret Astrophys, Toronto, ON, Canada; [Bryan, S. A.] Arizona State Univ, Sch Earth &amp; Space Explorat, Tempe, AZ USA; [Chiang, H. C.] Univ KwaZulu Natal, Sch Math Stat &amp; Comp Sci, Durban, South Africa; [Chiang, H. C.] Natl Inst Theoret Phys NITheP, Durban, Kwazulu Natal, South Africa; [Contaldi, C. R.] Imperial Coll London, Blackett Lab, London, England; [Duivenvoorden, A. J.; Freese, K.; Gudmundsson, J. E.] Stockholm Univ, Dept Phys, Oskar Klein Ctr Cosmoparticle Phys, Stockholm, Sweden; [Eriksen, H. K.; Racine, B.; Ruud, T. M.; Wehus, I. K.] Univ Oslo, Inst Theoret Astrophys, Oslo, Norway; [Fissel, L. M.; Li, S.; Netterfield, C. B.; Padilla, I. L.] Univ Toronto, Dept Astron &amp; Astrophys, Toronto, ON, Canada; [Fissel, L. M.] Natl Radio Astron Observ, Charlottesville, NC USA; [Freese, K.] Univ Michigan, Dept Phys, Ann Arbor, MI 48109 USA; [Galloway, M.; Hartley, J.; Netterfield, C. B.] Univ Toronto, Dept Phys, Toronto, ON, Canada; [Gandilo, N. N.; Padilla, I. L.] Johns Hopkins Univ, Dept Phys &amp; Astron, Baltimore, MD 21218 USA; [Gandilo, N. N.] NASA, Goddard Space Flight Ctr, Greenbelt, MD USA; [Ganga, K.] Univ Paris Diderot, Sorbonne Paris Cite, APC, CEA,Irfu,Observ Paris,CNRS,IN2PE, Paris, France; [Hasselfield, M.] Penn State Univ, University Pk, PA 16802 USA; [Hilton, G.; Reintsema, C.] NIST, Boulder, CO USA; [Irwin, K. D.; Kuo, C. L.] Stanford Univ, Dept Phys, Stanford, CA 94305 USA; [Irwin, K. D.] SLAC Natl Accelerator Lab, Menlo Pk, CA USA; [Li, S.] Princeton Univ, Dept Mech &amp; Aerosp Engn, Princeton, NJ 08544 USA; [Nagy, J. M.] Univ Toronto, Dunlap Inst Astron &amp; Astrophys, Toronto, ON, Canada; [Racine, B.] Harvard Smithsonian Ctr Astrophys, 60 Garden St, Cambridge, MA 02138 USA; [Rahlin, A. S.] Fermilab Natl Accelerator Lab, POB 500, Batavia, IL 60510 USA; [Rahlin, A. S.] Univ Chicago, Kavli Inst Cosmol Phys, Chicago, IL 60637 USA; [Soler, J. D.] Max Planck Inst Astron, Heidelberg, Germany; [Soler, J. D.] Univ Paris Diderot, Lab AIM, Paris Saclay, CEA,IRFU,Sap,CNRS, Gif Sur Yvette, France; [Farhang, M.] Shahid Beheshti Univ, Dept Phys, Tehran, Iran</t>
  </si>
  <si>
    <t>University of Illinois System; University of Illinois Urbana-Champaign; University of Illinois System; University of Illinois Urbana-Champaign; Cardiff University; University of British Columbia; Princeton University; University System of Ohio; Case Western Reserve University; California Institute of Technology; National Aeronautics &amp; Space Administration (NASA); NASA Jet Propulsion Laboratory (JPL); University of Toronto; Arizona State University; Arizona State University-Tempe; University of Kwazulu Natal; Imperial College London; Oskar Klein Centre; Stockholm University; University of Oslo; University of Toronto; National Radio Astronomy Observatory (NRAO); University of Michigan System; University of Michigan; University of Toronto; Johns Hopkins University; National Aeronautics &amp; Space Administration (NASA); NASA Goddard Space Flight Center; Universite PSL; Observatoire de Paris; CEA; Centre National de la Recherche Scientifique (CNRS); Universite Paris Cite; Pennsylvania Commonwealth System of Higher Education (PCSHE); Pennsylvania State University; Pennsylvania State University - University Park; National Institute of Standards &amp; Technology (NIST) - USA; Stanford University; Stanford University; United States Department of Energy (DOE); SLAC National Accelerator Laboratory; Princeton University; University of Toronto; Harvard University; Smithsonian Institution; Smithsonian Astrophysical Observatory; United States Department of Energy (DOE); University of Chicago; Fermi National Accelerator Laboratory; University of Chicago; Max Planck Society; Universite Paris Saclay; CEA; Centre National de la Recherche Scientifique (CNRS); Universite Paris Cite; Shahid Beheshti University</t>
  </si>
  <si>
    <t>Gualtieri, R (corresponding author), Univ Illinois, Dept Phys, Urbana, IL 61801 USA.</t>
  </si>
  <si>
    <t>rgualtie@illinois.edu</t>
  </si>
  <si>
    <t>jones, william C/0000-0002-3636-1241; Moncelsi, Lorenzo/0000-0002-4242-3015; Ruhl, John/0000-0001-5875-4751; Gualtieri, Riccardo/0000-0003-4245-2315; Huang, Zhiqi/0000-0002-1506-1063; Soler, Juan Diego/0000-0002-0294-4465; Duivenvoorden, Adri/0000-0003-2856-2382; Chiang, Hsin/0000-0002-4098-9533; Racine, Benjamin/0000-0001-8861-3052; Li, Lun/0000-0002-8896-911X; Tucker, Carole/0000-0002-1851-3918; Irwin, Kent/0000-0002-2998-9743; Nagy, Johanna/0000-0002-2036-7008; Contaldi, Carlo/0000-0001-7285-0707; Galloway, Mathew/0000-0001-9279-137X</t>
  </si>
  <si>
    <t>NASA [14-SAT14-0009]; National Sciences and Engineering Council; Canadian Space Agency; Research Council of Norway; Swedish Research Council through the Oskar Klein Centre [638-2013-8993]; DoE at the University of Michigan [DE-SC0007859]; David and Lucile Packard Foundation; STFC [ST/P000762/1, ST/N000838/1, ST/L00044X/1] Funding Source: UKRI</t>
  </si>
  <si>
    <t>NASA(National Aeronautics &amp; Space Administration (NASA)); National Sciences and Engineering Council; Canadian Space Agency(Canadian Space Agency); Research Council of Norway(Research Council of Norway); Swedish Research Council through the Oskar Klein Centre(Swedish Research Council); DoE at the University of Michigan; David and Lucile Packard Foundation(The David &amp; Lucile Packard Foundation); STFC(UK Research &amp; Innovation (UKRI)Science &amp; Technology Facilities Council (STFC))</t>
  </si>
  <si>
    <t>SPIDER is supported in the USA by the National Aeronautics and Space Administration under Grants NNX07AL64G, NNX12AE95G, and NNX17AC55G issued through the Science Mission Directorate and by the National Science Foundation through PLR-1043515. Logistical support for the Antarctic deployment and operations was provided by the NSF through the US Antarctic Program. Cosmic ray response studies are supported by NASA under Grant 14-SAT14-0009. Support in Canada is provided by the National Sciences and Engineering Council and the Canadian Space Agency. Support in Norway is provided by the Research Council of Norway. Support in Sweden is provided by the Swedish Research Council through the Oskar Klein Centre (Contract no. 638-2013-8993). KF acknowledges support from DoE Grant DE-SC0007859 at the University of Michigan. The collaboration is grateful to the British Antarctic Survey, particularly Sam Burrell, for invaluable assistance with data and payload recovery after the 2015 flight. We also wish to acknowledge the generous support of the David and Lucile Packard Foundation, which has been crucial to the success of the project.</t>
  </si>
  <si>
    <t>10.1007/s10909-018-2078-x</t>
  </si>
  <si>
    <t>WOS:000451734500060</t>
  </si>
  <si>
    <t>Szufa, KM; Mietelski, JW; Anczkiewicz, R; Sala, D; Olech, MA</t>
  </si>
  <si>
    <t>Szufa, Katarzyna M.; Mietelski, Jerzy W.; Anczkiewicz, Robert; Sala, Dariusz; Olech, Maria A.</t>
  </si>
  <si>
    <t>Variations of plutonium isotopic ratios in Antarctic ecosystems</t>
  </si>
  <si>
    <t>JOURNAL OF RADIOANALYTICAL AND NUCLEAR CHEMISTRY</t>
  </si>
  <si>
    <t>Plutonium ratios; Antarctica; Marine versus terrestrial ecosystems; Inductively coupled plasma mass spectrometry (ICP-MS); Alpha spectrometry</t>
  </si>
  <si>
    <t>SR-90; AM-241; CS-137; RADIONUCLIDES; AMERICIUM; PU239+240; SAMPLES; BONES; CHERNOBYL; EMITTERS</t>
  </si>
  <si>
    <t>The aim of the article was to verify the hypothesis concerning the diversification of plutonium sources in the natural environment of Antarctica. Plutonium activity and atom ratios were analyzed in two groups of biological samples: terrestrial and marine. Both isotopic ratios in the terrestrial set were consistent with global radioactive fallout ratios. The average activity ratio in the marine ecosystem was lower than global radioactive fallout. At the same time mass ratio values in this group turned out to be surprisingly varied. Analysis of the results showed statistically significant differences between the marine and terrestrial ecosystems.</t>
  </si>
  <si>
    <t>[Szufa, Katarzyna M.; Mietelski, Jerzy W.] Polish Acad Sci, Inst Nucl Phys, Radzikowskiego 152, PL-31342 Krakow, Poland; [Anczkiewicz, Robert; Sala, Dariusz] Polish Acad Sci, Res Ctr Krakow, Inst Geol Sci, Senacka 1, PL-31002 Krakow, Poland; [Olech, Maria A.] Jagiellonian Univ, Inst Bot, Gronostajowa 3, PL-30387 Krakow, Poland; [Olech, Maria A.] Polish Acad Sci, Inst Biochem &amp; Biophys, Dept Antarct Biol, Pawinskiego 5a, PL-02106 Warsaw, Poland</t>
  </si>
  <si>
    <t>Polish Academy of Sciences; Institute of Nuclear Physics - Polish Academy of Sciences; Polish Academy of Sciences; Institute of Geological Sciences of the Polish Academy of Sciences; Jagiellonian University; Polish Academy of Sciences; Institute of Biochemistry &amp; Biophysics - Polish Academy of Sciences</t>
  </si>
  <si>
    <t>Szufa, KM (corresponding author), Polish Acad Sci, Inst Nucl Phys, Radzikowskiego 152, PL-31342 Krakow, Poland.</t>
  </si>
  <si>
    <t>k.szufa@gmail.com</t>
  </si>
  <si>
    <t>Sala, Dariusz/ABB-9399-2021; Mietelski, Jerzy Wojciech/AAO-5241-2021; Szufa, Katarzyna/AAI-4989-2021</t>
  </si>
  <si>
    <t>Sala, Dariusz/0000-0003-1723-0008; Mietelski, Jerzy Wojciech/0000-0002-9430-1386; Szufa, Katarzyna/0000-0002-6973-0920; Anczkiewicz, Robert/0000-0001-6541-5192</t>
  </si>
  <si>
    <t>National Science Center, Poland [2015/17/N/ST10/03116]</t>
  </si>
  <si>
    <t>National Science Center, Poland(National Science Centre, Poland)</t>
  </si>
  <si>
    <t>The research was supported by National Science Center, Poland; Research Project No. 2015/17/N/ST10/03116.</t>
  </si>
  <si>
    <t>0236-5731</t>
  </si>
  <si>
    <t>1588-2780</t>
  </si>
  <si>
    <t>J RADIOANAL NUCL CH</t>
  </si>
  <si>
    <t>J. Radioanal. Nucl. Chem.</t>
  </si>
  <si>
    <t>10.1007/s10967-018-6274-6</t>
  </si>
  <si>
    <t>Chemistry, Analytical; Chemistry, Inorganic &amp; Nuclear; Nuclear Science &amp; Technology</t>
  </si>
  <si>
    <t>Chemistry; Nuclear Science &amp; Technology</t>
  </si>
  <si>
    <t>HC4BA</t>
  </si>
  <si>
    <t>WOS:000451746300006</t>
  </si>
  <si>
    <t>Ebihara, M; Shirai, N; Bennett, JW; Stopic, AJ</t>
  </si>
  <si>
    <t>Ebihara, Mitsuru; Shirai, Naoki; Bennett, John W.; Stopic, Attila J.</t>
  </si>
  <si>
    <t>A comparison of INAA and ICP-MS/ICP-AES methods for the analysis of meteorite samples</t>
  </si>
  <si>
    <t>Instrumental neutron activation analysis (INAA); Inductively coupled plasma atomic emission spectrometry (ICP-AES); ICP mass spectrometry (ICP-MS); Meteorites</t>
  </si>
  <si>
    <t>NEUTRON-ACTIVATION ANALYSIS; RARE-EARTH-ELEMENTS; CHONDRITIC METEORITES; TRACE HALOGENS; ROCK SAMPLES; CLASSIFICATION; THORIUM; URANIUM</t>
  </si>
  <si>
    <t>Instrumental neutron activation analysis (INAA), inductively coupled plasma atomic emission spectrometry (ICP-AES) and ICP mass spectrometry (ICP-MS) (hereafter, ICPs) were applied to meteorite samples for the determination of elemental content. The analytical applicability and suitability of the three methods have been compared. Those comparisons led to the refinement of our analytical procedures for INAA and ICPs, yielding more reliable data. Our INAA data proved to be reliable enough for classifying meteorites, while the ICPs, especially ICP-MS, can characterize elemental abundance features in detail, as demonstrated by REE abundance patterns for the Allende meteorite. In this manner, INAA and ICPs can be used in a complementary fashion in cosmochemical studies.</t>
  </si>
  <si>
    <t>[Ebihara, Mitsuru; Shirai, Naoki] Tokyo Metropolitan Univ, Dept Chem, 1-1 Minami Osawa, Hachioji, Tokyo 1920397, Japan; [Bennett, John W.; Stopic, Attila J.] ANSTO, Lucas Heights, NSW, Australia; [Ebihara, Mitsuru] Waseda Univ, Dept Earth Sci, Shinjuku Ku, 1-6-1 Nishi Waseda, Tokyo 1698050, Japan</t>
  </si>
  <si>
    <t>Tokyo Metropolitan University; Australian Nuclear Science &amp; Technology Organisation; Waseda University</t>
  </si>
  <si>
    <t>Ebihara, M (corresponding author), Tokyo Metropolitan Univ, Dept Chem, 1-1 Minami Osawa, Hachioji, Tokyo 1920397, Japan.;Ebihara, M (corresponding author), Waseda Univ, Dept Earth Sci, Shinjuku Ku, 1-6-1 Nishi Waseda, Tokyo 1698050, Japan.</t>
  </si>
  <si>
    <t>ebiharamitsuru@aoni.waseda.jp</t>
  </si>
  <si>
    <t>Stopic, Attila/AFY-6795-2022</t>
  </si>
  <si>
    <t>Stopic, Attila/0000-0003-0680-4387; Ebihara, Mitsuru/0000-0003-4213-1677</t>
  </si>
  <si>
    <t>Japanese Ministry of Education, Culture, Sports, Science and Technology, MEXT [25246038]; Grants-in-Aid for Scientific Research [25246038] Funding Source: KAKEN</t>
  </si>
  <si>
    <t>Japanese Ministry of Education, Culture, Sports, Science and Technology, MEXT(Ministry of Education, Culture, Sports, Science and Technology, Japan (MEXT)); Grants-in-Aid for Scientific Research(Ministry of Education, Culture, Sports, Science and Technology, Japan (MEXT)Japan Society for the Promotion of ScienceGrants-in-Aid for Scientific Research (KAKENHI))</t>
  </si>
  <si>
    <t>The Antarctic meteorites used in this study were loaned by the National Institute of Polar Research, Japan, to which our thanks go. This work was financially supported in part by a grant-in-aid defrayed by the Japanese Ministry of Education, Culture, Sports, Science and Technology, MEXT (#25246038 to ME).</t>
  </si>
  <si>
    <t>10.1007/s10967-018-6309-z</t>
  </si>
  <si>
    <t>WOS:000451746300019</t>
  </si>
  <si>
    <t>Zaffarana, C; Gallastegui, G; Lagorio, S; Poma, S; Busteros, A; Varela, SS; Orts, D; Nieto, DS; Giacosa, R; González, VR; Puigdomenech, C; Boltshausera, B; Somoza, R</t>
  </si>
  <si>
    <t>Zaffarana, Claudia; Gallastegui, Gloria; Lagorio, Silvia; Poma, Stella; Busteros, Alicia; Varela, Samanta Serra; Orts, Dario; Nieto, Diego Silva; Giacosa, Raul; Gonzalez, Victor Ruiz; Puigdomenech, Carla; Boltshausera, Barbara; Somoza, Ruben</t>
  </si>
  <si>
    <t>Geochemical signature and reservoir conditions of Early Jurassic calc-alkaline volcanic rocks from Lonco Trapial Formation, Central Patagonia</t>
  </si>
  <si>
    <t>JOURNAL OF SOUTH AMERICAN EARTH SCIENCES</t>
  </si>
  <si>
    <t>Andesite; Jurassic; Mineral chemistry; Whole-rock geochemistry; Central patagonia</t>
  </si>
  <si>
    <t>KATERINA RING COMPLEX; BREAK-UP; CLINOPYROXENE COMPOSITION; EXPERIMENTAL CALIBRATION; ARGENTINA IMPLICATIONS; ANTARCTIC PENINSULA; SUBDUCTION ZONES; EARTH-ELEMENTS; ICP-MS; HORNBLENDE</t>
  </si>
  <si>
    <t>Central Patagonia is traversed by a belt of Early to Middle Jurassic calc-alkaline intermediate volcanic rocks interspersed with more felsic volcanic rocks which are associated with the widespread magmatism that took place during Gondwana break-up times. This work uses K-Ar and Ar-Ar dating and whole-rock and phenocryst (plagioclase, amphibole, clinopyroxene and titanomagnetite) compositional data to refine the age, geochemical signature and reservoir conditions of these volcanic rocks, which are known as Lonco Trapial Formation. The andesites, dacites and trachydacites which were the object of this study have either amphibole or clinopyroxene as the main mafic phenocryst (amphibole-bearing and clinopyroxene-bearing volcanic rocks, respectively), though amphibole is the main mafic phase. Despite the calc-alkaline signature a mild alkaline affinity emerges from some whole-rock trace elements content and from mineral chemistry (amphibole, clinopyroxene and titanomagnetite compositions). The magmatic evolution of the Lonco Trapial andesites, dacites and trachydacites was governed by fractionation of amphibole, clinopyroxene, plagioclase, titanite, titanomagnetite and apatite. Amphibole phenocrysts show an overall normal chemical zoning. The cores of the amphiboles crystallized over a temperature range of 869-916 degrees C, whereas the rims crystallized over a temperature range of 826-867 degrees C. Shallow to intermediate depths (2-8 kbar, similar to 7-26 km) were inferred from geobarometric calculations. Crystallization temperatures are slightly higher in the clinopyroxene-bearing volcanic rocks, consistent with their more primitive character. The geobarometric estimations of this work are coherent with the lack of marine ingressions and with geophysical estimations which suggest that the Early Jurassic Moho depth would have been &gt;= 35 km The combination of whole-rock and mineral geochemistry is consistent with an extensional affinity for this paleo-volcanic belt.</t>
  </si>
  <si>
    <t>[Zaffarana, Claudia; Varela, Samanta Serra; Orts, Dario; Giacosa, Raul; Boltshausera, Barbara] Univ Nacl Rio Negro, Av Julio A Roca 1242 Gen Roca, RA-8332 Pcia, De Rio Negro, Argentina; [Zaffarana, Claudia; Poma, Stella; Varela, Samanta Serra; Orts, Dario; Gonzalez, Victor Ruiz; Puigdomenech, Carla; Boltshausera, Barbara; Somoza, Ruben] Consejo Nacl Invest Cient &amp; Tecn, Buenos Aires, DF, Argentina; [Gallastegui, Gloria] IGME, Madrid, Spain; [Lagorio, Silvia; Busteros, Alicia; Nieto, Diego Silva; Giacosa, Raul] Serv Geol Minero Argentino SEGEMAR, Buenos Aires, DF, Argentina; [Poma, Stella; Gonzalez, Victor Ruiz; Puigdomenech, Carla] Univ Buenos Aires, FCEyN, Dept Geol, Buenos Aires, DF, Argentina</t>
  </si>
  <si>
    <t>Consejo Nacional de Investigaciones Cientificas y Tecnicas (CONICET); University of Buenos Aires</t>
  </si>
  <si>
    <t>Zaffarana, C (corresponding author), Inst Invest Paleobiol &amp; Geol, Av Julio A Roca 1242, RA-8332 Pcia, De Rio Negro, Argentina.</t>
  </si>
  <si>
    <t>cbzaffarana@gmail.com</t>
  </si>
  <si>
    <t>Ruiz González, Víctor/JXX-2358-2024</t>
  </si>
  <si>
    <t>Ruiz González, Víctor/0000-0003-4456-5321; Orts, Dario Leandro/0000-0002-9789-0606; Serra-Varela, Samanta/0000-0003-3947-3289; Zaffarana, Claudia/0000-0002-3655-2814</t>
  </si>
  <si>
    <t>PIP CONICET [112-200901-00766, PICT 2014-1394]; Torandes Project from the Plan de I + D + i Espanol [CGL 2012-38396-C03]; UE-FEDER funds</t>
  </si>
  <si>
    <t>PIP CONICET(Consejo Nacional de Investigaciones Cientificas y Tecnicas (CONICET)); Torandes Project from the Plan de I + D + i Espanol; UE-FEDER funds</t>
  </si>
  <si>
    <t>This work was financed with PIP CONICET 112-200901-00766, PICT 2014-1394 and with the Torandes Project (CGL 2012-38396-C03) from the Plan de I + D + i Espanol with UE-FEDER funds. We thank Gerhard Worner for the analyses of the amphiboles by ICP-MS at the GZG, University of Gottingen (Germany). We thank Andres Cuesta and Miguel Angel Fernandez for their help in the analysis by electron microprobe at the Technical-Scientific services of Oviedo University (Spain). We greatly thank Jose Francisco Molina, Michel Gregoire and Kelly Russell for their great help with the correction of an earlier version of this manuscript. We are especially grateful to Romina Sulla for reviewing the English text.</t>
  </si>
  <si>
    <t>0895-9811</t>
  </si>
  <si>
    <t>J S AM EARTH SCI</t>
  </si>
  <si>
    <t>J. South Am. Earth Sci.</t>
  </si>
  <si>
    <t>10.1016/j.jsames.2018.09.006</t>
  </si>
  <si>
    <t>HE0GZ</t>
  </si>
  <si>
    <t>WOS:000452946100030</t>
  </si>
  <si>
    <t>Jenchen, U</t>
  </si>
  <si>
    <t>Jenchen, Uwe</t>
  </si>
  <si>
    <t>Petrography and geochemistry of the Triassic El Tranquilo Group, Deseado Massif, Patagonia, Argentina: Implications for provenance and tectonic setting</t>
  </si>
  <si>
    <t>Continental Triassic; Patagonia; Deseado Massif; El Tranquilo Group; Sedimentary petrography; Provenance</t>
  </si>
  <si>
    <t>SANTA-CRUZ PROVINCE; SOUTHERN SOUTH-AMERICA; NEUQUEN BASIN; THRUST-BELT; U-PB; SOUTHWESTERN GONDWANA; PALEOZOIC EVOLUTION; NORTHERN PATAGONIA; AGE CONSTRAINTS; CACHEUTA HILL</t>
  </si>
  <si>
    <t>The Middle to Late Triassic El Tranquilo Group (El Tranquilo anticline, Deseado Massif, Patagonia) is a key area between coeval West Argentinean and North Patagonian outcrops and of the area of Southwestern Gondwana. The El Tranquilo Group's continental sequence is part of-an extensional setting related to the accretion of Patagonia. Petrographic (qualitative and modal) analyses and geochemical analyses (major, trace elements, and rare earth elements (REEs)) of 90 samples were carried out. The sediments of the El Tranquilo anticline are arkoses and lithic arenites containing lithic fragments from felsic volcanic rocks. Polycrystalline quartz, subeuhedral K-feldspar, and biotite are abundant and corroborate an acidic plutonic source. Major element ratios, trace element ratios (Ti/Nb, Th/Sc, Eu/Eu*), and REE distribution patterns indicate direct derivation from igneous felsic rocks. Paleogeographic constructions locate the El Tranquilo anticline near a Permo-Triassic volcanic arc. Although the input of acidic igneous material to the El Tranquilo sag is clear, the composition of the sandstones could not be confirmed as predominantly volcaniclastic. Thus, petrography could not confirm the extension of Permo-Triassic Choiyoi volcanism to Southern Patagonia, Karoo basin, and Antarctic Peninsula. Low recycling rates indicate short transport distances; considering the time between cooling and exhumation, the most probable dominant source areas are the Late Ordovician Dos Hermanos granitoids, Silurian El Sacrificio granitoids, Devonian Bahia Laura granitoids, or Carboniferous Mina La Leona granitoids.</t>
  </si>
  <si>
    <t>[Jenchen, Uwe] Univ Autonoma Nuevo Leon, Fac Ciencias Tierra, Carretera Cerro Prieto,Km 8, Linares 67700, Nuevo Leon, Mexico</t>
  </si>
  <si>
    <t>Universidad Autonoma de Nuevo Leon</t>
  </si>
  <si>
    <t>Jenchen, U (corresponding author), Univ Autonoma Nuevo Leon, Fac Ciencias Tierra, Carretera Cerro Prieto,Km 8, Linares 67700, Nuevo Leon, Mexico.</t>
  </si>
  <si>
    <t>uwe.jenchen@gmail.com</t>
  </si>
  <si>
    <t>Jenchen, Uwe/0000-0002-4998-8967</t>
  </si>
  <si>
    <t>Deutsche Forschungsgemeinschaft (German Science Foundation) [Az.IIC6-Ro179/12-1, Az.IIC6-Ro179/16-1]</t>
  </si>
  <si>
    <t>Deutsche Forschungsgemeinschaft (German Science Foundation)(German Research Foundation (DFG))</t>
  </si>
  <si>
    <t>The grant from the Deutsche Forschungsgemeinschaft (German Science Foundation: Az.IIC6-Ro179/12-1 and Az.IIC6-Ro179/16-1) are gratefully acknowledged. For the second part of the analyses did not receive any specific grant from funding agencies in the public, commercial, or not-for-profit sectors.</t>
  </si>
  <si>
    <t>10.1016/j.jsames.2018.09.007</t>
  </si>
  <si>
    <t>WOS:000452946100036</t>
  </si>
  <si>
    <t>Seefeldt, MA; Weigand, AM; Havermans, C; Moreira, E; Held, C</t>
  </si>
  <si>
    <t>Seefeldt, Meike Anna; Weigand, Alexander M.; Havermans, Charlotte; Moreira, Eugenia; Held, Christoph</t>
  </si>
  <si>
    <t>Fishing for scavengers: an integrated study to amphipod (Crustacea: Lysianassoidea) diversity of Potter Cove (South Shetland Islands, Antarctica)</t>
  </si>
  <si>
    <t>MARINE BIODIVERSITY</t>
  </si>
  <si>
    <t>Biodiversity inventory; DNA barcoding; Lysianassidae; Taxonomy; New species; Southern Ocean; Glacier retreat</t>
  </si>
  <si>
    <t>KING GEORGE ISLAND; FEEDING-HABITS; BAITED TRAPS; ANONYX-SARSI; COLOR; MORPHOLOGY; MISIDENTIFICATION; EVOLUTIONARY; ATTRACTION; MOLECULES</t>
  </si>
  <si>
    <t>Amphipoda from the superfamily Lysianassoidea Dana, 1849 play an important role in Southern Ocean benthic food webs due to their high biomass, abundance and predominantly scavenging mode of feeding. Our knowledge on the lysianassoid fauna, even in well-studied areas of the Western Antarctic Peninsula, is incomplete. Here we report the findings of an integrated study of lysianassoid amphipods of Potter Cove, King George Island/Isla 25 de Mayo (KGI), combining morphological and molecular species identification (COI barcoding) methods, investigating more than 41,000 specimens from baited traps. For comparison, 2,039 specimens from the adjacent Marian Cove were analysed. Ten lysianassoid species were recorded in the deeper outer Potter Cove, whereas the inner cove (&lt;50m) was dominated by a single species, Cheirimedon femoratus Pfeffer, 1888 (99.44% relative abundance). It is hypothesised that the impoverished lysianassoid fauna inside the meltwater-influenced inner cove represents a model for future conditions along the Western Antarctic Peninsula under conditions of increased glacial melting. Abyssorchomene charcoti (Chevreux, 1912) and Orchomenella pinguides Walker, 1903 were recorded in KGI waters for the first time. Furthermore, one new lysianassoid amphipod species of the genus Orchomenella Sars, 1890 is described: Orchomenella infinita sp. n. Seefeldt, 2017. First-time DNA barcode data was established for Cheirimedon femoratus, Hippomedon kergueleni Miers, 1875, Orchomenella rotundifrons K.H. Barnard, 1932 and Orchomenella infinita sp. n.</t>
  </si>
  <si>
    <t>[Seefeldt, Meike Anna] Ruhr Univ Bochum, Fac Biol &amp; Biotechnol, Dept Anim Ecol Evolut &amp; Biodivers, Bochum, Germany; [Seefeldt, Meike Anna; Havermans, Charlotte; Held, Christoph] Helmholtz Ctr Polar &amp; Marine Res, Alfred Wegener Inst, Funct Ecol Sect, Bremerhaven, Germany; [Weigand, Alexander M.] Univ Duisburg Essen, Aquat Ecosyst Res, Essen, Germany; [Weigand, Alexander M.] Univ Duisburg Essen, Ctr Water &amp; Environm Res, Essen, Germany; [Havermans, Charlotte] Univ Bremen, Bremen Marine Ecol BreMarE, Marine Zool, Bremen, Germany; [Moreira, Eugenia] Inst Antartico Argentino, Buenos Aires, DF, Argentina</t>
  </si>
  <si>
    <t>Ruhr University Bochum; Helmholtz Association; Alfred Wegener Institute, Helmholtz Centre for Polar &amp; Marine Research; University of Duisburg Essen; University of Duisburg Essen; University of Bremen; Instituto Antartico Argentino</t>
  </si>
  <si>
    <t>Seefeldt, MA (corresponding author), Ruhr Univ Bochum, Fac Biol &amp; Biotechnol, Dept Anim Ecol Evolut &amp; Biodivers, Bochum, Germany.;Seefeldt, MA (corresponding author), Helmholtz Ctr Polar &amp; Marine Res, Alfred Wegener Inst, Funct Ecol Sect, Bremerhaven, Germany.</t>
  </si>
  <si>
    <t>meike.seefeldt@rub.de</t>
  </si>
  <si>
    <t>Havermans, Charlotte/0000-0002-1126-4074; Weigand, Alexander/0000-0001-7587-6531; MOREIRA, EUGENIA/0000-0002-3704-1696; Seefeldt, Meike Anna/0000-0003-2106-6933</t>
  </si>
  <si>
    <t>German Research Foundation (DFG) [TO 171/9-1, HE 3391/7-1, HA 7627/1-1]; Marie Curie Action International Research Staff Exchange Scheme (FP7 IRSES) [319718]</t>
  </si>
  <si>
    <t>German Research Foundation (DFG)(German Research Foundation (DFG)); Marie Curie Action International Research Staff Exchange Scheme (FP7 IRSES)(European Union (EU))</t>
  </si>
  <si>
    <t>This study was funded by the German Research Foundation (DFG) with the project TO 171/9-1, HE 3391/7-1 and C. Havermans with the project HA 7627/1-1 funded through the Priority Programme 1158 on Antarctic Research.; The present manuscript also presents an outcome of the EU research network IMCONet funded by the Marie Curie Action International Research Staff Exchange Scheme (FP7 IRSES, Action No. 319718).</t>
  </si>
  <si>
    <t>1867-1616</t>
  </si>
  <si>
    <t>1867-1624</t>
  </si>
  <si>
    <t>MAR BIODIVERS</t>
  </si>
  <si>
    <t>Mar. Biodivers.</t>
  </si>
  <si>
    <t>10.1007/s12526-017-0737-9</t>
  </si>
  <si>
    <t>Biodiversity Conservation; Marine &amp; Freshwater Biology</t>
  </si>
  <si>
    <t>Biodiversity &amp; Conservation; Marine &amp; Freshwater Biology</t>
  </si>
  <si>
    <t>HB8MP</t>
  </si>
  <si>
    <t>WOS:000451344500030</t>
  </si>
  <si>
    <t>Woodings, LN; Murphy, NP; Doyle, SR; Hall, NE; Robinson, AJ; Liggins, GW; Green, BS; Cooke, IR; Bell, JJ; Strugnell, JM</t>
  </si>
  <si>
    <t>Woodings, Laura N.; Murphy, Nicholas P.; Doyle, Stephen R.; Hall, Nathan E.; Robinson, Andrew J.; Liggins, Geoffrey W.; Green, Bridget S.; Cooke, Ira R.; Bell, James J.; Strugnell, Jan M.</t>
  </si>
  <si>
    <t>Outlier SNPs detect weak regional structure against a background of genetic homogeneity in the Eastern Rock Lobster, Sagmariasus verreauxi</t>
  </si>
  <si>
    <t>MAXIMUM-LIKELIHOOD-ESTIMATION; NEW-SOUTH-WALES; JASUS-VERREAUXI; POPULATION-GENETICS; VERTICAL-DISTRIBUTION; DIURNAL MIGRATION; GENOMIC EVIDENCE; R-PACKAGE; DECAPODA; PALINURIDAE</t>
  </si>
  <si>
    <t>Genetic differentiation is characteristically weak in marine speciesmaking assessments of population connectivity and structure difficult. However, the advent of genomic methods has increased genetic resolution, enabling studies to detect weak, but significant population differentiation within marine species. With an increasing number of studies employing highresolution genome-wide techniques, we are realising that the connectivity of marine populations is often complex and quantifying this complexity can provide an understanding of the processes shaping marine species genetic structure and to inform long-term, sustainable management strategies. This study aims to assess the genetic structure, connectivity, and local adaptation of the Eastern Rock Lobster (Sagmariasus verreauxi), which has a maximum pelagic larval duration of 12months and inhabits both subtropical and temperate environments. We used 645 neutral and 15 outlier SNPs to genotype lobsters collected from the only two known breeding populations and a third episodic populationencompassing S. verreauxi's known range. Through examination of the neutral SNP panel, we detected genetic homogeneity across the three regions, which extended across the Tasman Sea encompassing both Australian and New Zealand populations. We discuss differences in neutral genetic signature of S. verreauxi and a closely related, co-distributed rock lobster, Jasus edwardsii, determining a regional pattern of genetic disparity between the species, which have largely similar life histories. Examination of the outlier SNP panel detected weak genetic differentiation between the three regions. Outlier SNPs showed promise in assigning individuals to their sampling origin and may prove useful as a management tool for species exhibiting genetic homogeneity.</t>
  </si>
  <si>
    <t>[Woodings, Laura N.; Murphy, Nicholas P.; Strugnell, Jan M.] La Trobe Univ, Sch Life Sci, Dept Ecol Environm &amp; Evolut, Melbourne, Vic 3086, Australia; [Doyle, Stephen R.] Wellcome Trust Sanger Inst, Cambridge CB10 1SA, England; [Hall, Nathan E.] La Trobe Univ, Dept Anim Plant &amp; Soil Sci, Melbourne, Vic 3086, Australia; [Robinson, Andrew J.] La Trobe Univ, Genom Res Platform, Melbourne, Vic 3086, Australia; [Robinson, Andrew J.] Victorian Life Sci Computat Initiat, Life Sci Computat Ctr, Melbourne, Vic 3053, Australia; [Liggins, Geoffrey W.] Sydney Inst Marine Sci, NSW Dept Primary Ind, Mosman, NSW 2088, Australia; [Green, Bridget S.] Univ Tasmania, Inst Marine &amp; Antarctic Studies, Hobart, Tas 7001, Australia; [Cooke, Ira R.] James Cook Univ, Dept Mol &amp; Cell Biol, Townsville, Qld 4810, Australia; [Cooke, Ira R.] James Cook Univ, Comparat Genom Ctr, Townsville, Qld 4810, Australia; [Bell, James J.] Victoria Univ Wellington, Sch Biol Sci, Wellington 6140, New Zealand; [Strugnell, Jan M.] James Cook Univ, Ctr Sustainable Trop Fisheries &amp; Aquaculture, Townsville, Qld 4811, Australia; [Strugnell, Jan M.] James Cook Univ, Coll Sci &amp; Engn, Townsville, Qld 4811, Australia</t>
  </si>
  <si>
    <t>Melbourne Genomics Health Alliance; La Trobe University; Wellcome Trust Sanger Institute; Melbourne Genomics Health Alliance; La Trobe University; La Trobe University; Melbourne Genomics Health Alliance; Melbourne Genomics Health Alliance; University of Melbourne; Melbourne Bioinformatics; Sydney Institute of Marine Science; NSW Department of Primary Industries; University of Tasmania; James Cook University; James Cook University; Victoria University Wellington; James Cook University; James Cook University</t>
  </si>
  <si>
    <t>Woodings, LN (corresponding author), La Trobe Univ, Sch Life Sci, Dept Ecol Environm &amp; Evolut, Melbourne, Vic 3086, Australia.</t>
  </si>
  <si>
    <t>17869067@students.latrobe.edu.au</t>
  </si>
  <si>
    <t>Strugnell, Jan M/P-9921-2016; Green, Bridget S/G-3368-2014; Doyle, Stephen/GRJ-3949-2022; Doyle, Stephen/AAS-8224-2021; Cooke, Ira R/B-4409-2008</t>
  </si>
  <si>
    <t>Doyle, Stephen/0000-0001-9167-7532; Doyle, Stephen/0000-0001-9167-7532; Cooke, Ira/0000-0001-6520-1397; Hall, Nathan/0000-0001-8942-0498; Strugnell, Jan/0000-0003-2994-637X; Murphy, Nick/0000-0002-0907-4642</t>
  </si>
  <si>
    <t>ARC [DP 150101491]; La Trobe University Securing Food, Water and Environment Grant; Holsworth Wildlife Research Endowment; Institute for Marine and Antarctic Studies; NSW Department of Primary Industries</t>
  </si>
  <si>
    <t>ARC(Australian Research Council); La Trobe University Securing Food, Water and Environment Grant; Holsworth Wildlife Research Endowment; Institute for Marine and Antarctic Studies; NSW Department of Primary Industries</t>
  </si>
  <si>
    <t>This research was funded by ARC DP 150101491, a La Trobe University Securing Food, Water and Environment Grant, the Holsworth Wildlife Research Endowment, the Institute for Marine and Antarctic Studies, the NSW Department of Primary Industries and shareholders in the NSW Rock Lobster Fishery.</t>
  </si>
  <si>
    <t>10.1007/s00227-018-3443-7</t>
  </si>
  <si>
    <t>HA8BH</t>
  </si>
  <si>
    <t>WOS:000450511900003</t>
  </si>
  <si>
    <t>Chen, Z; Zheng, Z; Wang, FL; Niu, YP; Miao, JL; Li, H</t>
  </si>
  <si>
    <t>Chen, Ze; Zheng, Zhou; Wang, Feng-Lian; Niu, Yuan-Pu; Miao, Jin-Lai; Li, Hao</t>
  </si>
  <si>
    <t>Intracellular Metabolic Changes of Rhodococcus sp LH During the Biodegradation of Diesel Oil</t>
  </si>
  <si>
    <t>MARINE BIOTECHNOLOGY</t>
  </si>
  <si>
    <t>Diesel oil biodegradation; Rhodococcus sp; LH; Molecular mechanisms; Metabolomics</t>
  </si>
  <si>
    <t>NAPHTHALENE DIOXYGENASE; N-ALKANES; HYDROCARBONS; DEGRADATION; OXIDATION; RESPONSES; PATHWAY; CARBON; ACIDS; RHA1</t>
  </si>
  <si>
    <t>In recent years, some marine microbes have been used to degrade diesel oil. However, the exact mechanisms underlying the biodegradation are still poorly understood. In this study, a hypothermophilous marine strain, which can degrade diesel oil in cold seawater was isolated from Antarctic floe-ice and identified and named as Rhodococcus sp. LH. To clarify the biodegradation mechanisms, a gas chromatography-mass spectrometry (GC-MS)-based metabolomics strategy was performed to determine the diesel biodegradation process-associated intracellular biochemical changes in Rhodococcus sp. LH cells. With the aid of partial least squares-discriminant analysis (PLS-DA), 17 differential metabolites with variable importance in the projection (VIP) value greater than 1 were identified. Results indicated that the biodegradation of diesel oil by Rhodococcus sp. LH was affected by many different factors. Rhodococcus sp. LH could degrade diesel oil through terminal or sub-terminal oxidation reactions, and might also possess the ability to degrade aromatic hydrocarbons. In addition, some surfactants, especially fatty acids, which were secreted by Rhodococcus into medium could also assist the strain in dispersing and absorbing diesel oil. Lack of nitrogen in the seawater would lead to nitrogen starvation, thereby restraining the amino acid circulation in Rhodococcus sp. LH. Moreover, nitrogen starvation could also promote the conversation of relative excess carbon source to storage materials, such as 1-monolinoleoylglycerol. These results would provide a comprehensive understanding about the complex mechanisms of diesel oil biodegradation by Rhodococcus sp. LH at the systematic level.</t>
  </si>
  <si>
    <t>[Chen, Ze; Wang, Feng-Lian; Niu, Yuan-Pu; Li, Hao] Beijing Univ Chem Technol, Coll Life Sci &amp; Technol, Beijing Key Lab Bioproc, Beijing 100029, Peoples R China; [Zheng, Zhou; Miao, Jin-Lai] State Ocean Adm, Inst Oceanog 1, Qingdao 266061, Peoples R China; [Zheng, Zhou; Miao, Jin-Lai] Qingdao Natl Lab Marine Sci &amp; Technol, Qingdao 266235, Peoples R China</t>
  </si>
  <si>
    <t>Beijing University of Chemical Technology; First Institute of Oceanography, Ministry of Natural Resources; Laoshan Laboratory</t>
  </si>
  <si>
    <t>Li, H (corresponding author), Beijing Univ Chem Technol, Coll Life Sci &amp; Technol, Beijing Key Lab Bioproc, Beijing 100029, Peoples R China.;Miao, JL (corresponding author), State Ocean Adm, Inst Oceanog 1, Qingdao 266061, Peoples R China.;Miao, JL (corresponding author), Qingdao Natl Lab Marine Sci &amp; Technol, Qingdao 266235, Peoples R China.</t>
  </si>
  <si>
    <t>miaojinlai@fio.org.cn; lihao@mail.buct.edu.cn</t>
  </si>
  <si>
    <t>Zheng, Zhou/JJD-0602-2023; zhou, chuyue/JOJ-9001-2023</t>
  </si>
  <si>
    <t>Li, Hao/0000-0003-4768-3833</t>
  </si>
  <si>
    <t>National Natural Science Foundation of China [41776203] Funding Source: Medline; Basic Scientific Fund for National Public Research Institutes of China [2016Q10] Funding Source: Medline</t>
  </si>
  <si>
    <t>National Natural Science Foundation of China(National Natural Science Foundation of China (NSFC)); Basic Scientific Fund for National Public Research Institutes of China</t>
  </si>
  <si>
    <t>1436-2228</t>
  </si>
  <si>
    <t>1436-2236</t>
  </si>
  <si>
    <t>MAR BIOTECHNOL</t>
  </si>
  <si>
    <t>Mar. Biotechnol.</t>
  </si>
  <si>
    <t>10.1007/s10126-018-9850-4</t>
  </si>
  <si>
    <t>HB4KS</t>
  </si>
  <si>
    <t>WOS:000451022400010</t>
  </si>
  <si>
    <t>Roth, ASG; Leya, I</t>
  </si>
  <si>
    <t>Roth, Antoine S. G.; Leya, Ingo</t>
  </si>
  <si>
    <t>No cosmic-ray precompaction exposure of chondrules in CR2.7 MIL 090657</t>
  </si>
  <si>
    <t>NOBLE-GASES; NEON; IRRADIATION; METEORITES</t>
  </si>
  <si>
    <t>Cosmogenic nuclides are useful for reconstructing the cosmic-ray precompaction exposure history of the chondritic components in the early solar system. Here, we present He and Ne isotope data for 22 chondrules and 4 matrix samples from Miller Range (MIL) 090657, which is the third most pristine Renazzo-type (CR) carbonaceous chondrite (CR2.7). The studied samples contain variable mixtures of galactic cosmic ray (GCR)-produced cosmogenic noble gases and trapped noble gases of presolar origin. Remarkably, all chondrules and matrix samples have within analytical uncertainty almost identical nominal Ne-21 cosmic-ray exposure (CRE) ages in the range 3.45-6.20 Ma. The nominal He-3 CRE ages are mostly discordant, possibly due to partial H-3 and He-3 losses and/or an inaccurate correction for trapped He-3. The absence of precompaction exposure effects longer than a few Ma in MIL 090657 is at variance with data for other CR chondrites. We conclude that most CR chondrules experienced the same precompaction exposure history-although the nature of the precompaction exposure differs between the chondrites-in regions of the disk that were either exposed to or shielded from GCRs but in which exposure effects due to solar wind and/or solar cosmic rays (SCRs) were negligible. The new data do not support the X-wind model of Shu and coworkers.</t>
  </si>
  <si>
    <t>[Roth, Antoine S. G.; Leya, Ingo] Univ Bern, Inst Phys, Bern, Switzerland; [Roth, Antoine S. G.] Swiss Fed Inst Technol, Dept Earth Sci, Zurich, Switzerland</t>
  </si>
  <si>
    <t>University of Bern; Swiss Federal Institutes of Technology Domain; ETH Zurich</t>
  </si>
  <si>
    <t>Roth, ASG (corresponding author), Univ Bern, Inst Phys, Bern, Switzerland.;Roth, ASG (corresponding author), Swiss Fed Inst Technol, Dept Earth Sci, Zurich, Switzerland.</t>
  </si>
  <si>
    <t>antoine.roth@erdw.ethz.ch</t>
  </si>
  <si>
    <t>Roth, Antoine/0000-0001-9772-4643; Leya, Ingo/0000-0002-3843-6681</t>
  </si>
  <si>
    <t>Swiss National Science Foundation; NCCR PlanetS</t>
  </si>
  <si>
    <t>Swiss National Science Foundation(Swiss National Science Foundation (SNSF)); NCCR PlanetS</t>
  </si>
  <si>
    <t>This work has been supported by the Swiss National Science Foundation and the NCCR PlanetS. We thank L. Baumgartner for allowing us to access the X-ray tomography facilities at the Institute of Earth Sciences of the University of Lausanne, B. Hofmann for allowing us to access the microabrasive blasting system at the Natural History Museum of Bern, and K. Righter from the NASA Antarctic Meteorite Collection for providing the sample. We are grateful to B. Putlitz for her help with the tomographic measurements and R. Wieler for precious discussions. This work would not have been possible without the support of the laboratory technicians P. Enderli and H.-E. Jenni.</t>
  </si>
  <si>
    <t>10.1111/maps.13186</t>
  </si>
  <si>
    <t>HC8IH</t>
  </si>
  <si>
    <t>WOS:000452045400012</t>
  </si>
  <si>
    <t>Wang, R; Kong, DD; Yao, JJ; Dou, XW; Huang, YF; Yang, SH; Yang, MH</t>
  </si>
  <si>
    <t>Wang, Rong; Kong, Dandan; Yao, Jiaojiao; Dou, Xiaowen; Huang, Yufeng; Yang, Shihai; Yang, Meihua</t>
  </si>
  <si>
    <t>A BiFEs-based SWASV method for fast screening of multi-heavy metals in Xiaochaihu Tang</t>
  </si>
  <si>
    <t>MICROCHEMICAL JOURNAL</t>
  </si>
  <si>
    <t>Heavy metals; SWASV; BiFEs; Fast screening; Xiaochaihu Tang</t>
  </si>
  <si>
    <t>ANODIC-STRIPPING VOLTAMMETRY; ELECTROCHEMICAL SENSOR; ANTARCTIC AEROSOL; HERB PAIRS; CD; CU; PB; ELECTRODE; MEDICINES; COPPER</t>
  </si>
  <si>
    <t>Multi-heavy metal residues in traditional Chinese medicines especially their formulas have become a world-wide concern for human's health. A real time analysis of multi-heavy metals with high sensitivity and accuracy is of great necessity. In this study, an anodic square wave stripping voltammetry (SWASV) technique based on the stable Bismuth material was developed for the fast screening of Cd2+, Pb2+ and Cu2+ in Xiaochaihu Tang for its safe medication in practice. Firstly, a flat and compact Bismuth film electrode (BiFE) was prepared by pre-plating Bi crystal on glass carbon electrode (GCE) substrate at special deposition potential and deposition time, which was confirmed through the observation of morphological and electrochemical properties. Then, the heavy metals of interest were isolated from complex Xiaochaihu Tang by using an optimized digestion system and a low-cost sample preparation procedure. Besides, three different deposition potentials were selected to respectively reduce 3 kinds of cations for a better reproducibility and accuracy of the analysis than before. It was demonstrated that the intensity of the remarkable anodic peaks of Cd2+, Pb2+ and Cu2+ at -0.876 V, -0.621 V and -0.248 V were proportional (R-2 = 0.9975, 0.9993, 0.9997) to their concentrations in the decoction electrolyte in the range of 0.008-0.08 mu g.mL(-1) for Cd2+, 0.01-0.1 mu g.mL(-1) for Pb2+ and 0.10-1.00 mu g.mL(-1) for Cu2+, respectively. The developed SWASV method allowed low detection limits of 0.0031 mu g.mL(-1), 0.0002 mu g.mL(-1) and 0.0044 mu g.mL(-1) for Cd2+, Pb2+ and Cu2+, which are much lower than the guideline values in herbs set in the Chinese Pharmacopeia. Real sample analysis showed that Pb2+ was detected in 3 batches of Xiaochaihu Tang samples within 5 min, which were confirmed by the ICP-MS method. Therefore, this developed method can be applied in the fast screening of multi-heavy metals in complex decoction matrices.</t>
  </si>
  <si>
    <t>[Wang, Rong; Yang, Shihai] Jilin Agr Univ, Coll Tradit Chinese Med, Changchun 130118, Jilin, Peoples R China; [Wang, Rong; Kong, Dandan; Yao, Jiaojiao; Dou, Xiaowen; Yang, Meihua] Chinese Acad Med Sci, Inst Med Plant Dev, Minist Educ, Key Lab Bioact Subst &amp; Resources Utilizat Chinese, Beijing 100193, Peoples R China; [Wang, Rong; Kong, Dandan; Yao, Jiaojiao; Dou, Xiaowen; Yang, Meihua] Peking Union Med Coll, Beijing 100193, Peoples R China; [Huang, Yufeng] Shanghai Acad Tradit Chinese Med, Shanghai 201203, Peoples R China</t>
  </si>
  <si>
    <t>Jilin Agricultural University; Chinese Academy of Medical Sciences - Peking Union Medical College; Institute of Medicinal Plant Development - CAMS; Chinese Academy of Medical Sciences - Peking Union Medical College; Peking Union Medical College</t>
  </si>
  <si>
    <t>Yang, SH (corresponding author), Jilin Agr Univ, Coll Tradit Chinese Med, Changchun 130118, Jilin, Peoples R China.;Yang, MH (corresponding author), Chinese Acad Med Sci, Inst Med Plant Dev, Minist Educ, Key Lab Bioact Subst &amp; Resources Utilizat Chinese, Beijing 100193, Peoples R China.;Yang, MH (corresponding author), Peking Union Med Coll, Beijing 100193, Peoples R China.</t>
  </si>
  <si>
    <t>jlyangs@163.com</t>
  </si>
  <si>
    <t>Yang, Shihai/0000-0003-3165-9775</t>
  </si>
  <si>
    <t>Beijing Natural Science Foundation [7174321]; National Key R&amp;D Program of China [2016YFE0112900]; CAMS Innovation Fund for Medical Sciences [2017-I2M-1-013, 2016-I2M-3-010]; PUMC Youth Fund; Fundamental Research Funds for the Central Universities [3332016068]</t>
  </si>
  <si>
    <t>Beijing Natural Science Foundation(Beijing Natural Science Foundation); National Key R&amp;D Program of China; CAMS Innovation Fund for Medical Sciences; PUMC Youth Fund; Fundamental Research Funds for the Central Universities(Fundamental Research Funds for the Central Universities)</t>
  </si>
  <si>
    <t>Rong W, Shihai Y, Jiaojiao Y and Xiaowen D performed the research. Dandan K, Rong W and Yufeng H designed and performed the experiments. Dandan K, Rong W and Meihua Y wrote the paper. The authors greatly appreciate the support from Beijing Natural Science Foundation (7174321), National Key R&amp;D Program of China (2016YFE0112900), CAMS Innovation Fund for Medical Sciences (2017-I2M-1-013, 2016-I2M-3-010) and the PUMC Youth Fund and the Fundamental Research Funds for the Central Universities (3332016068).</t>
  </si>
  <si>
    <t>0026-265X</t>
  </si>
  <si>
    <t>1095-9149</t>
  </si>
  <si>
    <t>MICROCHEM J</t>
  </si>
  <si>
    <t>Microchem J.</t>
  </si>
  <si>
    <t>10.1016/j.microc.2018.08.026</t>
  </si>
  <si>
    <t>Chemistry, Analytical</t>
  </si>
  <si>
    <t>GW6UC</t>
  </si>
  <si>
    <t>WOS:000447097000042</t>
  </si>
  <si>
    <t>Slater, T; Shepherd, A</t>
  </si>
  <si>
    <t>Slater, Thomas; Shepherd, Andrew</t>
  </si>
  <si>
    <t>Antarctic ice losses tracking high</t>
  </si>
  <si>
    <t>Letter</t>
  </si>
  <si>
    <t>[Slater, Thomas; Shepherd, Andrew] Univ Leeds, Sch Earth &amp; Environm, Ctr Polar Observat &amp; Modelling, Leeds, W Yorkshire, England</t>
  </si>
  <si>
    <t>University of Leeds</t>
  </si>
  <si>
    <t>Slater, T (corresponding author), Univ Leeds, Sch Earth &amp; Environm, Ctr Polar Observat &amp; Modelling, Leeds, W Yorkshire, England.</t>
  </si>
  <si>
    <t>py10ts@leeds.ac.uk</t>
  </si>
  <si>
    <t>Slater, Thomas/0000-0003-2541-7788</t>
  </si>
  <si>
    <t>UK Natural Environmental Research Council [cpom300001]; European Space Agency; NERC Ice Sheet Stability (iSTAR) programme; NERC [NE/J005681/1]; NERC [cpom30001, NE/J005681/1] Funding Source: UKRI</t>
  </si>
  <si>
    <t>UK Natural Environmental Research Council(UK Research &amp; Innovation (UKRI)Natural Environment Research Council (NERC)); European Space Agency(European Space Agency); NERC Ice Sheet Stability (iSTAR) programme; NERC(UK Research &amp; Innovation (UKRI)Natural Environment Research Council (NERC)); NERC(UK Research &amp; Innovation (UKRI)Natural Environment Research Council (NERC))</t>
  </si>
  <si>
    <t>This work was supported by the UK Natural Environmental Research Council (grant number cpom300001) and the European Space Agency. T.S. is funded through the NERC Ice Sheet Stability (iSTAR) programme and NERC grant number NE/J005681/1.</t>
  </si>
  <si>
    <t>10.1038/s41558-018-0284-9</t>
  </si>
  <si>
    <t>HC6NW</t>
  </si>
  <si>
    <t>WOS:000451919500004</t>
  </si>
  <si>
    <t>Bell, RE; Banwell, AF; Trusel, LD; Kingslake, J</t>
  </si>
  <si>
    <t>Bell, Robin E.; Banwell, Alison F.; Trusel, Luke D.; Kingslake, Jonathan</t>
  </si>
  <si>
    <t>Antarctic surface hydrology and impacts on ice-sheet mass balance</t>
  </si>
  <si>
    <t>SUPRAGLACIAL LAKE DRAINAGES; SEASONAL EVOLUTION; MELTWATER STORAGE; WEST ANTARCTICA; BREAK-UP; GREENLAND; SHELF; CLIMATE; MELT; FIRN</t>
  </si>
  <si>
    <t>Melting is pervasive along the ice surrounding Antarctica. On the surface of the grounded ice sheet and floating ice shelves, extensive networks of lakes, streams and rivers both store and transport water. As melting increases with a warming climate, the surface hydrology of Antarctica in some regions could resemble Greenland's present-day ablation and percolation zones. Drawing on observations of widespread surface water in Antarctica and decades of study in Greenland, we consider three modes by which meltwater could impact Antarctic mass balance: increased runoff, meltwater injection to the bed and meltwater-induced ice-shelf fracture - all of which may contribute to future ice-sheet mass loss from Antarctica.</t>
  </si>
  <si>
    <t>[Bell, Robin E.; Kingslake, Jonathan] Columbia Univ, Lamont Doherty Earth Observ, Palisades, NY 10964 USA; [Banwell, Alison F.] Univ Cambridge, Scott Polar Res Inst, Cambridge, England; [Banwell, Alison F.] Univ Colorado, Cooperat Inst Res Environm Sci, Boulder, CO 80309 USA; [Trusel, Luke D.] Rowan Univ, Dept Geol, Glassboro, NJ USA; [Kingslake, Jonathan] Columbia Univ, Dept Earth &amp; Environm Sci, Palisades, NY USA</t>
  </si>
  <si>
    <t>Columbia University; University of Cambridge; University of Colorado System; University of Colorado Boulder; Rowan University; Columbia University</t>
  </si>
  <si>
    <t>Bell, RE (corresponding author), Columbia Univ, Lamont Doherty Earth Observ, Palisades, NY 10964 USA.</t>
  </si>
  <si>
    <t>robinb@ldeo.columbia.edu</t>
  </si>
  <si>
    <t>Banwell, Alison/W-8180-2018; Trusel, Luke D/E-2578-2013</t>
  </si>
  <si>
    <t>Banwell, Alison/0000-0001-9545-829X; Trusel, Luke/0000-0002-7792-6173</t>
  </si>
  <si>
    <t>Leverhulme/Newton Trust Early Career Fellowship [ECF-2014-412]; NSF [1743326]; NSF Antarctic Glaciology Program [1643733]; Directorate For Geosciences; Office of Polar Programs (OPP) [1743326] Funding Source: National Science Foundation; Office of Polar Programs (OPP); Directorate For Geosciences [1643733] Funding Source: National Science Foundation</t>
  </si>
  <si>
    <t>Leverhulme/Newton Trust Early Career Fellowship; NSF(National Science Foundation (NSF)); NSF Antarctic Glaciology Program(National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</si>
  <si>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A.F.B. acknowledges support from a Leverhulme/Newton Trust Early Career Fellowship (grant no. ECF-2014-412). We thank X. Fettweis for producing and making Greenland MAR model output available and M. Tedesco for discussion on their usage. The authors thank O. Sergienko for useful discussions. The authors acknowledge the participants in the February 2018 NSF-funded workshop on Antarctic Surface Hydrology and Future Ice Shelf Stability (grant no. 1743326) for their lively, thoughtful discussion. L.D.T. acknowledges support from NSF Antarctic Glaciology Program award no. 1643733.</t>
  </si>
  <si>
    <t>10.1038/s41558-018-0326-3</t>
  </si>
  <si>
    <t>WOS:000451919500014</t>
  </si>
  <si>
    <t>Pattyn, F; Ritz, C; Hanna, E; Asay-Davis, X; DeConto, R; Durand, G; Favier, L; Fettweis, X; Goelzer, H; Golledge, NR; Munneke, PK; Lenaerts, JTM; Nowicki, S; Payne, AJ; Robinson, A; Seroussi, H; Trusel, LD; van den Broeke, M</t>
  </si>
  <si>
    <t>Pattyn, Frank; Ritz, Catherine; Hanna, Edward; Asay-Davis, Xylar; DeConto, Rob; Durand, Gael; Favier, Lionel; Fettweis, Xavier; Goelzer, Heiko; Golledge, Nicholas R.; Munneke, Peter Kuipers; Lenaerts, Jan T. M.; Nowicki, Sophie; Payne, Antony J.; Robinson, Alexander; Seroussi, Helene; Trusel, Luke D.; van den Broeke, Michiel</t>
  </si>
  <si>
    <t>The Greenland and Antarctic ice sheets under 1.5 °C global warming</t>
  </si>
  <si>
    <t>SURFACE MASS-BALANCE; SEA-LEVEL RISE; MODEL INTERCOMPARISON PROJECT; THWAITES GLACIER; WEST ANTARCTICA; BASAL MELT; CLIMATE; ACCELERATION; SENSITIVITY; MELTWATER</t>
  </si>
  <si>
    <t>Even if anthropogenic warming were constrained to less than 2 degrees C above pre-industrial, the Greenland and Antarctic ice sheets will continue to lose mass this century, with rates similar to those observed over the past decade. However, nonlinear responses cannot be excluded, which may lead to larger rates of mass loss. Furthermore, large uncertainties in future projections still remain, pertaining to knowledge gaps in atmospheric (Greenland) and oceanic (Antarctica) forcing. On millennial timescales, both ice sheets have tipping points at or slightly above the 1.5-2.0 degrees C threshold; for Greenland, this may lead to irreversible mass loss due to the surface mass balance-elevation feedback, whereas for Antarctica, this could result in a collapse of major drainage basins due to ice-shelf weakening.</t>
  </si>
  <si>
    <t>[Pattyn, Frank; Favier, Lionel; Goelzer, Heiko] Univ Libre Bruxelles, Lab Glaciol, Brussels, Belgium; [Ritz, Catherine; Durand, Gael; Favier, Lionel] Univ Grenoble Alpes, Inst Geosci Environm, CNRS, Grenoble, France; [Hanna, Edward] Univ Lincoln, Sch Geog, Lincoln, England; [Hanna, Edward] Univ Lincoln, Lincoln Ctr Water &amp; Planetary Hlth, Lincoln, England; [Asay-Davis, Xylar] Los Alamos Natl Lab, Los Alamos, NM USA; [Asay-Davis, Xylar] Potsdam Inst Climate Impact Res, Potsdam, Germany; [DeConto, Rob] Univ Massachusetts, Dept Geosci, Amherst, MA 01003 USA; [Fettweis, Xavier] Univ Liege, Dept Geog, Liege, Belgium; [Goelzer, Heiko; Munneke, Peter Kuipers; van den Broeke, Michiel] Univ Utrecht, Inst Marine &amp; Atmospher Res, Utrecht, Netherlands; [Golledge, Nicholas R.] Victoria Univ Wellington, Antarctic Res Ctr, Wellington, New Zealand; [Golledge, Nicholas R.] GNS Sci, Lower Hutt, New Zealand; [Lenaerts, Jan T. M.] Univ Colorado, Dept Atmospher &amp; Ocean Sci, Boulder, CO 80309 USA; [Nowicki, Sophie] NASA, GSFC, Greenbelt, MD USA; [Payne, Antony J.] Univ Bristol, Sch Geog Sci, Bristol, Avon, England; [Robinson, Alexander] Univ Complutense Madrid, Fac Ciencias Fis, PalMA, Madrid, Spain; [Seroussi, Helene] CALTECH, Jet Prop Lab, Pasadena, CA 91125 USA; [Trusel, Luke D.] Rowan Univ, Dept Geol, Glassboro, NJ USA</t>
  </si>
  <si>
    <t>Universite Libre de Bruxelles; Communaute Universite Grenoble Alpes; Universite Grenoble Alpes (UGA); Centre National de la Recherche Scientifique (CNRS); University of Lincoln; University of Lincoln; United States Department of Energy (DOE); Los Alamos National Laboratory; Potsdam Institut fur Klimafolgenforschung; University of Massachusetts System; University of Massachusetts Amherst; University of Liege; Utrecht University; Victoria University Wellington; GNS Science - New Zealand; University of Colorado System; University of Colorado Boulder; National Aeronautics &amp; Space Administration (NASA); NASA Goddard Space Flight Center; University of Bristol; Complutense University of Madrid; California Institute of Technology; National Aeronautics &amp; Space Administration (NASA); NASA Jet Propulsion Laboratory (JPL); Rowan University</t>
  </si>
  <si>
    <t>Pattyn, F (corresponding author), Univ Libre Bruxelles, Lab Glaciol, Brussels, Belgium.</t>
  </si>
  <si>
    <t>fpattyn@ulb.ac.be</t>
  </si>
  <si>
    <t>Pattyn, Frank/AAA-9640-2019; Hanna, Edward/W-5927-2019; Lenaerts, Jan/D-9423-2012; Goelzer, Heiko/M-2367-2016; Van den Broeke, Michiel R./F-7867-2011; Trusel, Luke D/E-2578-2013; Seroussi, Helene/AAX-5342-2021; payne, antony/A-8916-2008</t>
  </si>
  <si>
    <t>Pattyn, Frank/0000-0003-4805-5636; Hanna, Edward/0000-0002-8683-182X; Lenaerts, Jan/0000-0003-4309-4011; Goelzer, Heiko/0000-0002-5878-9599; Van den Broeke, Michiel R./0000-0003-4662-7565; Seroussi, Helene/0000-0001-9201-1644; Fettweis, Xavier/0000-0002-4140-3813; Ritz, Catherine/0000-0003-0785-8571; Golledge, Nicholas/0000-0001-7676-8970; Asay-Davis, Xylar/0000-0002-1990-892X; payne, antony/0000-0001-8825-8425; Trusel, Luke/0000-0002-7792-6173</t>
  </si>
  <si>
    <t>WCRP/CliC; SCAR; NESSC; IASC; NERC [NE/I010874/1, NE/J005738/1] Funding Source: UKRI; Natural Environment Research Council [NE/J005738/1, NE/I010874/1] Funding Source: researchfish</t>
  </si>
  <si>
    <t>WCRP/CliC; SCAR; NESSC; IASC; NERC(UK Research &amp; Innovation (UKRI)Natural Environment Research Council (NERC)); Natural Environment Research Council(UK Research &amp; Innovation (UKRI)Natural Environment Research Council (NERC))</t>
  </si>
  <si>
    <t>This paper is the result of the 2017 ISMASS (Ice-Sheet Mass Balance and Sea Level) workshop held in Brussels (Belgium), co-sponsored by WCRP/CliC (http://www.climate-cryosphere.org/activities/groups/ismass), IASC and SCAR. H.G., P.K.M. and M.v.d.B. acknowledge support from the NESSC.</t>
  </si>
  <si>
    <t>10.1038/s41558-018-0305-8</t>
  </si>
  <si>
    <t>WOS:000451919500015</t>
  </si>
  <si>
    <t>Song, YG; Fang, XM; Chen, XL; Torii, M; Ishikawa, N; Zhang, MS; Yang, SL; Chan, H</t>
  </si>
  <si>
    <t>Song, Yougui; Fang, Xiaomin; Chen, Xiuling; Torii, Masayuki; Ishikawa, Naoto; Zhang, Maosheng; Yang, Shengli; Chan, Hong</t>
  </si>
  <si>
    <t>Rock magnetic record of late Neogene red clay sediments from the Chinese Loess Plateau and its implications for East Asian monsoon evolution</t>
  </si>
  <si>
    <t>Late Miocene; Pliocene; Global cooling; Tectonic events; Magnetic minerals</t>
  </si>
  <si>
    <t>LATE CENOZOIC UPLIFT; ANTARCTIC ICE-SHEET; GRAIN-SIZE RECORDS; LATE MIOCENE; TIBETAN PLATEAU; PALEOCLIMATIC SIGNIFICANCE; SUMMER MONSOON; MODERN SOILS; LIUPAN-SHAN; LOESS/PALAEOSOL SEQUENCES</t>
  </si>
  <si>
    <t>The Quaternary loess-paleosol and underlying Neogene red clay sequences on the Chinese Loess Plateau (CLP) contain a remarkable continental record of past East Asian monsoon changes and aridification of the Asian interior. While monsoon variability during the Quaternary is reasonably well understood, the evolution and dynamics of the monsoon during the Neogene are still debated. The rock magnetism of aeolian sediments is a well-established tool for reconstructing the palaeoclimatic history of Asia. Here, we present a rock magnetic record from Late Neogene red clay sediments of the Chaona section in the central CLP. The results indicate that the main magnetic minerals in the red clay are magnetite, maghemite, hematite and goethite, similar to the overlying Quaternary loess-palaeosol sequences. The high-resolution rock magnetic record, combined with the results of other proxies, demonstrate a stepwise intensification of the summer monsoon and a progressive enhancement of the winter monsoon in East Asia during the Late Neogene. Based on the results, the climatic evolution of East Asia can be divided into three intervals: Interval III, from 8.1 to 6.8 Ma, is characterized by a cool, dry climate with a relatively weak East Asian Summer Monsoon (EASM) and East Asian Winter Monsoon (EAWM); Interval II, from 6.8 to 4.3 Ma, is characterized by cool/warm cycles; and Interval I, from 4.3 to 2.8/2.6 Ma, was warm and humid, and within which the EASM strengthened rapidly and the EAWM fluctuated considerably, with an increasing trend. We infer that before 4.3 Ma the variations of both the EASM and EAWM were closely related to global cooling and that the intensified EASM during the late Pliocene was primarily caused by tectonic events, including the gradual closure of the Panama Seaway and the uplift of the Tibetan Plateau, rather than by global cooling.</t>
  </si>
  <si>
    <t>[Song, Yougui; Chan, Hong] Chinese Acad Sci, Inst Earth Environm, State Key Lab Loess &amp; Quaternary Geol, Xian 710061, Shaanxi, Peoples R China; [Fang, Xiaomin] Chinese Acad Sci, Inst Tibetan Plateau Res, Key Lab Continental Collis &amp; Plateau Uplift, Beijing 100101, Peoples R China; [Chen, Xiuling] Fujian Normal Univ, Coll Geog Sci, Inst Geog, Fuzhou 350007, Fujian, Peoples R China; [Torii, Masayuki] Okayama Univ Sci, Fac Informat, Okayama 7000005, Japan; [Ishikawa, Naoto] Kyoto Univ, Grad Sch Human &amp; Environm Studies, Kyoto 6068501, Japan; [Zhang, Maosheng] Minist Land &amp; Resources China, Xian Ctr Geol Survey, Key Lab Geohazard Loess Area, Xian 710054, Shaanxi, Peoples R China; [Yang, Shengli] Lanzhou Univ, Coll Earth &amp; Environm Sci, Key Lab Western Chinas Environm Syst, Lanzhou 730000, Gansu, Peoples R China</t>
  </si>
  <si>
    <t>Chinese Academy of Sciences; Institute of Earth Environment, CAS; Chinese Academy of Sciences; Institute of Tibetan Plateau Research, CAS; Fujian Normal University; Okayama University of Science; Kyoto University; Ministry of Natural Resources of the People's Republic of China; China Geological Survey; Xi'an Center, China Geological Survey; Lanzhou University</t>
  </si>
  <si>
    <t>Song, YG (corresponding author), Chinese Acad Sci, Inst Earth Environm, State Key Lab Loess &amp; Quaternary Geol, Xian 710061, Shaanxi, Peoples R China.</t>
  </si>
  <si>
    <t>ygsong@loess.llqg.ac.cn</t>
  </si>
  <si>
    <t>Ishikawa, Naoto/IAP-1328-2023; Yang, Shengli/AFJ-8986-2022; Song, yougui/I-8813-2014</t>
  </si>
  <si>
    <t>Song, yougui/0000-0003-0064-3260; Ishikawa, Naoto/0000-0001-7506-9123</t>
  </si>
  <si>
    <t>Natural Science Foundation of China (NSFC) [41290253, 41572162, 41472147]; Xi'an Centre of Geological Survey, CGS [[2017]0438]; International partnership Program of Chinese Academy of Sciences (CAS) [132B61KYS20160002]; Scientific and Technological Innovation Team of CAS [CAS Renzi (2013)47]</t>
  </si>
  <si>
    <t>Natural Science Foundation of China (NSFC)(National Natural Science Foundation of China (NSFC)); Xi'an Centre of Geological Survey, CGS; International partnership Program of Chinese Academy of Sciences (CAS); Scientific and Technological Innovation Team of CAS</t>
  </si>
  <si>
    <t>We greatly appreciate the constructive suggestions and comments from the editors Thomas Algeo and Hanlie Hong and anonymous reviewers. We are grateful to Cor Langereis, Mike Dekker, Guillaume Dupont-Nivet, Zhihong Gong, Fuli Wu, Kaodao Fu, Liangqing Lu for laboratory guidance and field help. We would like to thank Prof. Jan Bloemendal for his good suggestions and language polishing. This work was supported by Natural Science Foundation of China (NSFC) (nos: 41290253, 41572162, 41472147), Xi'an Centre of Geological Survey, CGS (CGS Diaosheng [2017]0438), International partnership Program of Chinese Academy of Sciences (CAS) (no: 132B61KYS20160002) and Scientific and Technological Innovation Team of CAS (no: CAS Renzi (2013)47).</t>
  </si>
  <si>
    <t>10.1016/j.palaeo.2017.09.025</t>
  </si>
  <si>
    <t>HD5QN</t>
  </si>
  <si>
    <t>WOS:000452585100011</t>
  </si>
  <si>
    <t>Wallis, JR</t>
  </si>
  <si>
    <t>Wallis, Jake R.</t>
  </si>
  <si>
    <t>A description of the post-naupliar development of Southern Ocean krill (Thysanoessa macrura)</t>
  </si>
  <si>
    <t>Larvae; Ontogenesis; Calyptopis; Furcilia</t>
  </si>
  <si>
    <t>EUPHAUSIA-SUPERBA; LARVAL; CRUSTACEA</t>
  </si>
  <si>
    <t>Southern Ocean krill (Thysanoessa macrura) is one of the most abundant euphausiid species in the Southern Ocean. Despite a wide distribution and high abundance this species remains poorly understood. Unique ecological traits of this species, including a late-winter reproductive period, highly omnivorous diet and large lipid deposits within the carapace, suggest T. macrura is attuned to the seasonal patterns of the Southern Ocean. The absence of the descriptions of T. macrura larval stages limits the development of a comprehensive understanding of the early life-history of this species. Here, I provide the first detailed descriptions of the post-naupliar larval developmental stages of T. macrura with accompanying photographic documentation. Three calyptopis and 6 furcilia stages were identified and described for T. macrura, providing an accessible guide for their identification in both historical samples and for future investigations.</t>
  </si>
  <si>
    <t>[Wallis, Jake R.] Univ Tasmania, Inst Marine &amp; Antarctic Studies, Private Bag 129, Hobart, Tas 7001, Australia; [Wallis, Jake R.] Univ Tasmania, Antarctic Climate &amp; Ecosyst Cooperat Res Ctr, Private Bag 80, Hobart, Tas 7001, Australia</t>
  </si>
  <si>
    <t>University of Tasmania; Antarctic Climate &amp; Ecosystems Cooperative Research Centre (ACE CRC); University of Tasmania</t>
  </si>
  <si>
    <t>Wallis, JR (corresponding author), Univ Tasmania, Inst Marine &amp; Antarctic Studies, Private Bag 129, Hobart, Tas 7001, Australia.;Wallis, JR (corresponding author), Univ Tasmania, Antarctic Climate &amp; Ecosyst Cooperat Res Ctr, Private Bag 80, Hobart, Tas 7001, Australia.</t>
  </si>
  <si>
    <t>jrwallis@utas.edu.au</t>
  </si>
  <si>
    <t>Wallis, Jake/0000-0003-2932-612X</t>
  </si>
  <si>
    <t>AAS Grants [4331, 4344, 4037]; Antarctic Climate and Ecosystems Cooperative Research Centre (ACE CRC)</t>
  </si>
  <si>
    <t>AAS Grants; Antarctic Climate and Ecosystems Cooperative Research Centre (ACE CRC)(Australian GovernmentDepartment of Industry, Innovation and ScienceCooperative Research Centres (CRC) Programme)</t>
  </si>
  <si>
    <t>I thank both Dr Kerrie Swadling and Dr So Kawaguchi for the assistance and expertise they provided. This project was supported by AAS Grants 4331, 4344 and 4037. This research was supported by the Antarctic Climate and Ecosystems Cooperative Research Centre (ACE CRC).</t>
  </si>
  <si>
    <t>10.1007/s00300-018-2378-2</t>
  </si>
  <si>
    <t>HD2XW</t>
  </si>
  <si>
    <t>WOS:000452376500001</t>
  </si>
  <si>
    <t>Queirós, JP; Cherel, Y; Ceia, FR; Hilário, A; Roberts, J; Xavier, JC</t>
  </si>
  <si>
    <t>Queiros, Jose P.; Cherel, Yves; Ceia, Filipe R.; Hilario, Ana; Roberts, Jim; Xavier, Jose C.</t>
  </si>
  <si>
    <t>Ontogenic changes in habitat and trophic ecology in the Antarctic squid Kondakovia longimana derived from isotopic analysis on beaks</t>
  </si>
  <si>
    <t>Cephalopoda; Southern Ocean; Onychoteuthidae; Kondakovia longimana; Antarctica</t>
  </si>
  <si>
    <t>MARINE FOOD-WEB; FORAGING AREAS; CEPHALOPOD BEAKS; STABLE-ISOTOPES; OCEAN; CARBON; ALBATROSSES; PREDATORS; NITROGEN; DELTA-N-15</t>
  </si>
  <si>
    <t>The life histories of cephalopods are still not well described. Stable isotopic analysis of cephalopod beaks is an effective method to study thehabitat and trophic ecology of this group of organisms. As beaks grow continuously throughout squid's life without replacement, we hypothesised that analysing different sections along the beak will provide information on the ontogenetic shifts during the individual's lifetime. Here we used the Southern Ocean squid Kondakovia longimana as a model species to test the reliability of this method along the beaks of Antarctic species. Growing patterns show that beaks grow throughout the squid lifetime by a continuous deposition of material. This new material can influence the results of the stable isotopic analysis. C-13 and N-15 values (from -26.3 to -20.6 parts per thousand and from +3.2 to +8.2 parts per thousand, respectively) from different beak regions indicated that K. longimana inhabits regions spanning a wide latitudinal range, and the trophic level at which it feeds increases throughout its lifetime. Stable isotopic analysis of different sections of the cephalopod beak is a reliable technique to study habitat and trophic ecology throughout Antarctic squid's lifetime. Stable isotopic results showed an increase in N-15 values from the tip of the rostrum to the end of the hood and crest, in the upper beak, and to the free corner of lateral wall and wing in the lower beak. Our results also suggested that the upper beak is the best beak to study ontogenetic shifts, mainly in initial stages of the cephalopods' life, presenting lower values of N-15 than the lower beak.</t>
  </si>
  <si>
    <t>[Queiros, Jose P.; Hilario, Ana] Univ Aveiro, Dept Biol, Campus Univ Santiago, P-3810193 Aveiro, Portugal; [Queiros, Jose P.; Ceia, Filipe R.; Xavier, Jose C.] Univ Coimbra, Dept Ciencias Vida, MARE Marine &amp; Environm Sci Ctr, P-3001401 Coimbra, Portugal; [Cherel, Yves] Univ La Rochelle, CNRS, UMR 7372, Ctr Etud Biol Chize, F-79360 Villiers En Bois, France; [Hilario, Ana] Univ Aveiro, CESAM, Aveiro, Portugal; [Roberts, Jim] Natl Inst Water &amp; Atmospher Res, 301 Evans Bay Parade,POB 14-901, Wellington, New Zealand; [Xavier, Jose C.] British Antarctic Survey, NERC, Madingley Rd, Cambridge CB3 0ET, England</t>
  </si>
  <si>
    <t>Universidade de Aveiro; Universidade de Coimbra; Centre National de la Recherche Scientifique (CNRS); CNRS - Institute of Ecology &amp; Environment (INEE); La Rochelle Universite; Universidade de Aveiro; National Institute of Water &amp; Atmospheric Research (NIWA) - New Zealand; UK Research &amp; Innovation (UKRI); Natural Environment Research Council (NERC); NERC British Antarctic Survey</t>
  </si>
  <si>
    <t>Queirós, JP (corresponding author), Univ Aveiro, Dept Biol, Campus Univ Santiago, P-3810193 Aveiro, Portugal.;Queirós, JP (corresponding author), Univ Coimbra, Dept Ciencias Vida, MARE Marine &amp; Environm Sci Ctr, P-3001401 Coimbra, Portugal.</t>
  </si>
  <si>
    <t>josequeiros@ua.pt</t>
  </si>
  <si>
    <t>Xavier, José/KFB-6739-2024; Queirós, José P./K-4158-2019; Ceia, Filipe R./A-2196-2012; Hilario, Ana/C-1260-2008</t>
  </si>
  <si>
    <t>Queirós, José P./0000-0003-2763-2529; Ceia, Filipe R./0000-0002-5470-5183; Hilario, Ana/0000-0001-8287-1528; /0000-0002-9621-6660</t>
  </si>
  <si>
    <t>Fundacao para a Ciencia e Tecnologia (PT) [IF/00616/2013]; European Social Fund (POPH, EU) [SFRH/BPD/95372/2013]; British Antarctic Survey; Government of South Georgia; Government of South Sandwich Islands; CEPH; SCAR AnT-ERA; SCAR EGBAMM; PROPOLAR; ICED; NERC [bas0100035] Funding Source: UKRI</t>
  </si>
  <si>
    <t>Fundacao para a Ciencia e Tecnologia (PT); European Social Fund (POPH, EU); British Antarctic Survey; Government of South Georgia; Government of South Sandwich Islands; CEPH; SCAR AnT-ERA; SCAR EGBAMM; PROPOLAR; ICED; NERC(UK Research &amp; Innovation (UKRI)Natural Environment Research Council (NERC))</t>
  </si>
  <si>
    <t>The author Jose C. Xavier is supported by Fundacao para a Ciencia e Tecnologia (PT) through the grant (IF/00616/2013). Filipe R. Ceia is supported by Fundacao para a Ciencia e Tecnologia (PT) and European Social Fund (POPH, EU) through the grant (SFRH/BPD/95372/2013). The scientific work was supported by British Antarctic Survey, Government of South Georgia, Government of South Sandwich Islands and by several research programs, i.e. CEPH, SCAR AnT-ERA, SCAR EGBAMM, PROPOLAR and ICED.</t>
  </si>
  <si>
    <t>10.1007/s00300-018-2376-4</t>
  </si>
  <si>
    <t>WOS:000452376500002</t>
  </si>
  <si>
    <t>Fraysse, C; Calcagno, J; Pérez, AF</t>
  </si>
  <si>
    <t>Fraysse, Cintia; Calcagno, Javier; Perez, Analia F.</t>
  </si>
  <si>
    <t>Asteroidea of the southern tip of South America, including Namuncura Marine Protected Area at Burdwood Bank and Tierra del Fuego Province, Argentina</t>
  </si>
  <si>
    <t>Asteroidea; Richness; Marine Protected Area; SW Atlantic Ocean</t>
  </si>
  <si>
    <t>COSMASTERIAS-LURIDA ECHINODERMATA; ANTARCTIC SEA STAR; REPRODUCTIVE-BIOLOGY; BIODIVERSITY; VIVIPARITY; CHANNEL; MODES</t>
  </si>
  <si>
    <t>In benthic communities, echinoderms are dominant in terms of abundance and diversity, and Asteroidea play an important role in the structure of communities. In the present study, Asteroidea were sampled in the recently created Namuncura Marine Protected Area (N MPA) at Burdwood Bank (which has an average of 50-200m depth and is delimited by abrupt slopes), the surrounding shelf break and Tierra del Fuego Province, Argentina, at 24 stations at different depths and seabeds on board the oceanographic vessel ARA Puerto Deseado. A total of 32 Asteroidea species were identified. The bathymetric ranges were extended for two of them, and the geographic distribution was updated for seven of them, this being their first record in the N MPA. The N MPA showed higher asteroid richness than Tierra del Fuego Province and the surrounding shelf break. Moreover, this area presented species shared with Antarctica, which enhances the importance of the Malvinas Current (formed mainly by the contribution of Antarctic waters) in the larval dispersal of some species. On the other hand, a high percentage of the species found at the N MPA presented direct development with brooding females. The N MPA represents an important biodiversity hotspot. Thus, to contribute to the formulation of precise conservation strategies and enhance its protection, it is crucial to promote and continue the efforts to know more about the ecosystems at these latitudes.</t>
  </si>
  <si>
    <t>[Fraysse, Cintia; Calcagno, Javier; Perez, Analia F.] Univ Maimonides, CONICET, CEBBAD, Lab Invertebrados Marinos, Buenos Aires, DF, Argentina</t>
  </si>
  <si>
    <t>Consejo Nacional de Investigaciones Cientificas y Tecnicas (CONICET)</t>
  </si>
  <si>
    <t>Fraysse, C (corresponding author), Univ Maimonides, CONICET, CEBBAD, Lab Invertebrados Marinos, Buenos Aires, DF, Argentina.</t>
  </si>
  <si>
    <t>cyn.fraysse@gmail.com</t>
  </si>
  <si>
    <t>Fraysse, Cintia/0000-0002-0254-2263</t>
  </si>
  <si>
    <t>ANPCyT [PICT 2012 1270]; CONICET [PIP 0128]; Fundacion Felipe Fiorellino, Universidad Maimonides, Argentina</t>
  </si>
  <si>
    <t>ANPCyT(ANPCyT); CONICET(Consejo Nacional de Investigaciones Cientificas y Tecnicas (CONICET)); Fundacion Felipe Fiorellino, Universidad Maimonides, Argentina</t>
  </si>
  <si>
    <t>This study was funded by PICT 2012 1270 (ANPCyT), PIP 0128 (CONICET) and Fundacion Felipe Fiorellino, Universidad Maimonides, Argentina.</t>
  </si>
  <si>
    <t>10.1007/s00300-018-2377-3</t>
  </si>
  <si>
    <t>WOS:000452376500003</t>
  </si>
  <si>
    <t>Schoombie, S; Dilley, B; Davies, D; Ryan, PG</t>
  </si>
  <si>
    <t>Schoombie, Stefan; Dilley, Ben J.; Davies, Delia; Ryan, Peter G.</t>
  </si>
  <si>
    <t>The foraging range of Great Shearwaters (Ardenna gravis) breeding on Gough Island</t>
  </si>
  <si>
    <t>Ardenna gravis; Shearwater; Dive behaviour; Forage range; South Atlantic Ocean</t>
  </si>
  <si>
    <t>TRANS-EQUATORIAL MIGRATION; WHITE-CHINNED PETRELS; LONGLINE FISHERY; DIVING BEHAVIOR; PUFFINUS-GRAVIS; SEABIRD BYCATCH; HABITAT USE; ATLANTIC; PROCELLARIIFORM; ATTACHMENT</t>
  </si>
  <si>
    <t>Ardenna shearwaters have among the most extreme foraging trips of any central place forager, yet little is known about the foraging range of the largest member of the genus, the Great Shearwater (Ardenna gravis). GPS loggers were deployed on 20 Great Shearwaters (10 males and 10 females) nesting on Gough Island in the South Atlantic Ocean during the incubation and chick-rearing periods, recording a total of 25 foraging trips. Foraging trip characteristics were similar between sexes during incubation, but males tended to forage farther west than females. During chick-rearing, all tracked birds alternated long and short foraging trips. Long trips (20.2 +/- 2.3days) were similar in duration to incubation trips (22.2 +/- 5.3days), but the birds travelled greater distances during chick-rearing (9257 +/- 3249km) than during incubation (6863 +/- 2521km). Some commuting birds sustained speeds&gt;100km/h, with one bird covering almost 1000km in 10h. During incubation, birds mainly travelled southeast towards the Antarctic Polar Front, whereas chick-rearing birds travelled more widely. Our study provides new information on the distribution of Great Shearwaters while breeding.</t>
  </si>
  <si>
    <t>[Schoombie, Stefan; Dilley, Ben J.; Davies, Delia; Ryan, Peter G.] Univ Cape Town, DST NRF Ctr Excellence, FitzPatrick Inst African Ornithol, ZA-7701 Rondebosch, South Africa</t>
  </si>
  <si>
    <t>National Research Foundation - South Africa; University of Cape Town</t>
  </si>
  <si>
    <t>Schoombie, S (corresponding author), Univ Cape Town, DST NRF Ctr Excellence, FitzPatrick Inst African Ornithol, ZA-7701 Rondebosch, South Africa.</t>
  </si>
  <si>
    <t>schoombie@gmail.com</t>
  </si>
  <si>
    <t>Schoombie, Stefan/0000-0002-6566-0443</t>
  </si>
  <si>
    <t>South African Department of Environmental Affairs, through the South African National Antarctic Programme; National Research Foundation; University of Cape Town</t>
  </si>
  <si>
    <t>We thank the Tristan Conservation Department, Island Council and Administrator for permission to undertake research on Gough Island. Logistical and financial support was provided by the South African Department of Environmental Affairs, through the South African National Antarctic Programme, the National Research Foundation and the University of Cape Town.</t>
  </si>
  <si>
    <t>10.1007/s00300-018-2381-7</t>
  </si>
  <si>
    <t>WOS:000452376500005</t>
  </si>
  <si>
    <t>Han, J; Lee, MC; Park, JC; Kim, S; Lee, JS</t>
  </si>
  <si>
    <t>Han, Jeonghoon; Lee, Min-Chul; Park, Jun Chul; Kim, Sanghee; Lee, Jae-Seong</t>
  </si>
  <si>
    <t>Effects of temperature shifts on life parameters and expression of fatty acid synthesis and heat shock protein genes in temperate and Antarctic copepods Tigriopus japonicus and Tigriopus kingsejongensis</t>
  </si>
  <si>
    <t>Temperature; Tigriopus japonicus; Tigriopus kingsejongensis; Heat shock protein; Lipogenesis; Survival; Fecundity</t>
  </si>
  <si>
    <t>LIPID-COMPOSITION; CRUDE-OIL; REPRODUCTION; GROWTH; CRUSTACEA; RESPONSES; SURVIVAL; DAPHNIA; FISH</t>
  </si>
  <si>
    <t>Global warming, increase of the atmospheric temperature leading to changes in climate, is a growing environmental concern for all organisms including marine organisms, and many efforts have been made to reveal the potential adverse effects on the systematics of aquatic organisms in response to the temperature changes. To examine the effects of temperature shifts on copepods in temperate and polar regions, we compared the life parameters and gene expression profiles of the de novo lipogenesis (DNL) pathway and heat shock protein (hsp) genes in the temperate copepod Tigriopus japonicus (T. japonicus) and the Antarctic copepod Tigriopus kingsejongensis (T. kingsejongensis). The median lethal temperature (LT50) and no observed effect level (NOEL) in the temperate copepod T. japonicus were determined to be 35.3 and 32 degrees C, respectively, in response to a temperature increase of 2 degrees C a day. In the Antarctic copepod T. kingsejongensis, the LT50 and NOEL were determined to be 24.8 and 12 degrees C, respectively. In addition, delayed developmental time and impaired fecundity were observed (P&lt;0.05) in response to temperature changes in T. japonicus. T. japonicus DNL pathway genes were down-regulated in response to high temperature, whereas T. kingsejongensis DNL pathway genes showed up-regulation in response to high temperature, indicating that these two Tigriopus species have different modes of action in response to temperature shifts. In both copepods, transcription of heat shock proteins (hsps) was mostly up-regulated in response to temperature shifts, but it showed moderate expression at 15 degrees C for T. japonicus and 4 degrees C for T. kingsejongensis. These findings indicate temperature shift-mediated species-specific modulations of the DNL pathway and hsps gene expression, leading to alteration of lipid synthesis and chaperoning with deleterious effects on the life parameters of these two copepods.</t>
  </si>
  <si>
    <t>[Han, Jeonghoon; Lee, Min-Chul; Park, Jun Chul; Lee, Jae-Seong] Sungkyunkwan Univ, Dept Biol Sci, Coll Sci, Suwon 16419, South Korea; [Kim, Sanghee] Korea Polar Res Inst, Div Life Sci, Incheon 21990, South Korea</t>
  </si>
  <si>
    <t>Sungkyunkwan University (SKKU); Korea Polar Research Institute (KOPRI)</t>
  </si>
  <si>
    <t>Lee, JS (corresponding author), Sungkyunkwan Univ, Dept Biol Sci, Coll Sci, Suwon 16419, South Korea.</t>
  </si>
  <si>
    <t>jslee2@skku.edu</t>
  </si>
  <si>
    <t>Han, Jeonghoon/ABI-6920-2020; Lee, MC/ABI-5926-2020; Park, Jordan Jun Chul/ABI-6276-2020; Lee, Jae-Seong/H-6013-2015</t>
  </si>
  <si>
    <t>Lee, Jae-Seong/0000-0003-0944-5172</t>
  </si>
  <si>
    <t>National Research Foundation [2017R1A2B4010155]; Korea Polar Research Institute [PE18100]</t>
  </si>
  <si>
    <t>National Research Foundation; Korea Polar Research Institute(Korea Polar Research Institute of Marine Research Placement (KOPRI))</t>
  </si>
  <si>
    <t>This work was supported by a Grant from the National Research Foundation (2017R1A2B4010155) funded to Jeonghoon Han and by a Grant from the Korea Polar Research Institute (PE18100) funded to Jae-Seong Lee.</t>
  </si>
  <si>
    <t>10.1007/s00300-018-2382-6</t>
  </si>
  <si>
    <t>WOS:000452376500006</t>
  </si>
  <si>
    <t>Koc, J; Androsiuk, P; Chwedorzewska, KJ; Cuba-Díaz, M; Górecki, R; Gielwanowska, I</t>
  </si>
  <si>
    <t>Koc, Justyna; Androsiuk, Piotr; Chwedorzewska, Katarzyna Joanna; Cuba-Diaz, Marely; Gorecki, Ryszard; Gielwanowska, Irena</t>
  </si>
  <si>
    <t>Range-wide pattern of genetic variation in Colobanthus quitensis</t>
  </si>
  <si>
    <t>Antarctic pearlwort; Genetic diversity; Genetic structure; Antarctica; iPBS</t>
  </si>
  <si>
    <t>DESCHAMPSIA-ANTARCTICA DESV.; KING-GEORGE-ISLAND; PRIMER BINDING-SITE; KUNTH BARTL.; POPULATION-GENETICS; DIVERSITY; GENOME; VARIABILITY; IPBS; DIFFERENTIATION</t>
  </si>
  <si>
    <t>There is only one species representing Magnoliopsida which is considered as native to the Antarctic, i.e., Antarctic pearlwort (Colobanthus quitensis). Although it was intensively studied toward the morphophysiological adaptation to extreme environmental conditions of that area, there is still a lack of sufficient data on its genetic variability. Nine C. quitensis populations from Chile and the Maritime Antarctic were sampled to estimate the pattern of genetic variation in relation to the geographic distribution of analyzed populations and postglacial history of the species. The retrotransposon-based DNA marker system used in our studies appeared to be effective in revealing genetic polymorphism between individuals and genetic differentiation among populations. Although the level of polymorphism was low (9.57%), the Analysis of Molecular Variance showed that overall population differentiation was high (F-ST=0.6241) and revealed significant differentiation between the Northern and Southern Group of populations as well as the population from Conguillio Park. The observed genetic subdivision of C. quitensis populations was confirmed by Bayesian clustering and results of Principal Coordinates Analysis. The Southern Group of populations was characterized by generally higher genetic diversity, which was expressed by the values of the effective number of alleles, expected heterozygosity and by the distribution of private alleles. Our results suggest that the species may have survived the Last Glacial Maximum in refugia located both on the South American continent and in geographically isolated islands of the Maritime Antarctic, i.e., they support the concept of the multiregional origin of C. quitensis in Antarctica.</t>
  </si>
  <si>
    <t>[Koc, Justyna; Androsiuk, Piotr; Gorecki, Ryszard; Gielwanowska, Irena] Univ Warmia &amp; Mazury, Fac Biol &amp; Biotechnol, Dept Plant Physiol Genet &amp; Biotechnol, Ul M Oczapowskiego 1A, PL-10719 Olsztyn, Poland; [Chwedorzewska, Katarzyna Joanna] Polish Acad Sci, Inst Biochem &amp; Biophys, Ul Pawinskiego 5A, PL-02106 Warsaw, Poland; [Chwedorzewska, Katarzyna Joanna] Warsaw Univ Life Sci SGGW, Dept Agron, Nowoursynowska 159, PL-02766 Warsaw, Poland; [Cuba-Diaz, Marely] Univ Concepcion, Escuela Ciencias &amp; Tecnol, Lab Biotecnol &amp; Estudios Ambientales, Campus Los Angeles,Casilla 341, Los Angeles, Chile</t>
  </si>
  <si>
    <t>University of Warmia &amp; Mazury; Polish Academy of Sciences; Institute of Biochemistry &amp; Biophysics - Polish Academy of Sciences; Warsaw University of Life Sciences; Universidad de Concepcion</t>
  </si>
  <si>
    <t>Androsiuk, P (corresponding author), Univ Warmia &amp; Mazury, Fac Biol &amp; Biotechnol, Dept Plant Physiol Genet &amp; Biotechnol, Ul M Oczapowskiego 1A, PL-10719 Olsztyn, Poland.</t>
  </si>
  <si>
    <t>piotr.androsiuk@uwm.edu.pl</t>
  </si>
  <si>
    <t>Chwedorzewska, Katarzyna J/A-9480-2008; Cuba-Diaz, Marely/V-3109-2019; Androsiuk, Piotr/M-6175-2019; Chwedorzewska, Katarzyna/M-9721-2019</t>
  </si>
  <si>
    <t>Androsiuk, Piotr/0000-0002-1851-3192; Chwedorzewska, Katarzyna/0000-0001-6860-3666</t>
  </si>
  <si>
    <t>Polish Ministry of Scientific Research and Higher Education Grant [NN303796240]</t>
  </si>
  <si>
    <t>Polish Ministry of Scientific Research and Higher Education Grant</t>
  </si>
  <si>
    <t>This research was partly supported by the Polish Ministry of Scientific Research and Higher Education Grant NN303796240. Samples were also collected on Henryk Arctowski Polish Antarctic Station. We would like to thank Editor and three anonymous Reviewers for constructive advice that has improved our paper.</t>
  </si>
  <si>
    <t>10.1007/s00300-018-2383-5</t>
  </si>
  <si>
    <t>WOS:000452376500007</t>
  </si>
  <si>
    <t>Duarte, AWF; Barato, MB; Nobre, FS; Polezel, DA; de Oliveira, TB; dos Santos, JA; Rodrigues, A; Sette, LD</t>
  </si>
  <si>
    <t>Fernandes Duarte, Alysson Wagner; Barato, Mariana Blanco; Nobre, Fernando Suzigan; Polezel, Danilo Augusto; de Oliveira, Tassio Brito; dos Santos, Juliana Aparecida; Rodrigues, Andre; Sette, Lara Duraes</t>
  </si>
  <si>
    <t>Production of cold-adapted enzymes by filamentous fungi from King George Island, Antarctica</t>
  </si>
  <si>
    <t>Extremophiles; Microbial biotechnology; Ligninolytic enzymes; l-Asparaginase; Xylanase</t>
  </si>
  <si>
    <t>SP NOV.; MANGANESE PEROXIDASE; MARINE; DIVERSITY; TERRESTRIAL; COMMUNITIES; LACCASE; MACROALGAE; MICROFUNGI; MYCOBIOTA</t>
  </si>
  <si>
    <t>Antarctic environments are characterized by polar climate, making it difficult for the development of any form of life. The biogeochemical cycles and food web in such restrictive environments may be exclusively formed by microorganisms. Polar mycological studies are recent and there is much to know about the diversity and genetic resources of these microorganisms. In this sense, the molecular taxonomic approach was applied to identify 129 fungal isolates from marine and terrestrial samples collected from the King George Island (South Shetland Islands, Maritime Antarctic). Additionally, the production of cold-adapted enzymes by these microorganisms was evaluated. Among the 129 isolates, 69.0% were identified by ITS-sequencing and affiliated into 12 genera. Cadophora, Geomyces, Penicillium, Cosmospora, and Cladosporium were the most abundant genera. Representatives of Cosmospora were isolated only from terrestrial samples, while representatives of the others genera were recovered from marine and terrestrial samples. A total of 29, 19, and 74 isolates were able to produce ligninolytic enzymes, xylanase, and l-asparaginase, respectively. Representatives of Cadophora showed great ability to produce lignin peroxidase (LiP) and laccase at 15.0 degrees C in liquid medium, while representatives of Penicillium and non-identified fungi were the best producers of xylanase and l-asparaginase at 20.0 degrees C. The high number of fungi able to produce enzymes at moderate temperature reveals their potential for industrial production and biotechnological applications. The present study broadens the knowledge of fungal diversity associated with the southern polar region. Additionally, data from molecular taxonomy suggest that two filamentous fungi may be considered as potential new species.</t>
  </si>
  <si>
    <t>[Fernandes Duarte, Alysson Wagner] Univ Fed Alagoas, Campus Arapiraca, Arapiraca, Brazil; [Barato, Mariana Blanco; Nobre, Fernando Suzigan; Sette, Lara Duraes] Campinas State Univ UNICAMP, Chem Biol &amp; Agr Pluridisciplinary Res Ctr CPQBA, Div Microbial Resources, Paulinia, Brazil; [Polezel, Danilo Augusto; de Oliveira, Tassio Brito; dos Santos, Juliana Aparecida; Rodrigues, Andre; Sette, Lara Duraes] Sao Paulo State Univ UNESP, Dept Biochem &amp; Microbiol, Inst Biosci, Rio Claro, Brazil</t>
  </si>
  <si>
    <t>Universidade Federal de Alagoas; Universidade Estadual de Campinas; Universidade Estadual Paulista</t>
  </si>
  <si>
    <t>Sette, LD (corresponding author), Campinas State Univ UNICAMP, Chem Biol &amp; Agr Pluridisciplinary Res Ctr CPQBA, Div Microbial Resources, Paulinia, Brazil.;Sette, LD (corresponding author), Sao Paulo State Univ UNESP, Dept Biochem &amp; Microbiol, Inst Biosci, Rio Claro, Brazil.</t>
  </si>
  <si>
    <t>rodrigues, andre/JWP-8432-2024; Rodrigues, Andre/B-8148-2012; Sette, Lara Durães/C-8298-2013; de Oliveira, Tassio Brito/E-3671-2017; dos Santos, Juliana Aparecida/ITW-1493-2023; Duarte, Alysson Wagner Fernandes/S-8062-2019</t>
  </si>
  <si>
    <t>Rodrigues, Andre/0000-0002-4164-9362; Sette, Lara Durães/0000-0002-5980-3786; de Oliveira, Tassio Brito/0000-0002-4666-7930; dos Santos, Juliana Aparecida/0000-0003-4654-4698; Duarte, Alysson Wagner Fernandes/0000-0001-9626-7524</t>
  </si>
  <si>
    <t>Fundacao de Amparo a Pesquisa do Estado de Sao Paulo [2013/19486-0, 2016/07957-7]; Coordenacao de Aperfeicoamento Pessoal de Nivel Superior (CAPES); Conselho Nacional de Desenvolvimento Cientifico e Tecnologico (CNPq) [303145/2016-1]; Fundacao de Amparo a Pesquisa do Estado de Sao Paulo (FAPESP) [13/19486-0, 16/07957-7] Funding Source: FAPESP</t>
  </si>
  <si>
    <t>Fundacao de Amparo a Pesquisa do Estado de Sao Paulo(Fundacao de Amparo a Pesquisa do Estado de Sao Paulo (FAPESP)); Coordenacao de Aperfeicoamento Pessoal de Nivel Superior (CAPES)(Coordenacao de Aperfeicoamento de Pessoal de Nivel Superior (CAPES)); Conselho Nacional de Desenvolvimento Cientifico e Tecnologico (CNPq)(Conselho Nacional de Desenvolvimento Cientifico e Tecnologico (CNPQ)); Fundacao de Amparo a Pesquisa do Estado de Sao Paulo (FAPESP)(Fundacao de Amparo a Pesquisa do Estado de Sao Paulo (FAPESP))</t>
  </si>
  <si>
    <t>This study was financed by Fundacao de Amparo a Pesquisa do Estado de Sao Paulo (Grants 2013/19486-0, 2016/07957-7). MBB and JAS thank the Coordenacao de Aperfeicoamento Pessoal de Nivel Superior (CAPES) for their scholarships. LDS thanks the Conselho Nacional de Desenvolvimento Cientifico e Tecnologico (CNPq) for the Productivity Fellowship (303145/2016-1) and the Brazilian Antarctic Program (PROANTAR). The authors thank Professor Eduardo C. M. Hajdu and Dr. Itamar S. de Melo for the samplings of marine invertebrates and ornithogenic soil, respectively.</t>
  </si>
  <si>
    <t>10.1007/s00300-018-2387-1</t>
  </si>
  <si>
    <t>WOS:000452376500010</t>
  </si>
  <si>
    <t>Diez, MJ; Cabreira, AG; Madirolas, A; De Nascimento, JM; Scioscia, G; Schiavini, A; Lovrich, GA</t>
  </si>
  <si>
    <t>Diez, Mariano J.; Cabreira, Ariel G.; Madirolas, Adrian; Martin De Nascimento, Jacobo; Scioscia, Gabriela; Schiavini, Adrian; Lovrich, Gustavo A.</t>
  </si>
  <si>
    <t>Winter is cool: spatio-temporal patterns of the squat lobster Munida gregaria and the Fuegian sprat Sprattus fuegensis in a sub-Antarctic estuarine environment</t>
  </si>
  <si>
    <t>Beagle Channel; Pelagic schools and swarms; Negative interactions; Seasonal fluctuations; Magellanic region</t>
  </si>
  <si>
    <t>SAN-JORGE GULF; BEAGLE CHANNEL; PATAGONIAN SPRAT; ANOMURA; DECAPODA; GALATHEIDAE; SUBRUGOSA; FABRICIUS; ABUNDANCE; ECOLOGY</t>
  </si>
  <si>
    <t>In the sub-Antarctic waters of southern South America, two species that form conspicuous pelagic aggregations are considered both potential fishery resources and ecologically important: the Fuegian sprat Sprattus fuegensis and the squat lobster Munida gregaria. Here, we estimate spatio-temporal patterns of the relative abundance, distribution and potential areas of overlapping of M. gregaria and S. fuegensis in the Beagle Channel. Acoustic data were collected from 18 surveys conducted between 2009 and 2016 in the Beagle Channel. Our observations on the pelagic aggregations revealed that M. gregaria swarms and S. fuegensis schools occurred along the channel throughout the year. However, the occurrence of S. fuegensis was more evident in the inner part of the channel during the winter. There was a negative relationship between the relative abundance of squat lobsters and Fuegian sprats throughout the year. This interaction may result from spatial competition associated with resources, particularly in summer. The vertical distribution and morphology of aggregations of both species showed seasonal differences. Specifically, schools of Fuegian sprats were typically pelagic in summer, whereas in winter they were bigger and associated with the bottom layer. This change could be associated with a seasonal change in the oceanographic regime of the Beagle Channel. The information presented here is necessary to understand processes in a context of possible opening of fisheries targeting these two species that have key ecological roles in this sub-Antarctic ecosystem.</t>
  </si>
  <si>
    <t>[Diez, Mariano J.; Martin De Nascimento, Jacobo; Scioscia, Gabriela; Schiavini, Adrian; Lovrich, Gustavo A.] Consejo Nacl Invest Cient &amp; Tecn, Ctr Austral Invest Cient &amp; Tecn CADIC, Houssay 200,V9410CAB, Ushuaia, Tierra Del Fueg, Argentina; [Cabreira, Ariel G.; Madirolas, Adrian] Inst Nacl Invest &amp; Desarrollo Pesquero INIDEP, Paseo Victoria Ocampo 1,B7602HSA, Mar Del Plata, Buenos Aires, Argentina</t>
  </si>
  <si>
    <t>Consejo Nacional de Investigaciones Cientificas y Tecnicas (CONICET); Consejo Nacional de Investigaciones Cientificas y Tecnicas (CONICET); National Fisheries Research &amp; Development Institute (INIDEP)</t>
  </si>
  <si>
    <t>Diez, MJ (corresponding author), Consejo Nacl Invest Cient &amp; Tecn, Ctr Austral Invest Cient &amp; Tecn CADIC, Houssay 200,V9410CAB, Ushuaia, Tierra Del Fueg, Argentina.</t>
  </si>
  <si>
    <t>marianodiez@cadic-conicet.gob.ar</t>
  </si>
  <si>
    <t>Martin, Jacobo/F-1388-2011</t>
  </si>
  <si>
    <t>Martin, Jacobo/0000-0001-8933-7731; Schiavini, Adrian Carlos Miguel/0000-0001-6621-4827; Diez, Mariano/0000-0003-3588-9113; Lovrich, Gustavo/0000-0001-8424-6566</t>
  </si>
  <si>
    <t>Agencia Nacional de Promocion Cientifica y Tecnologica [PICTs 10-1123, 13-0500, 14-3106, 16-0195]; Consejo Nacional de Investigaciones Cientificas y Tecnicas (PUE 2016 CADIC)</t>
  </si>
  <si>
    <t>Agencia Nacional de Promocion Cientifica y Tecnologica(ANPCyTSpanish Government); Consejo Nacional de Investigaciones Cientificas y Tecnicas (PUE 2016 CADIC)</t>
  </si>
  <si>
    <t>We are grateful to M. Perez, pilot of the CADIC boat Don Pedro, and the captains and crews of the R/V Puerto Deseado for their assistance with the acoustic surveys. Special thanks are extended to S. Harris and M. Liljesthrom for the comments and the English edition and N. Dellabianca for helping with the GAM models. Carlos Robinson and two anonymous reviewers improved a previous version of the manuscript. This study was funded by the Agencia Nacional de Promocion Cientifica y Tecnologica (PICTs 10-1123, 13-0500, 14-3106, 16-0195) and Consejo Nacional de Investigaciones Cientificas y Tecnicas (PUE 2016 CADIC). This is INIDEP Contribution No. 2068. MD, JM, GS, AS and GL are scientific researchers from CONICET, Argentina.</t>
  </si>
  <si>
    <t>10.1007/s00300-018-2394-2</t>
  </si>
  <si>
    <t>WOS:000452376500016</t>
  </si>
  <si>
    <t>Piacentino, GLM; Moreira, E; Barrera-Oro, E</t>
  </si>
  <si>
    <t>Piacentino, Gabriela L. M.; Moreira, Eugenia; Barrera-Oro, Esteban</t>
  </si>
  <si>
    <t>Early stages of notothenioid fish from Potter Cove, South Shetland Islands</t>
  </si>
  <si>
    <t>Antarctic ichthyoplankton; Notothenioidei; Larvae; Eggs</t>
  </si>
  <si>
    <t>LIFE HISTORY TRAITS; HARPAGIFER-ANTARCTICUS; BRANSFIELD STRAIT; DIETARY OVERLAP; FOOD-WEB; REPRODUCTION; ABUNDANCE; INSHORE; ECOLOGY; WATERS</t>
  </si>
  <si>
    <t>At Potter Cove, King George Island/Isla 25 de Mayo, South Shetland Islands, significant ichthyological research has been conducted in the last three decades, mainly on the general ecology of notothenioid species in demersal stages from young juveniles to adults. Nevertheless, the knowledge of the ichthyoplankton composition in the cove, necessary for the overall comprehension of the dynamics of the fish species life-cycles, remained unexplored. Here, we report the first record of the early stages of Antarctic notothenioids collected in pelagic hauls at Potter Cove in summer 2014 and 2016 at depths of 6-9m where total bottom depth ranged 30-190m. The ichthyoplankton was represented by members of the families Harpagiferidae, Nototheniidae and Bathydraconidae. It consists of (1) 37 larval stages (preflexion and postflexion) of the species Harpagifer antarcticus (the most abundant), Psilodraco breviceps, Lepidonotothen squamifrons, Pleuragramma antarcticum and Trematomus scotti, and (2) 15 eggs of Notothenia coriiceps, of which two larvae hatched in the aquarium. Part of this material is illustrated by photographs. The presence of early life stages of fish in the cove is linked to the major influx from the Bransfield Strait and also depends on local environmental conditions (i.e., hydrologic, water circulation). In addition to being a spawning site for Parachaenichthys charcoti, already reported in the literature, nearshore localities of the South Shetland Islands such as Potter Cove appear to also be spawning sites for N. coriiceps, H. antarcticus and Chaenocephalus aceratus.</t>
  </si>
  <si>
    <t>[Piacentino, Gabriela L. M.; Barrera-Oro, Esteban] Museo Argentino Ciencias Nat Bernardino Rivadavia, A Gallardo 470,CI405DJR, Buenos Aires, DF, Argentina; [Moreira, Eugenia; Barrera-Oro, Esteban] Inst Antartico Argentino, 25 Mayo 1143, RA-1143 San Martin, Buenos Aires, Argentina; [Moreira, Eugenia; Barrera-Oro, Esteban] Consejo Nacl Invest Cient &amp; Tecn, Buenos Aires, DF, Argentina</t>
  </si>
  <si>
    <t>Museo Argentino de Ciencias Naturales Bernardino Rivadavia (MACN); Instituto Antartico Argentino; Consejo Nacional de Investigaciones Cientificas y Tecnicas (CONICET)</t>
  </si>
  <si>
    <t>Barrera-Oro, E (corresponding author), Museo Argentino Ciencias Nat Bernardino Rivadavia, A Gallardo 470,CI405DJR, Buenos Aires, DF, Argentina.;Barrera-Oro, E (corresponding author), Inst Antartico Argentino, 25 Mayo 1143, RA-1143 San Martin, Buenos Aires, Argentina.;Barrera-Oro, E (corresponding author), Consejo Nacl Invest Cient &amp; Tecn, Buenos Aires, DF, Argentina.</t>
  </si>
  <si>
    <t>gabpia@ciudad.com.ar; ebarreraoro@dna.gov.ar</t>
  </si>
  <si>
    <t>MOREIRA, EUGENIA/0000-0002-3704-1696</t>
  </si>
  <si>
    <t>10.1007/s00300-018-2366-6</t>
  </si>
  <si>
    <t>WOS:000452376500017</t>
  </si>
  <si>
    <t>Colominas-Ciuró, R; Santos, M; Coria, N; Barbosa, A</t>
  </si>
  <si>
    <t>Colominas-Ciuro, Roger; Santos, Mercedes; Coria, Nestor; Barbosa, Andres</t>
  </si>
  <si>
    <t>Sex-specific foraging strategies of Adelie penguins (Pygoscelis adeliae): Females forage further and on more krill than males in the Antarctic Peninsula</t>
  </si>
  <si>
    <t>Adelie penguins; Antarctic Peninsula; Diet; Foraging habitat; Sexual segregation; Stable isotope analyses (SIA)</t>
  </si>
  <si>
    <t>STABLE-ISOTOPES; BECHERVAISE ISLAND; BEHAVIOR; DIET; POPULATION; DELTA-C-13; SUCCESS; AREAS; ENRICHMENT; PREDATORS</t>
  </si>
  <si>
    <t>Sexual segregation characterises many animal communities, and in seabirds (including penguins), foraging strategies are known to vary with sex. The forging strategies of Adelie penguins (Pygoscelis adeliae) have been studied to some extent in some Antarctic locations; however, sex-based differences in foraging in this species have only been studied in depth in East Antarctica. Therefore, in this study, we aim to determine whether sexual segregation drives the foraging ecology [in terms of foraging habitat and diet based on analysis of stable carbon (C-13) and nitrogen (N-15) isotopes, respectively] of Adelie penguins in the Antarctic Peninsula (Hope Bay) during the breeding season. Our results showed strong sexual isotopic spatial segregation. Females forage for more krill than fish in more offshore, pelagic waters in contrast to males which feed equally on both items in more inshore, benthic waters. These results suggest a link between foraging habitat and diet that differs according to sex, similar to that found in East Antarctica. Given these similarities, we hypothesise that the foraging ecology of Adelie penguins varies with sex throughout the Antarctic continent. Nevertheless, further research in other locations such as in western Antarctica is needed to confirm this hypothesis.</t>
  </si>
  <si>
    <t>[Colominas-Ciuro, Roger; Barbosa, Andres] CSIC, Museo Nacl Ciencias Nat, Dept Ecol Evolut, C Jose Gutierrez Abascal 2, Madrid 28006, Spain; [Santos, Mercedes; Coria, Nestor] Inst Antartico Argentino, Div Biol, 25 Mayo, RA-1143 San Martin, Buenos Aires, Argentina</t>
  </si>
  <si>
    <t>Consejo Superior de Investigaciones Cientificas (CSIC); CSIC - Museo Nacional de Ciencias Naturales (MNCN); Instituto Antartico Argentino</t>
  </si>
  <si>
    <t>Colominas-Ciuró, R (corresponding author), CSIC, Museo Nacl Ciencias Nat, Dept Ecol Evolut, C Jose Gutierrez Abascal 2, Madrid 28006, Spain.</t>
  </si>
  <si>
    <t>rcolominas@mncn.csic.es</t>
  </si>
  <si>
    <t>Colominas Ciuró, Roger/HOF-9267-2023; Barbosa, Andres/C-3208-2008; Colominas-Ciuro, Roger/ADL-7809-2022</t>
  </si>
  <si>
    <t>Barbosa, Andres/0000-0001-8434-3649; Colominas-Ciuro, Roger/0000-0001-6312-0702</t>
  </si>
  <si>
    <t>Spanish Ministry of Economy and Competitiveness [CTM2011-24427, CTM2015-64720-R, BES2012-059299]</t>
  </si>
  <si>
    <t>Spanish Ministry of Economy and Competitiveness(Spanish Government)</t>
  </si>
  <si>
    <t>This study is a contribution to the PINGUCLIM Project. We very much appreciate the hospitality and logistical support provided by the Argentinian Antarctic Institute (IAA) and the Argentinian Antarctic bases Esperanza and Marambio. This study was funded by the Spanish Ministry of Economy and Competitiveness (CTM2011-24427, CTM2015-64720-R and BES2012-059299). We thank G. Ballard and an anonymous referee for their constructive comments on the manuscript, and Melinda Modrell for editing the English language usage.</t>
  </si>
  <si>
    <t>10.1007/s00300-018-2395-1</t>
  </si>
  <si>
    <t>WOS:000452376500021</t>
  </si>
  <si>
    <t>Bhattacharya, BB</t>
  </si>
  <si>
    <t>Bhattacharya, Bimalendu B.</t>
  </si>
  <si>
    <t>Electromagnetic and electrical studies in and around Schirmacher oasis, Antarctica by Indian Antarctic scientific expeditions</t>
  </si>
  <si>
    <t>Electromagnetic; Electrical studies; Schirmacher oasis; Antarctica; Indian expedition</t>
  </si>
  <si>
    <t>Transient electromagnetic (TEM), vertical electrical soundings (VES) and self-potential (SP) measurements were carried out in Schirmacher Oasis and in the adjoining shelf ice regions of Antarctica in the year 1984. TEM measurements with MPPO system of varying square loops were employed to measure thickness of shelf ice in the neighbourhood of Dakshin Gangotri station (since abandoned) which was estimated of the order of 100 m. The thickness of the ice cap in the vicinity of oasis, however, was found to be of the order of 400 m. VES and SP measurements were carried out in Schirmacher oasis in the vicinity of the Maitree station. VES measurements showed that the thickness of scree varied from 1.0 m to 2.5 m and the resistivity in the range of 50 Omega-m to 125 Omega-m. The thickness of weathered zone varied widely between 4.9 m and 21.5 m with resistivity varying in the range of 215 Omega-m to 450 Omega-m. The basement resistivity varied ranging from 700 Omega-m to 2,25,000 Omega-m. The purpose of SP measurements was to study the nature of SP processes in the oasis which remains in the subzero condition round the year. SP profiles in the oasis are featureless. SP measurements were made also to examine the possibility of reliable electric field measurements for determining the impedance of the ground, as a guideline, for future magnetotelluric (MT) measurements over the oasis for crustal studies. The Ground Penetrating Radar (GPR) survey detected the entrance shaft of size 95 cm x 99 cm at a depth of 2.00 m of the buried Dakshin Gangotri hanger, built in 1984-85. Magnetotelluric investigations subsequently made over the Schirmacher oasis indicate cratonic-type crust.</t>
  </si>
  <si>
    <t>[Bhattacharya, Bimalendu B.] Indian Ctr Space Phys, Kolkata 700084, India</t>
  </si>
  <si>
    <t>Bhattacharya, BB (corresponding author), Indian Ctr Space Phys, Kolkata 700084, India.</t>
  </si>
  <si>
    <t>bimalism@gmail.com</t>
  </si>
  <si>
    <t>Department of Ocean Development, Government of India; Indian Institute of Technology (Indian School of Mines), Dhanbad, India</t>
  </si>
  <si>
    <t>Department of Ocean Development, Government of India(Ministry of Earth Science (MoES), Government of India); Indian Institute of Technology (Indian School of Mines), Dhanbad, India</t>
  </si>
  <si>
    <t>The author thanks Department of Ocean Development, Government of India and Director, Indian School of Mines (now Indian Institute of Technology (Indian School of Mines)), Dhanbad, India for their support to carry out the work.</t>
  </si>
  <si>
    <t>10.1016/j.polar.2018.08.003</t>
  </si>
  <si>
    <t>WOS:000452591600004</t>
  </si>
  <si>
    <t>Saraswat, R; Roy, C; Khare, N; Saalim, SM; Kurtarkar, SR</t>
  </si>
  <si>
    <t>Saraswat, R.; Roy, C.; Khare, N.; Saalim, S. M.; Kurtarkar, S. R.</t>
  </si>
  <si>
    <t>Assessing the environmental significance of benthic foraminiferal morphogroups from the northern high latitudinal regions</t>
  </si>
  <si>
    <t>Fjords; Arctic; Foraminifera; Morpho-groups; Organic carbon</t>
  </si>
  <si>
    <t>ARCTIC FJORD; SURFACE SEDIMENTS; CONTINENTAL-MARGIN; GULLMAR FJORD; ROSALINA-LEEI; WEST-COAST; KONGSFJORDEN; SVALBARD; HYDROGRAPHY; ASSEMBLAGES</t>
  </si>
  <si>
    <t>The spatial distribution of benthic foraminiferal morpho-groups has been documented from the Kongsfjorden-Krossfjorden, to assess its environmental significance. Benthic foraminiferal abundance increases from the innermost fjord towards the mouth in Kongsfjorden. The calcareous forms dominate the benthic foraminiferal population in Kongsfjorden as compared to Krossfjorden. The agglutinated benthic foraminifera are relatively more abundant in Krossfjorden. The rounded symmetrical benthic foraminifera are the dominant morpho-group, due to the high energy conditions and generally well-oxygenated waters. A significant positive correlation between the relative abundance of rounded symmetrical benthic foraminifera and water depth, however, suggests the influence of factors other than turbulence. A more significant positive correlation is observed between the relative abundance of agglutinated rounded symmetrical benthic foraminifera and water depth. The relative abundance of calcareous angular asymmetrical benthic foraminifera is significantly negatively correlated with water depth. The significant correlation between foraminiferal parameters and water depth, suggests that meltwater and glacial calving, as well as associated changes in the sedimentation rate, grain size, pH and organic carbon, affect benthic foraminifera in high latitudinal fjords. The difference in the surface distribution of calcareous and agglutinated benthic foraminiferal morpho-groups implies their differential response to ambient conditions.</t>
  </si>
  <si>
    <t>[Saraswat, R.; Saalim, S. M.; Kurtarkar, S. R.] Natl Inst Oceanog, Micropaleontol Lab, Panaji, Goa, India; [Roy, C.] Oil &amp; Nat Gas Corp, Delhi, India; [Khare, N.] Minist Earth Sci, Prithvi Bhawan, Lodhi Rd, New Delhi, India</t>
  </si>
  <si>
    <t>Council of Scientific &amp; Industrial Research (CSIR) - India; CSIR - National Institute of Oceanography (NIO); Oil &amp; Natural Gas Corporation; Ministry of Earth Sciences (MoES) - India</t>
  </si>
  <si>
    <t>Saraswat, R (corresponding author), Natl Inst Oceanog, Micropaleontol Lab, Panaji, Goa, India.</t>
  </si>
  <si>
    <t>rsaraswat@nio.org</t>
  </si>
  <si>
    <t>Saraswat, Rajeev/AAG-5459-2020; Syed, Saalim/AAS-4994-2020</t>
  </si>
  <si>
    <t>KHARE, NELOY/0000-0001-8348-5696; Saraswat, Rajeev/0000-0003-2110-2578; Saalim, Syed Mohammad/0000-0002-0046-576X</t>
  </si>
  <si>
    <t>Norwegian Research Council</t>
  </si>
  <si>
    <t>The authors are thankful to the Director, National Institute of Oceanography, for the permission and encouragement to publish the results. The authors also thank the Director, National Center for Antarctic and Ocean Research, Goa, for the logistic support. We are also thankful to Prof. Nalan Koc and Dr. D. Klitgaard-Kristensen for the help during sampling. Authors also thankfully acknowledge the funding from the Norwegian Research Council.</t>
  </si>
  <si>
    <t>10.1016/j.polar.2018.08.002</t>
  </si>
  <si>
    <t>WOS:000452591600005</t>
  </si>
  <si>
    <t>Wanganeo, A; Wanganeo, RRN; Srivastava, RKN; Kumar, P</t>
  </si>
  <si>
    <t>Wanganeo, Ashwani; Wanganeo, Rajni Raina Nee; Srivastava, Rajni Khare Nee; Kumar, Pramod</t>
  </si>
  <si>
    <t>Variations in physico-chemical characteristics of water bodies placed at different geographical coordinates in Antarctica</t>
  </si>
  <si>
    <t>Physical parameter; Chemical parameter; Water bodies; Antarctica</t>
  </si>
  <si>
    <t>Present study was conducted in water bodies placed at different geographical coordinates viz., Schirmacher Hills and Larsemann Hills in Antarctica. The water bodies situated in Schirmacher Hills revealed the influence of melting glaciers on their hydrological regime during austral summer besides anthropogenic pressure, while, the water bodies situated in Larsemann Hills are under the influence of ingression from sea. Further, the rise in anthropogenic activities has been found to leave a marked impression of degradation in these water bodies. In order to maintain the pristine value of other water bodies attention is invited for reducing the anthropogenic activities in near future.</t>
  </si>
  <si>
    <t>[Wanganeo, Ashwani; Srivastava, Rajni Khare Nee; Kumar, Pramod] Barkatullah Univ, Dept Environm Sci &amp; Limnol, Bhopal 462026, Madhya Pradesh, India; [Wanganeo, Rajni Raina Nee] Govt Benazeer Coll Commerce &amp; Sci, Dept Zool, Bhopal 462008, Madhya Pradesh, India</t>
  </si>
  <si>
    <t>Barkatullah University</t>
  </si>
  <si>
    <t>Srivastava, RKN (corresponding author), Delhi Publ Sch, Sect Gama 2, Greater Noida 201308, Uttar Pradesh, India.</t>
  </si>
  <si>
    <t>rajni1971@gmail.com</t>
  </si>
  <si>
    <t>Barkatullah Unicersity, Bhopal; Delhi Public School, Greater Noida; Ministry of Earth Sciences; National Centre for Antarctic and Ocean Research, Goa; Government Benazir College of Commerce and Science, Bhopal</t>
  </si>
  <si>
    <t>The authors are grateful to the Vice Chancellor, Barkatullah Unicersity, Bhopal, Principal of the Government Benazir College of Commerce and Science, Bhopal and the Principal of the Delhi Public School, Greater Noida, (G.B. Nagar) for their encouragement and support to present study. The Ministry of Earth Sciences and the National Centre for Antarctic and Ocean Research, Goa are acknowledged for their financial and logistics support during the Indian Antarctic Expedition.</t>
  </si>
  <si>
    <t>10.1016/j.polar.2018.07.001</t>
  </si>
  <si>
    <t>WOS:000452591600007</t>
  </si>
  <si>
    <t>Kumar, A; Dwivedi, S; Pandey, AC</t>
  </si>
  <si>
    <t>Kumar, Anurag; Dwivedi, Suneet; Pandey, Avinash C.</t>
  </si>
  <si>
    <t>Quantifying predictability of sea ice around the Indian Antarctic stations using coupled ocean sea ice model with shelf ice</t>
  </si>
  <si>
    <t>Predictability; Indian Antarctic stations; Ocean sea ice modeling; Shelf ice</t>
  </si>
  <si>
    <t>RELATIVE DISPERSION; LYAPUNOV EXPONENTS; SURFACE-OCEAN; WEDDELL SEA; SHEET; CIRCULATION; PLIOCENE; WEATHER; SHELF/OCEAN; PATCHINESS</t>
  </si>
  <si>
    <t>The importance of ice shelf in realistic simulation of the ocean sea ice variability is demonstrated in the Southern Ocean region [9 E - 78 E; 58 S - 71 S] covering the Indian Antarctic Stations Maitri [11.7 E; 70.7 S] and Bharati [76.1 E; 69.4 S] during 2002-2012. A coupled ocean sea-ice modeling with ice shelf is carried out for this purpose. It is shown that the inclusion of shelf ice in the coupled model setup leads to better simulation of the sea surface temperature (SST), sea surface salinity (SSS), and sea ice concentration (SIC) of the region. The effect of ice shelf on the sub-surface temperature and salinity is also examined. The model derived surface currents are used to compute the Finite Time Lyapunov Exponent (FTLE) as a measure of spatio-temporal local predictability in the domain of study. The regions of high and low predictability and their seasonal evolution are clearly demonstrated using the FTLE. The chaotic time series analysis of sea ice volume (SIV) around the Maitri and Bharati stations is performed to examine the predictability of SIV. The largest Lyapunov exponent and Correlation dimension are used as the measures of predictability for this purpose. It is found that there exists a low-dimensional chaotic attractor around the Maitri and Bharati with the correlation dimension of 2.95 and 1.9, respectively. The FTLE as well as the largest Lyapunov exponent analysis suggests that the Maitri region is less predictable as compared to the Bharati region. The analysis reveals that the limit of predictability of the SIV around the Maitri and Bharati regions is 22 days and 25 days, respectively.</t>
  </si>
  <si>
    <t>[Dwivedi, Suneet] Univ Allahabad, K Banerjee Ctr Atmospher &amp; Ocean Studies, Allahabad 211002, Uttar Pradesh, India; Univ Allahabad, MN Saha Ctr Space Studies, Allahabad 211002, Uttar Pradesh, India</t>
  </si>
  <si>
    <t>University of Allahabad; University of Allahabad</t>
  </si>
  <si>
    <t>Dwivedi, S (corresponding author), Univ Allahabad, K Banerjee Ctr Atmospher &amp; Ocean Studies, Allahabad 211002, Uttar Pradesh, India.</t>
  </si>
  <si>
    <t>suneetdwivedi@gmail.com</t>
  </si>
  <si>
    <t>Pandey, Arvind/AHC-6803-2022; PANDEY, AVINASH CHANDRA/B-4600-2014; Dwivedi, Suneet/D-8008-2019</t>
  </si>
  <si>
    <t>PANDEY, AVINASH CHANDRA/0000-0003-0700-3856; Dwivedi, Suneet/0000-0001-9377-7713; Kumar, Anurag/0000-0002-5039-412X</t>
  </si>
  <si>
    <t>ISRO; ISRO/DST/NCAOR</t>
  </si>
  <si>
    <t>Authors thank two anonymous reviewers for their useful suggestions. AK is thankful to ISRO for providing Junior Research Fellowship. SD is thankful to the ISRO/DST/NCAOR or financial assistance in the form of research project. Thanks are also due to the NCEP/NCAR, ORAS4, and GIOMAS communities for making their data freely available for research purpose.</t>
  </si>
  <si>
    <t>10.1016/j.polar.2018.04.003</t>
  </si>
  <si>
    <t>WOS:000452591600011</t>
  </si>
  <si>
    <t>Singh, J; Singh, RP; Khare, R</t>
  </si>
  <si>
    <t>Singh, Jaswant; Singh, Rudra P.; Khare, Rajni</t>
  </si>
  <si>
    <t>Influence of climate change on Antarctic flora</t>
  </si>
  <si>
    <t>Antarctica; Biodiversity; Climate change; Lichens; Mosses</t>
  </si>
  <si>
    <t>ULTRAVIOLET-B RADIATION; VASCULAR PLANTS; COLOBANTHUS-QUITENSIS; SOUTHERN-OCEAN; ENVIRONMENTAL-CHANGE; ECOSYSTEM RESPONSE; DIVERSITY; ISLANDS; GROWTH; CO2</t>
  </si>
  <si>
    <t>Biodiversity of Antarctica includes climatically adapted microflora. Antarctic flora mainly contains cryptogams and are dominated by lichens, followed by mosses and algae. Among three bio-geographic zones of Antarctica, Sub-Antarctic zone is the most diverse and followed by Maritime and Continental zone. The Antarctic plant growth is largely limited to the coastal areas of Sub- and Maritime Antarctic regions. Two vascular plants; Deschampsia antarctica and Colobanthus quitensis are restricted along with other cryptogams at Antarctic Peninsula region. The average increase in temperature is the most prominent change in Antarctic Peninsula. Due to favorable conditions, cryptogams (lichens and mosses) are widely distributed in several localities of Antarctica. The algal growth is restricted to the semi permanent to permanent snow or melt ice and in floating water bodies of Antarctica. About 700 non-marine algal taxa were recorded from the different region of the Antarctica. Beside this, 200 additional taxa have been recorded from the continental Antarctica. The changes in temperature, pattern of cyclonic activity, availability of nutrients, water, high UV-B radiation along with other stresses posses obstacles for survival and distribution of Antarctic flora.</t>
  </si>
  <si>
    <t>[Singh, Jaswant; Singh, Rudra P.] Dr RML Avadh Univ, Dept Environm Sci, Faizabad 224001, UP, India; [Khare, Rajni] Delhi Publ Sch, Gautam Budh Nagar, UP, India</t>
  </si>
  <si>
    <t>Singh, J (corresponding author), Dr RML Avadh Univ, Dept Environm Sci, Faizabad 224001, UP, India.</t>
  </si>
  <si>
    <t>jaswant1983@yahoo.co.in</t>
  </si>
  <si>
    <t>Singh, Rudra Pratap/JXN-5361-2024</t>
  </si>
  <si>
    <t>10.1016/j.polar.2018.05.006</t>
  </si>
  <si>
    <t>WOS:000452591600012</t>
  </si>
  <si>
    <t>Pant, V; Moher, J; Seelanki, V</t>
  </si>
  <si>
    <t>Pant, Vimlesh; Moher, Jaswant; Seelanki, Vivek</t>
  </si>
  <si>
    <t>Multi-decadal variations in the oceanic CO2 uptake and biogeochemical parameters over the northern and southern high latitudes</t>
  </si>
  <si>
    <t>CO2 flux; Polar oceans; Arctic ocean; Primary productivity; Biological productivity</t>
  </si>
  <si>
    <t>CLIMATE-CHANGE; ANTHROPOGENIC CO2; INORGANIC CARBON; STORM TRACKS; ATLANTIC; INCREASE; CIRCULATION; IMPACTS; ACIDIFICATION; RESPONSES</t>
  </si>
  <si>
    <t>The Community Earth System Model with the biogeochemistry module (CESM1-BGC) was used with the historical and RCP8.5 scenario to examine the spatial and temporal variability in the oceanic CO2 flux and biogeochemical parameters for the years 1850-2100. The 10-year periods of 1850-1860, 2010-2020, and 2090-2100 were used to represent the oceanic conditions in the past (historical), present, and future climate, respectively. The model simulations showed interesting differences between CO2 flux and biogeochemical parameters in the northern (NH) and southern (SH) high latitude oceanic regions. The sea surface temperature increases monotonically during 1960-2100 in both the hemispheres. The enhanced CO2 concentrations in the air lead to an increase in CO2 flux into the SH high-latitudes resulting into increasing oceanic acidification. However, over the NH high latitudes, the increase in CO2 flux ceased by the year 2050 and decreased during 2080-2100. This decrease in the CO2 flux of Arctic waters could be associated with the freshwater addition due to ice-melt that reduces the mixed layer depth in northern high latitudes and decreases CO2 uptake in future climate. The biological productivity (Chl concentrations) in the NH high latitudes found to decrease rapidly (2.5 mg m(-3) lower than present) during 2000-2100. The time-series analysis of biogeochemical parameters at three regions in each hemisphere reveals marked differences over different oceanic regions within the same hemisphere in addition to the inter-hemispheric differences. The changes in large-scale overturning circulation and enhanced stratification leads to a reduction in nutrient supply to surface waters from deeper layers and decreases Chl concentration in the NH region. The mixing caused by Antarctic circumpolar current plays crucial role in maintaining Chl concentrations in the southern ocean. The multi-decadal spatiotemporal variability in physical and biogeochemical parameters are discussed in terms of their inter-dependence, oceanic processes, air- sea exchange in the warming climate.</t>
  </si>
  <si>
    <t>[Pant, Vimlesh; Moher, Jaswant; Seelanki, Vivek] Indian Inst Technol Delhi, Ctr Atmospher Sci, New Delhi 110016, India</t>
  </si>
  <si>
    <t>Indian Institute of Technology System (IIT System); Indian Institute of Technology (IIT) - Delhi</t>
  </si>
  <si>
    <t>Pant, V (corresponding author), Indian Inst Technol Delhi, Ctr Atmospher Sci, New Delhi 110016, India.</t>
  </si>
  <si>
    <t>vimlesh@iitd.ac.in</t>
  </si>
  <si>
    <t>Vivek, Seelanki/0000-0003-4017-5983</t>
  </si>
  <si>
    <t>Ministry of Earth Sciences (MoES), Govt. of India; Department of Science and Technology (DST)</t>
  </si>
  <si>
    <t>Ministry of Earth Sciences (MoES), Govt. of India(Ministry of Earth Science (MoES), Government of India); Department of Science and Technology (DST)(Department of Science &amp; Technology (India))</t>
  </si>
  <si>
    <t>The authors acknowledge the World Climate Research Programme's Working Group on Coupled Modelling, which is responsible for the CMIP. For CMIP the U.S. Department of Energy's Program for Climate Model Diagnosis and Intercomparison provided coordinating support and led the development of software infrastructure in partnership with the Global Organization for Earth System Science Portals. The authors also thank the IPSL modeling group for the software infrastructure, which facilitated CMIP5 analysis. The study benefitted from the funding support from Ministry of Earth Sciences (MoES), Govt. of India. The DST Centre of Excellence in Climate Modelling funded by the Department of Science and Technology (DST) is thankfully acknowledged. The authors thank the two anonymous Reviewers for their comments which helped to improve the manuscript.</t>
  </si>
  <si>
    <t>10.1016/j.polar.2018.05.008</t>
  </si>
  <si>
    <t>WOS:000452591600013</t>
  </si>
  <si>
    <t>Sen Sing, D; Dubey, CA; Kumar, D; Kumar, P; Ravindra, R</t>
  </si>
  <si>
    <t>Sen Sing, Dhruv; Dubey, Chetan Anand; Kumar, Dhirendra; Kumar, Pankaj; Ravindra, Rasik</t>
  </si>
  <si>
    <t>Climate events between 47.5 and 1 ka BP in glaciated terrain of the Ny-Alesund region, Arctic, using geomorphology and sedimentology of diversified morphological zones</t>
  </si>
  <si>
    <t>Arctic; Glacier; Geomorphology; Sedimentology; Climate</t>
  </si>
  <si>
    <t>SEA-ICE; GANGA PLAIN; MONSOON VARIABILITY; VEGETATION; SVALBARD; HISTORY; LAKE; SEDIMENTATION; HIMALAYA; RECORD</t>
  </si>
  <si>
    <t>The Ny-Alesund region is characterised by diversified surface processes which carve the landscape and so exhibits variable and complex landforms. Extensive work has been carried out on climate change using various proxies however no much attention has been paid in understanding the climate events using geomorphological and sedimentological parameters. In the present paper sediment characteristics, AMS C-14 dates and geomorphic features have been used for the reconstruction of palaeoclimate. On the basis of distribution of landforms, and sediments, this region has been classified into five morphological zones such as glacial (moraines GL), proglacial (lacustrine deposits LD), outwash plain (sandur deposits OWP), fluvial deposits (FD) and coastal cliff (CC). The geomorphic analysis and sedimentary parameters revealed that GL consists of unconsolidated, unstratified, massive, devoid of any sedimentary structures, coarse grained, matrix supported boulders, whereas OWP, LD, FD and CC are semi-consolidated, stratified, fine grained, layers of sand, silt, and clay with gravels and faint sedimentary structures. The sediments of CC and LD are very poorly sorted, very positively skewed, very lepto-kurtic, medium to fine sand, silt and clay. The sediment characteristics coded in the geomorphic features of various morphological zones explains that this region was carved and dominated by glaciers under cold climate at ice stages during 47.5, 38, 23, 18, 8.8, 6.1, 1 ka BP and paraglacial processes under warm climate at interglacial stages during 44, 27, 12, 10.5 ka BP. The poorly sorted sediments for all the morphological zones explain the fluctuating energy of the depositional environment and so the prevailing climate was not consistent and persistent for long period of time.</t>
  </si>
  <si>
    <t>[Sen Sing, Dhruv; Dubey, Chetan Anand; Kumar, Dhirendra] Univ Lucknow, Ctr Adv Study Geol, Lucknow 226007, Uttar Pradesh, India; [Kumar, Pankaj] Interuniv Accelerator Ctr, AMS &amp; Pelletron Grp, Aruna Asaf Ali Marg, New Delhi 110067, India; [Ravindra, Rasik] Natl Ctr Antarctic &amp; Ocean Res, Vasco Da Gama 403802, Goa, India</t>
  </si>
  <si>
    <t>Lucknow University; Inter-University Accelerator Centre; Ministry of Earth Sciences (MoES) - India; National Centre for Polar and Ocean Research (NCPOR)</t>
  </si>
  <si>
    <t>Sen Sing, D (corresponding author), Univ Lucknow, Ctr Adv Study Geol, Lucknow 226007, Uttar Pradesh, India.</t>
  </si>
  <si>
    <t>dhruvsensingh@rediffmail.com</t>
  </si>
  <si>
    <t>Kumar, Pankaj/AAD-2135-2019; Kumar, Pankaj/M-8612-2015</t>
  </si>
  <si>
    <t>Kumar, Pankaj/0000-0001-7050-582X; Kumar, Pankaj/0000-0001-7050-582X</t>
  </si>
  <si>
    <t>10.1016/j.polar.2018.05.003</t>
  </si>
  <si>
    <t>WOS:000452591600015</t>
  </si>
  <si>
    <t>Govil, P; Mazumder, A; Ram, R; Singh, DS; Azharuddin, S</t>
  </si>
  <si>
    <t>Govil, Pawan; Mazumder, Abhijit; Ram, Raghu; Singh, Dhruv Sen; Azharuddin, Syed</t>
  </si>
  <si>
    <t>Meltwater flux and climate change record of last 18.5 ka from Schirmacher Oasis, East Antarctica</t>
  </si>
  <si>
    <t>Holocene; Climate change; Schirmacher oasis; Antarctica; Paleoclimate</t>
  </si>
  <si>
    <t>MILLENNIAL-SCALE VARIABILITY; RADIOCARBON AGE CALIBRATION; ICE-SHEET DISCHARGE; OCEAN; LAKE; SEDIMENTS; HISTORY; CORE; OPAL</t>
  </si>
  <si>
    <t>The present study deals with the role of sedimentary processes in the lake of Schirmacher Oasis (SO), East Antarctica and their periodicities to understand the forcing mechanism responsible for the regional climate variations. We analyzed various sedimentary parameters viz, sand, silt, clay, roundness and biogenic silica (BSi) from lake L-51. The proxy record reports the occurrence of increased freshwater runoff around 14.7-12.2 ka,.in the lake followed by Holocene climate optimum around 11.2-10 ka and 9.4-8.4 ka. The SO records the ice sheet retreat during mentioned periods. The spectral analysis of the sedimentological parameters reveals the significant periodicities (&gt; 95% significance) centering at similar to 1067, similar to 907, and similar to 824 years. The long-term trends in the data suggest the possible fluctuation of Antarctic ice-sheet superimposed on global climatic fluctuations due to solar activity.</t>
  </si>
  <si>
    <t>[Govil, Pawan; Mazumder, Abhijit; Azharuddin, Syed] Birbal Sahni Inst Palaeosci, 53 Univ Rd, Lucknow 226007, Uttar Pradesh, India; [Ram, Raghu] Geol Survey India, Polar Studies Div, Faridabad 121001, India; [Singh, Dhruv Sen] Lucknow Univ, Dept Geol, Lucknow 226007, Uttar Pradesh, India</t>
  </si>
  <si>
    <t>Department of Science &amp; Technology (India); Birbal Sahni Institute of Palaeobotany (BSIP); Geological Survey India; Lucknow University</t>
  </si>
  <si>
    <t>Govil, P (corresponding author), Birbal Sahni Inst Palaeosci, 53 Univ Rd, Lucknow 226007, Uttar Pradesh, India.</t>
  </si>
  <si>
    <t>pawan_govil@bsip.res.in</t>
  </si>
  <si>
    <t>Azharuddin, Syed/AAZ-6586-2020</t>
  </si>
  <si>
    <t>Azharuddin, Syed/0000-0002-5945-9305; Mazumder, Abhijit/0000-0001-9944-5306</t>
  </si>
  <si>
    <t>National Centre for Antarctic and Ocean Research</t>
  </si>
  <si>
    <t>PG and AM are indebted to the Director BSIP for his support and encouragement for this study. We are grateful to National Centre for Antarctic and Ocean Research for providing logistics and financial support during 32nd Indian Scientific Antarctic Expedition. The assistance by 32nd summer Indian Scientific Antarctic Expedition members in helping to retrieve the sediment core is gratefully acknowledged.</t>
  </si>
  <si>
    <t>10.1016/j.polar.2018.05.001</t>
  </si>
  <si>
    <t>WOS:000452591600016</t>
  </si>
  <si>
    <t>Singh, N; Rolan, S; Choudhary, S; Peter, M; Krishnaiah, C</t>
  </si>
  <si>
    <t>Singh, Neelu; Rolan, S.; Choudhary, Shabnam; Peter, Magesh; Krishnaiah, C.</t>
  </si>
  <si>
    <t>Diisopropylnaphthalene in the surface sediments of an Arctic fjord: Environmental significance</t>
  </si>
  <si>
    <t>Diisopropylnaphthalene; DIPN; Ny-Alesund; Kongsfjorden; PAHs</t>
  </si>
  <si>
    <t>POLYCYCLIC AROMATIC-HYDROCARBONS; PHYSICAL-ENVIRONMENT; ORGANIC POLLUTANTS; KONGSFJORDEN; CONTAMINANTS; PAHS; KROSSFJORDEN; ESTUARIES; SVALBARD; HARBOR</t>
  </si>
  <si>
    <t>Surface sediment samples from Kongsfjorden were analysed for Polycyclic Aromatic Hydrocarbons (PAHs) to understand their source and process responsible for their deposition in the sediment PAHs were detected between 72.91 and 318.73 ng g(-1) in 2012 and 72.54-311.97 ng g(-1) in 2013 showing a decreasing trend from the mouth of the fjord towards the glacier head. During these years, 2, 6-diisopropylnapthalene (DIPN) showed concentration ranging from 1.21 ng g(-1) to 5.87 ng g(-1) and 1.31 ng g(-1) to 4.79 ng g(-1) with an increasing trend from the mouth of the fjord towards the glacial outlet This systematic increase of DIPN towards the glacier is observed during both the years of sampling which supports the possibility of DIPN from human activities at Ny-Alesund and its surroundings. DIPN in the environment has not been thoroughly investigated and its present-day concentrations may not be alarming, however, considering the increasing anthropogenic activities at Ny-Alesund, it might be prudent to exercise caution to ensure that the levels do not increase over time.</t>
  </si>
  <si>
    <t>[Singh, Neelu; Rolan, S.] Natl Ctr Antarctic &amp; Ocean Res, Headland Sada 403804, Goa, India; [Choudhary, Shabnam] Goa Univ, Dept Marine Sci, Taleigao 403206, Goa, India; [Peter, Magesh] Natl Inst Ocean Technol, Marine Biotechnol, Velacherry Tambaram Main Rd, Madras 600100, Tamil Nadu, India; [Krishnaiah, C.] Mangalore Univ, Dept Marine Geol, Mangalore 574199, Karnataka, India; [Rolan, S.] Indian Natl Ctr Ocean Informat Serv, Hyderabad 500090, Telangana, India</t>
  </si>
  <si>
    <t>Ministry of Earth Sciences (MoES) - India; National Centre for Polar and Ocean Research (NCPOR); Goa University; Ministry of Earth Sciences (MoES) - India; National Institute of Ocean Technology (NIOT); Mangalore University; Ministry of Earth Sciences (MoES) - India; Indian National Centre for Ocean Information Services (INCOIS)</t>
  </si>
  <si>
    <t>Singh, N (corresponding author), Natl Ctr Antarctic &amp; Ocean Res, Headland Sada 403804, Goa, India.</t>
  </si>
  <si>
    <t>neelu.singh0387@gmail.com</t>
  </si>
  <si>
    <t>Singh, Neelu/F-4628-2019</t>
  </si>
  <si>
    <t>Singh, Neelu/0000-0002-9428-6980</t>
  </si>
  <si>
    <t>Ministry of Earth Sciences; NCAOR, Goa</t>
  </si>
  <si>
    <t>We thank the Ministry of Earth Sciences for providing financial support for the Indian Arctic Research Programme, under which the present work was carried out. We also express our gratitude to Dr. M. Ravichandran, Director, NCAOR, Goa, and Dr. K. P. Krishnan, Scientist &amp; Co-ordinator of the Indian Arctic Programme for extending all support to the Project. Dr. R. Kirubagaran, Scientist-G &amp; Group Head (Marine Biotechnology), NIOT, Chennai for GC-MS analyses and in the identification of the compounds. This is NCAOR contribution No. 14/2018.</t>
  </si>
  <si>
    <t>10.1016/j.polar.2018.04.009</t>
  </si>
  <si>
    <t>WOS:000452591600017</t>
  </si>
  <si>
    <t>Tripathi, VC; Satish, S; Horam, S; Raj, S; Lal, A; Arockiaraj, J; Pasupuleti, M; Dikshit, DK</t>
  </si>
  <si>
    <t>Tripathi, Vikash Chandra; Satish, Sabbu; Horam, Soyar; Raj, Sneha; Lal, Agney; Arockiaraj, Jesu; Pasupuleti, Mukesh; Dikshit, Dinesh Kumar</t>
  </si>
  <si>
    <t>Natural products from polar organisms: Structural diversity, bioactivities and potential pharmaceutical applications</t>
  </si>
  <si>
    <t>Pharmaceutical; Bioactive; Biopharmaceuticals; Antimicrobial; Anticancer</t>
  </si>
  <si>
    <t>STREPTOMYCES-GRISEUS STRAIN; LEAD-LIKE MOLECULES; SEA DERIVED FUNGUS; SECONDARY METABOLITES; BACTERIAL DIVERSITY; ENDOPHYTIC FUNGI; ACID-DERIVATIVES; VIBRIO-CHOLERAE; CANCER-THERAPY; A-C</t>
  </si>
  <si>
    <t>Natural products have a huge value in pharmaceuticals industry as molecules or templates for discovery or further development of new drugs. It is predicted that, if the marine resources are explored fully, then we will have enough chemically diverse molecules to sustain us for the coming next century. For the discovery of new classes of natural products, polar organisms are emerging as a source of unknown magnitude because recent genetic based studies showed that the diversity of the polar region is much more than previously predicted. In order to survive in the cold, extreme and inhospitable environment conditions, polar organisms produce an array of unique metabolites which confer an advantage and offers protection from predation. Out of all the natural products reported from polar organisms, 38% of them showed bioactivity of pharmaceutical relevance. This high success percentage clearly illustrates the tremendous potential of the polar organisms as a source of new therapeutic agents for infectious and lifestyle associated diseases. We in this review describe the natural products discovered, isolated and characterized from the organisms (both prokaryotes and eukaryotes) found in the polar (Arctic and Antarctic) regions. Further, we discussed the problems encountered and solutions employed by the various researcher during natural product isolation from marine sources.</t>
  </si>
  <si>
    <t>[Tripathi, Vikash Chandra; Horam, Soyar; Raj, Sneha; Lal, Agney; Pasupuleti, Mukesh] CSIR, Cent Drug Res Inst, Microbiol Div, Sect 10,Sitapur Rd, Lucknow 226031, Uttar Pradesh, India; [Satish, Sabbu] CSIR, Cent Drug Res Inst, Med &amp; Proc Chem Div, BS-10-1,Sect 10,Sitapur Rd, Lucknow 226031, Uttar Pradesh, India; [Arockiaraj, Jesu] SRM Univ, Fac Sci &amp; Humanities, Dept Biotechnol, Div Fisheries Biotechnol &amp; Mol Biol, Madras 603203, Tamil Nadu, India; [Dikshit, Dinesh Kumar] CSIR, Cent Drug Res Inst, Coordinating Cell Drugs Sea Program MoES, Sect 10,Sitapur Rd, Lucknow 226031, Uttar Pradesh, India</t>
  </si>
  <si>
    <t>Council of Scientific &amp; Industrial Research (CSIR) - India; CSIR - Central Drug Research Institute (CDRI); Council of Scientific &amp; Industrial Research (CSIR) - India; CSIR - Central Drug Research Institute (CDRI); SRM Institute of Science &amp; Technology Chennai; Council of Scientific &amp; Industrial Research (CSIR) - India; CSIR - Central Drug Research Institute (CDRI)</t>
  </si>
  <si>
    <t>Pasupuleti, M (corresponding author), CSIR, Cent Drug Res Inst, Microbiol Div, Sect 10,Sitapur Rd, Lucknow 226031, Uttar Pradesh, India.</t>
  </si>
  <si>
    <t>jesuaraj@gmail.com; mukesh_p78@yahoo.com</t>
  </si>
  <si>
    <t>Pasupuleti, Mukesh/AAF-4066-2020; Arockiaraj, Jesu/A-6227-2013; Pasupuleti, mukesh/H-7605-2013; Pasupuleti, Mukesh/AAD-9977-2020</t>
  </si>
  <si>
    <t>Arockiaraj, Jesu/0000-0002-0240-7141; Pasupuleti, mukesh/0000-0001-6337-6257; Tripathi, Vikash Chandra/0000-0002-9589-0709</t>
  </si>
  <si>
    <t>UGC, India; ICMR, New Delhi, India; Ministry of Earth Sciences (MoES), Govt of India; CSIR, Govt of India; MoES, Govt of India; SERB-DST, Govt of India; DBT, Govt of India</t>
  </si>
  <si>
    <t>UGC, India(University Grants Commission, India); ICMR, New Delhi, India(Indian Council of Medical Research (ICMR)); Ministry of Earth Sciences (MoES), Govt of India(Ministry of Earth Science (MoES), Government of India); CSIR, Govt of India(Council of Scientific &amp; Industrial Research (CSIR) - India); MoES, Govt of India; SERB-DST, Govt of India(Department of Science &amp; Technology (India)Science Engineering Research Board (SERB), India); DBT, Govt of India(Department of Biotechnology (DBT) India)</t>
  </si>
  <si>
    <t>We are grateful to the Director, CDRI, Lucknow, India for constant encouragement in drug development program, VCT, SH, AU, and PK are grateful to UGC, India for the financial support. SR is thankful to ICMR, New Delhi, India for junior research fellowship. DKD thank Ministry of Earth Sciences (MoES), Govt of India, for generous funds towards the marine drug discovery programs. MP also thank various funding agencies (CSIR, MoES, SERB-DST, &amp; DBT), Govt of India, for the funds towards the biopharmaceutical based discovery projects at CSIR-CDRI. We thank Mr. Suman Kumar Mallik, Knowledge Resource Center, CSIR-CDRI for the help in extensive literature search using various databases. CSIR-CDRI communication number: 9677.</t>
  </si>
  <si>
    <t>10.1016/j.polar.2018.04.006</t>
  </si>
  <si>
    <t>WOS:000452591600018</t>
  </si>
  <si>
    <t>Prabhu, A; Pandithurai, G</t>
  </si>
  <si>
    <t>Prabhu, Amita; Pandithurai, G.</t>
  </si>
  <si>
    <t>ISCCP observed large-scale cloud features over the Indo-Pacific, Southern Annular Mode and Indian summer monsoon</t>
  </si>
  <si>
    <t>ISCCP; Southern annular mode; Clouds; Indian summer monsoon</t>
  </si>
  <si>
    <t>OUTGOING LONGWAVE RADIATION; SEA-SURFACE TEMPERATURE; INTERANNUAL VARIABILITY; ANTARCTIC OSCILLATION; CLIMATE VARIABILITY; OCEAN; ICE; PRECIPITATION; DYNAMICS; LATITUDE</t>
  </si>
  <si>
    <t>The robustness of southern polar linkages with the Indian Summer Monsoon Rainfall (ISMR) is affirmed by employing the Empirical Orthogonal Function (EOF) analysis on Outgoing Longwave Radiation (OLR) over the Indian region. It is observed that the OLR's primary mode of variability (EOF1), which covers almost the entire country and holds a strong positive relationship with ISMR, is significantly associated with Southern Annular Mode (SAM). The International Satellite Cloud Climatology Project (ISCCP) generated spatial distribution of clouds during the recent three decades prominently displays formation and clustering of clouds over the central Pacific as a manifestation of the ocean-atmosphere coupled interactions associated with negative mode of SAM. Further, the northwest ward progression of the cloud-free patterns from equatorial western Pacific to the Indian region is distinctly evident in the ISCCP classified High-level clouds as compared to Middle and Low clouds during the summer monsoon season, thereby inhibiting its monsoon activity. As such, this study demonstrates an association between the southern hemispheric high latitude mode and cloud dynamics over the Indo-Pacific basin having a potential implication on the performance of Indian monsoon.</t>
  </si>
  <si>
    <t>[Prabhu, Amita; Pandithurai, G.] IITM, Pune, Maharashtra, India</t>
  </si>
  <si>
    <t>Ministry of Earth Sciences (MoES) - India; Indian Institute of Tropical Meteorology (IITM)</t>
  </si>
  <si>
    <t>Prabhu, A (corresponding author), IITM, Pune, Maharashtra, India.</t>
  </si>
  <si>
    <t>amitaprabhu@tropmet.res.in</t>
  </si>
  <si>
    <t>Prabhu, Amita/0000-0002-2474-6195</t>
  </si>
  <si>
    <t>Ministry of Earth Sciences, Govt. of India</t>
  </si>
  <si>
    <t>Indian Institute of Tropical Meteorology (IITM) is fully supported by Ministry of Earth Sciences, Govt. of India. The authors wish to acknowledge the support of Director, IITM for initiating this study. Authors are also grateful to NCEP-NCAR and ISCCP groups for freely providing the OLR and cloud data products respectively. The comments and suggestions of two anonymous reviewers are appreciated.</t>
  </si>
  <si>
    <t>10.1016/j.polar.2018.04.008</t>
  </si>
  <si>
    <t>WOS:000452591600019</t>
  </si>
  <si>
    <t>Deb, P; Dash, MK; Pandey, PC</t>
  </si>
  <si>
    <t>Deb, Pranab; Dash, Mihir K.; Pandey, Prem Chand</t>
  </si>
  <si>
    <t>Barrier layer characteristics of the Indian Ocean sector of the Southern Ocean during austral summer and autumn</t>
  </si>
  <si>
    <t>Barrier layer; Kerguelen plateau; Enderby basin; Australian Antarctic basin</t>
  </si>
  <si>
    <t>ANTARCTIC SEA-ICE; WESTERN BOUNDARY CURRENT; HEAT-BUDGET; VARIABILITY; CIRCULATION; SENSITIVITY</t>
  </si>
  <si>
    <t>Barrier layer in the Enderby Basin (EB) and the Australian Antarctic Basin (AAB) during late summer (December &amp; January) and early autumn (February &amp; March) are studied using temperature-salinity profiles collected between 1975 and 2012. A distinct difference in mixed layer depth is observed over the eastern (i.e. the EB) compared to western (i.e. the AAB) side of the Kerguelen Plateau (KP), with shallower mixed layer depths on the eastern side. Mixed layers show an increase from less than 50 m-similar to 150 m from south to north in the EB. During autumn, the wind strengthens and the upwelling over the eastern side of the KP (i.e. in the AAB) weakens, resulting in deeper mixed layers (similar to 80 m-100 m) compared to summer. During summer, deep barrier layer (BL) values (similar to 50 m or more) with porosity less than 0.3 was seen over the Chun Spur region. The fresher melt water from the EB brought by the Fawn trough current (FTC) across the KP may be responsible for the occurrence of BL over the region. During autumn, BL is spread over a much larger area around the Chun Spur, which could be attributed to the increase in the strength of FTC due to the intensification of wind over the region. A thorough study of BL condition over this region is required to understand the processes behind the discrepancies in sea ice conditions.</t>
  </si>
  <si>
    <t>[Deb, Pranab] Univ East Anglia, Sch Environm Sci, Norwich, Norfolk, England; [Dash, Mihir K.; Pandey, Prem Chand] Indian Inst Technol Kharagpur, Ctr Oceans Rivers Atmosphere &amp; Land Sci, Kharagpur, W Bengal, India</t>
  </si>
  <si>
    <t>University of East Anglia; Indian Institute of Technology System (IIT System); Indian Institute of Technology (IIT) - Kharagpur</t>
  </si>
  <si>
    <t>Dash, MK (corresponding author), Indian Inst Technol Kharagpur, Ctr Oceans Rivers Atmosphere &amp; Land Sci, Kharagpur, W Bengal, India.</t>
  </si>
  <si>
    <t>mihir@coral.iitkgp.ernet.in</t>
  </si>
  <si>
    <t>Pandey, Prem Chandra/D-4409-2011</t>
  </si>
  <si>
    <t>Pandey, Prem Chandra/0000-0002-0049-1415; Deb, Pranab/0000-0002-1858-0918</t>
  </si>
  <si>
    <t>10.1016/j.polar.2018.04.007</t>
  </si>
  <si>
    <t>WOS:000452591600020</t>
  </si>
  <si>
    <t>Ramesh, KJ; Soni, VK</t>
  </si>
  <si>
    <t>Ramesh, K. J.; Soni, V. K.</t>
  </si>
  <si>
    <t>Perspectives of Antarctic weather monitoring and research efforts</t>
  </si>
  <si>
    <t>Antarctica; Maitri; Temperature; Pressure; Wind</t>
  </si>
  <si>
    <t>SHORT-RANGE PREDICTION; MAITRI REGION; POLAR WRF; CLIMATOLOGY; SURFACE; TRENDS</t>
  </si>
  <si>
    <t>Polar Regions are characterized by extreme weather and climate. The polar meteorology plays a significant role in global climate system. Further, the global warming has generated renewed interest in the study of Polar Regions as the changes in polar and sea-ice extent have widespread implication on atmospheric circulation. India initiated first multi-disciplinary scientific expedition to Antarctica in 1981. The meteorological data are being collected from the very first Indian expedition to Antarctica. The present paper reviews the progress of India's scientific research in polar meteorology. The analysis of 25 years meteorological data collected at Maitri station for the period 1991-2015 is presented in the paper. The observed trend in the temperature data of 19 Antarctic stations obtained from READER project for the period 1991-2015 has also been examined. The 25 years long term temperature record shows cooling over Maitri station. The Maitri station showed cooling of 0.054 degrees C per year between 1991 and 2015, with similar pronounced seasonal trends. The nearby Russian station Novolazarevskaya also showed a cooling trend of 0.032 degrees C per year. The trend analysis of other meteorological parameters for the period 1991-2015 is also presented. The Antarctic Peninsula and almost all of West Antarctica showed warming during 1991-2015. The majority of stations in East Antarctica close to the coast show cooling or no significant trend. The analysis also found slight decreasing trend in the pressure over the 1991-2015 time period which is not statistically significant. The wind speed, however, does show a significant declining trend of 0.14 knots/year over the same period.</t>
  </si>
  <si>
    <t>[Ramesh, K. J.; Soni, V. K.] Indian Meteorol Dept, New Delhi, India</t>
  </si>
  <si>
    <t>Ministry of Earth Sciences (MoES) - India; India Meteorological Department (IMD)</t>
  </si>
  <si>
    <t>Soni, VK (corresponding author), Indian Meteorol Dept, New Delhi, India.</t>
  </si>
  <si>
    <t>soni_vk@yahoo.com</t>
  </si>
  <si>
    <t>/0000-0002-3880-3613</t>
  </si>
  <si>
    <t>10.1016/j.polar.2018.04.005</t>
  </si>
  <si>
    <t>WOS:000452591600021</t>
  </si>
  <si>
    <t>Kumar, A; Dwivedi, S; Rajak, DR; Pandey, AC</t>
  </si>
  <si>
    <t>Kumar, Anurag; Dwivedi, Suneet; Rajak, D. Ram; Pandey, A. C.</t>
  </si>
  <si>
    <t>Impact of air-sea forcings on the southern ocean sea ice variability around the Indian Antarctic stations</t>
  </si>
  <si>
    <t>Southern ocean sea ice modeling; Air-sea forcing; Indian Antarctic stations</t>
  </si>
  <si>
    <t>MIXED-LAYER; MODEL; WIND; ATMOSPHERE; TRENDS; CYCLE</t>
  </si>
  <si>
    <t>A coupled ocean sea ice model is used to carry out sensitivity experiments to decipher the respective roles of wind, heat and freshwater flux forcings in changing the sea ice variability (concentration, volume, salinity, and drift speed) of the Antarctic region with special emphasis near the Indian Stations, Maitri [11.7 degrees E; 70.7 degrees S] and Bharati [76.1 degrees E; 69.4 degrees S]. The simulations are carried out in the Southern Ocean region [9 degrees E-78 degrees E; 58 degrees S-71 degrees S] during 1997-2012 at a resolution of 6-10 km. It is found that the air-sea forcings greatly impact the spatio-temporal variability of the sea ice variables. In the absence of wind and heat/freshwater flux forcing, the sea ice concentration (SIC) and sea ice volume (SIV) of the region decreases, except at higher latitudes. The effect of absence of heat and freshwater flux forcing on the seasonal variability of the SIC and SIV is more as compared to the wind forcing. Interestingly, the absence of wind and heat flux forcing exhibit opposite nature in influencing the temporal variability of SIV around the Maitri and Bharati regions. On using the climatological wind and heat/freshwater flux forcing, the SIC and SIV of the region increases. The climatological wind forcing have a greater effect in increasing the SIC and SIV of the region as compared to corresponding heat and freshwater flux forcings. The highest contribution in the SIV comes from the thick ice. The SIV of thick ice is found to be significantly increasing (4% per year). However, the interannual increase in medium thick ice and thin ice is very small (0.1% per year). The changes in the sea ice drift speed and vertical stability of ocean is studied vis-a-vis changes in air-sea forcing. The mixed layer heat budget of the region is also estimated and the effect of wind and heat flux forcing on it is investigated.</t>
  </si>
  <si>
    <t>[Kumar, Anurag; Dwivedi, Suneet; Pandey, A. C.] Univ Allahabad, K Banerjee Ctr Atmospher &amp; Ocean Studies, Allahabad 211002, Uttar Pradesh, India; [Kumar, Anurag; Dwivedi, Suneet; Pandey, A. C.] Univ Allahabad, MN Saha Ctr Space Studies, Allahabad 211002, Uttar Pradesh, India; [Rajak, D. Ram] Space Applicat Ctr, Ahmadabad, Gujarat, India</t>
  </si>
  <si>
    <t>University of Allahabad; University of Allahabad; Department of Space (DoS), Government of India; Indian Space Research Organisation (ISRO); Space Applications Centre (SAC)</t>
  </si>
  <si>
    <t>Dwivedi, S (corresponding author), Univ Allahabad, K Banerjee Ctr Atmospher &amp; Ocean Studies, Allahabad 211002, Uttar Pradesh, India.;Dwivedi, S (corresponding author), Univ Allahabad, MN Saha Ctr Space Studies, Allahabad 211002, Uttar Pradesh, India.</t>
  </si>
  <si>
    <t>Kumar, Anurag/0000-0002-5039-412X; PANDEY, AVINASH CHANDRA/0000-0003-0700-3856; Dwivedi, Suneet/0000-0001-9377-7713</t>
  </si>
  <si>
    <t>ISRO; NCAOR/ISRO/DST</t>
  </si>
  <si>
    <t>Authors are thankful to two anonymous reviewers for their useful comments on an earlier version of this manuscript. AK is thankful to ISRO for providing Junior Research Fellowship. SD is thankful to the NCAOR/ISRO/DST for financial assistance in the form of research project. Thanks are also due to the NCEP/NCAR, ORAS4, and GIOMAS communities for making their data freely available for research purpose.</t>
  </si>
  <si>
    <t>10.1016/j.polar.2018.05.005</t>
  </si>
  <si>
    <t>WOS:000452591600023</t>
  </si>
  <si>
    <t>Raza, MA; Saraswat, R; Bhadra, SR; Naik, DK; Khare, N; Govil, P; Mazumder, A</t>
  </si>
  <si>
    <t>Raza, M. A.; Saraswat, R.; Bhadra, S. R.; Naik, Dinesh K.; Khare, N.; Govil, P.; Mazumder, A.</t>
  </si>
  <si>
    <t>Inverted sediments in the coastal Antarctic lake: Evidence of paleostorm?</t>
  </si>
  <si>
    <t>Lake; Antarctica; Inverted; Diatom; Foraminifera; Paleostorm</t>
  </si>
  <si>
    <t>SOUTH-CAROLINA COAST; VESTFOLD HILLS; PALEOSALINITY HISTORY; LARSEMANN HILLS; BUNGER HILLS; PRYDZ BAY; CLIMATE; DIATOMS; ISLAND; FORAMINIFERA</t>
  </si>
  <si>
    <t>The faunal (foraminiferal and diatom abundance) and sedimentological analysis was carried out on two cores collected from a coastal lake in the Vestfold Hills region of Antarctica. Out of a couple of cores collected from the same lake, the one closer to the marine inlet, contained abundant foraminifera and the diatoms were dominant in the second core. The radiocarbon dating of the organic matter revealed that the sediments were inverted, with two sequences of younger sediments overlain by older sediments. The increased abundance of marine micro-fossils, including both the foraminifera and diatoms in inverted layers, suggests that the sediments were transported from the adjacent shelf. The transport from the shelf is further confirmed by the abundant presence of planktic foraminiferal shells in the sediments. The planktic foraminifera are relatively deeper dwellers and thus confirm the transport of material from relatively deeper water depths. The transport of older marine sediments from the nearby shelf, into the lake against gravity is inferred as a result of storm/cyclone. Two such past storm-cyclone events are inferred as the core includes two sets of inverted sediments. The study suggests that faunal and sedimentological analysis in conjunction with chronology can be applied to infer past instances of extreme events in the high latitude regions.</t>
  </si>
  <si>
    <t>[Raza, M. A.; Saraswat, R.; Bhadra, S. R.] Natl Inst Oceanog, Micropaleontol Lab, Panaji, Goa, India; [Raza, M. A.] Geol Survey India, Faridabad, India; [Naik, Dinesh K.] Banaras Hindu Univ, Dept Geol, Varanasi, Uttar Pradesh, India; [Khare, N.] Minist Earth Sci, Delhi, India; [Govil, P.; Mazumder, A.] Birbal Sahni Inst Paleosci, Lucknow, Uttar Pradesh, India</t>
  </si>
  <si>
    <t>Council of Scientific &amp; Industrial Research (CSIR) - India; CSIR - National Institute of Oceanography (NIO); Geological Survey India; Banaras Hindu University (BHU); Ministry of Earth Sciences (MoES) - India; Department of Science &amp; Technology (India); Birbal Sahni Institute of Palaeobotany (BSIP)</t>
  </si>
  <si>
    <t>Saraswat, Rajeev/AAG-5459-2020; Bhadra, Sudhira Ranjan/AAA-9797-2020</t>
  </si>
  <si>
    <t>Bhadra, Sudhira Ranjan/0000-0003-2698-4047; KHARE, NELOY/0000-0001-8348-5696; Saraswat, Rajeev/0000-0003-2110-2578; , Mohammad Atif Raza/0000-0002-5236-3730</t>
  </si>
  <si>
    <t>National Center for Antarctic and Ocean Research, Goa [NCAOR/ALP-1/2006]</t>
  </si>
  <si>
    <t>National Center for Antarctic and Ocean Research, Goa</t>
  </si>
  <si>
    <t>Authors are thankful to the Director, National Institute of Oceanography, Goa for the encouragement to publish the results. We also thank the Director, National Center for Antarctic and Ocean Research, Goa, for the finanacial (Grant No. NCAOR/ALP-1/2006) and logistic support. The help of Dr. Ravi Naik, National Center for Antarctic and Ocean Research, Goa in the identification of diatom species is thankfully acknowledged.</t>
  </si>
  <si>
    <t>10.1016/j.polar.2018.04.002</t>
  </si>
  <si>
    <t>WOS:000452591600024</t>
  </si>
  <si>
    <t>Beszteri, S; Thomas, S; Benes, V; Harms, L; Trimborn, S</t>
  </si>
  <si>
    <t>Beszteri, Sara; Thomas, Silke; Benes, Vladimir; Harms, Lars; Trimborn, Scarlett</t>
  </si>
  <si>
    <t>The Response of Three Southern Ocean Phytoplankton Species to Ocean Acidification and Light Availability: A Transcriptomic Study</t>
  </si>
  <si>
    <t>PROTIST</t>
  </si>
  <si>
    <t>Diatom; climate change; multiple stressors; gene expression; Phaeocystis</t>
  </si>
  <si>
    <t>DIATOM THALASSIOSIRA-PSEUDONANA; PHOTOSYNTHETIC CARBON ASSIMILATION; MARINE DIATOM; PHOTOPHYSIOLOGICAL RESPONSES; PHAEODACTYLUM-TRICORNUTUM; CONCENTRATING MECHANISM; ELEVATED CO2; LOCALIZATION; ACQUISITION; EXPRESSION</t>
  </si>
  <si>
    <t>Ocean acidification (OA) and high light was found to negatively affect the Antarctic key species Phaeocystis antarctica, Fragilariopsis kerguelensis and Chaetoceros debilis. To unravel the underlying physiological response at the transcriptomic level, these species were grown under ambient and elevated pCO(2) combined with low or high light. RNA sequencing revealed that the haptophyte was much more tolerant towards OA than the two diatoms as only these showed distinct OA-dependent gene regulation patterns. Under ambient pCO(2), high light resulted in decreased glycolysis in P. antarctica. Contrastingly, upregulation of genes related to cell division and transcription as well as reduced expression of both cata- and anabolic carbon related pathways were seen in C. debilis. OA in combination with low light led to reduced respiration, but also surprisingly to higher expression of genes involved in light protection, transcription and translation in C. debilis. Though not affecting P. antarctica, OA combined with high light caused also photosensitivity in both diatoms. As additional response reallocation of carbon to lipids was found in C. debilis under these conditions. Overall, we conclude that P. antarctica is better adapted than the two diatoms to OA and high light. (C) 2018 The Authors. Published by Elsevier GmbH.</t>
  </si>
  <si>
    <t>[Beszteri, Sara; Thomas, Silke; Harms, Lars; Trimborn, Scarlett] Alfred Wegener Inst, Helmholtz Ctr Marine &amp; Polar Res, Handelshafen 12, D-27570 Bremerhaven, Germany; [Benes, Vladimir] European Mol Biol Lab, Heidelberg, Germany; [Trimborn, Scarlett] Univ Bremen, Marine Bot, Bremen, Germany</t>
  </si>
  <si>
    <t>Helmholtz Association; Alfred Wegener Institute, Helmholtz Centre for Polar &amp; Marine Research; European Molecular Biology Laboratory (EMBL); University of Bremen</t>
  </si>
  <si>
    <t>Beszteri, S (corresponding author), Alfred Wegener Inst, Helmholtz Ctr Marine &amp; Polar Res, Handelshafen 12, D-27570 Bremerhaven, Germany.</t>
  </si>
  <si>
    <t>sara_beszteri@awi.de</t>
  </si>
  <si>
    <t>Trimborn, Scarlett/AAM-1061-2021</t>
  </si>
  <si>
    <t>Trimborn, Scarlett/0000-0003-1434-9927</t>
  </si>
  <si>
    <t>Deutsche Forschungsgemeinschaft (DFG) [BE5105/1-1]; Helmholtz Impulse Fond (HGF Young Investigator Group EcoTrace) [VH-NG-901]</t>
  </si>
  <si>
    <t>Deutsche Forschungsgemeinschaft (DFG)(German Research Foundation (DFG)); Helmholtz Impulse Fond (HGF Young Investigator Group EcoTrace)</t>
  </si>
  <si>
    <t>This work was supported by the Deutsche Forschungsgemeinschaft (DFG) (SB, grant number: BE5105/1-1 in the framework of the priority program Antarctic research with comparative investigations in Arctic ice areas. ScT was funded by the Helmholtz Impulse Fond (HGF Young Investigator Group EcoTrace, VH-NG-901).</t>
  </si>
  <si>
    <t>1434-4610</t>
  </si>
  <si>
    <t>1618-0941</t>
  </si>
  <si>
    <t>Protist</t>
  </si>
  <si>
    <t>10.1016/j.protis.2018.08.003</t>
  </si>
  <si>
    <t>HD3QH</t>
  </si>
  <si>
    <t>WOS:000452432800009</t>
  </si>
  <si>
    <t>Shackleton, C; Patton, H; Hubbard, A; Winsborrow, M; Kingslake, J; Esteves, M; Andreassen, K; Greenwood, SL</t>
  </si>
  <si>
    <t>Shackleton, Calvin; Patton, Henry; Hubbard, Alun; Winsborrow, Monica; Kingslake, Jonathan; Esteves, Mariana; Andreassen, Karin; Greenwood, Sarah L.</t>
  </si>
  <si>
    <t>Subglacial water storage and drainage beneath the Fennoscandian and Barents Sea ice sheets</t>
  </si>
  <si>
    <t>Subglacial lakes; Basal hydrology; Meltwater drainage; Fennoscandian ice sheet; Barents sea ice sheet; Eurasian ice sheet complex; Late weichselian; Last glacial maximum; Glacial geology; Glaciation</t>
  </si>
  <si>
    <t>TROUGH-MOUTH FANS; GREENLAND ICE; RETREAT DYNAMICS; WEST ANTARCTICA; FLOW; STREAM; GLACIER; DEGLACIATION; SENSITIVITY; SYSTEM</t>
  </si>
  <si>
    <t>Subglacial hydrology modulates how ice sheets flow, respond to climate, and deliver meltwater, sediment and nutrients to proglacial and marine environments. Here, we investigate the development of subglacial lakes and drainage networks beneath the Fennoscandian and Barents Sea ice sheets over the Late Weichselian. Utilizing an established coupled climate/ice flow model, we calculate high-resolution, spatio-temporal changes in subglacial hydraulic potential from ice sheet build-up (similar to 37 ka BP) to complete deglaciation (similar to 10 ka BP). Our analysis predicts up to 3500 potential subglacial lakes, the largest of which was 658 km(2), and over 70% of which had surface areas &lt;10 km(2), comparable with subglacial lake size distributions beneath the Antarctic Ice Sheet. Asynchronous evolution of the Fennoscandian Ice Sheet into the flatter relief of northeast Europe affected patterns of subglacial drainage, with up to 100 km(3) more water impounded within subglacial lakes during ice build-up compared to retreat. Furthermore, we observe frequent fill/drain cycles within clusters of subglacial lakes at the onset zones and margins of ice streams that would have affected their dynamics. Our results resonate with mapping of large subglacial channel networks indicative of high-discharge meltwater drainage through the Gulf of Bothnia and central Barents Sea. By tracking the migration of meltwater drainage outlets during deglaciation, we constrain locations most susceptible to focussed discharge, including the western continental shelf-break where subglacial sediment delivery led to the development of major trough mouth fans. Maps of hydraulic potential minima that persist throughout the Late Weichselian reveal potential sites for preserved subglacial lake sediments, thereby defining useful targets for further field investigation. (C) 2018 Elsevier Ltd. All rights reserved.</t>
  </si>
  <si>
    <t>[Shackleton, Calvin; Patton, Henry; Hubbard, Alun; Winsborrow, Monica; Esteves, Mariana; Andreassen, Karin] UiT Arctic Univ Norway, CAGE Ctr Arctic Gas Hydrate Environm &amp; Climate, Dept Geosci, N-9037 Tromso, Norway; [Hubbard, Alun] Aberystwyth Univ, Dept Geog &amp; Earth Sci, Aberystwyth SY23 3DB, Dyfed, Wales; [Kingslake, Jonathan] Columbia Univ, Lamont Doherty Earth Observ, Palisades, NY 10964 USA; [Greenwood, Sarah L.] Stockholm Univ, Dept Geol Sci, S-10691 Stockholm, Sweden</t>
  </si>
  <si>
    <t>UiT The Arctic University of Tromso; Aberystwyth University; Columbia University; Stockholm University</t>
  </si>
  <si>
    <t>Shackleton, C (corresponding author), UiT Arctic Univ Norway, CAGE Ctr Arctic Gas Hydrate Environm &amp; Climate, Dept Geosci, N-9037 Tromso, Norway.</t>
  </si>
  <si>
    <t>calvin.s.shackleton@uit.no</t>
  </si>
  <si>
    <t>Patton, Henry/H-7525-2019; Shackleton, Calvin S/M-8373-2018</t>
  </si>
  <si>
    <t>Patton, Henry/0000-0001-9670-611X; Shackleton, Calvin S/0000-0003-4534-4598; Greenwood, Sarah/0000-0003-3048-7916; Winsborrow, Monica/0000-0001-5950-1254</t>
  </si>
  <si>
    <t>Research Council of Norway through its Centres of Excellence funding scheme grant [223259]; PetroMaks project Glaciations in the Barents Sea area (GlaciBar) [200672]</t>
  </si>
  <si>
    <t>Research Council of Norway through its Centres of Excellence funding scheme grant; PetroMaks project Glaciations in the Barents Sea area (GlaciBar)</t>
  </si>
  <si>
    <t>This research is part of the Centre for Arctic Gas Hydrate, Environment and Climate and was supported by the Research Council of Norway through its Centres of Excellence funding scheme grant No. 223259. The ice sheet modelling outputs used were also supported by the PetroMaks project Glaciations in the Barents Sea area (GlaciBar) (grant No. 200672). We thank two anonymous reviewers for their constructive feedback on the manuscript.</t>
  </si>
  <si>
    <t>10.1016/j.quascirev.2018.10.007</t>
  </si>
  <si>
    <t>HE0CP</t>
  </si>
  <si>
    <t>WOS:000452934700002</t>
  </si>
  <si>
    <t>Grant, GR; Sefton, JP; Patterson, MO; Naish, TR; Dunbar, GB; Hayward, BW; Morgans, HEG; Alloway, BV; Seward, D; Tapia, CA; Prebble, JG; Kamp, PJJ; McKay, R; Ohneiser, C; Turner, GM</t>
  </si>
  <si>
    <t>Grant, G. R.; Sefton, J. P.; Patterson, M. O.; Naish, T. R.; Dunbar, G. B.; Hayward, B. W.; Morgans, H. E. G.; Alloway, B. V.; Seward, D.; Tapia, C. A.; Prebble, J. G.; Kamp, P. J. J.; McKay, R.; Ohneiser, C.; Turner, G. M.</t>
  </si>
  <si>
    <t>Mid- to late Pliocene (3.3-2.6 Ma) global sea-level fluctuations recorded on a continental shelf transect, Whanganui Basin, New Zealand</t>
  </si>
  <si>
    <t>ANTARCTIC ICE-SHEET; WANGANUI BASIN; RHYOLITIC ERUPTIONS; DYNAMIC TOPOGRAPHY; PLEISTOCENE; HISTORY; EUSTASY; MAGNETOSTRATIGRAPHY; CONSTRAINTS; CALIBRATION</t>
  </si>
  <si>
    <t>We present a similar to 900 m-thick, mid- (3.3-3.0 Ma) to late Pliocene (3.0-2.6 Ma), shallow-marine, cyclical sedimentary succession from Whanganui Basin, New Zealand that identifies paleobathymetric changes, during a warmer-than-present interval of Earth history, relevant to future climate change. Our approach applies lithofacies, sequence stratigraphy and benthic foraminiferal analyses to two continuously-cored drillholes integrated with new and existing outcrop studies. We construct a depositional model of orbitally-paced, global sea-level changes on a wave-graded continental shelf. Unlike many previous studies, these shelf sediments were not eroded during sea-level lowstands and thus provide the potential to reconstruct the full amplitude of glacial-interglacial sea-level change. Paleobathymetric interpretations are underpinned by analysis of extant benthic foraminiferal census data and a statistical correlation with the distribution of modern taxa. In general, water depths derived from foraminiferal Modern Analogue Technique (MAT), are consistent with variability recorded by lithofacies. The inferred sea-level cycles co-vary with a qualitative climate record reconstructed from a census of extant pollen and spores, and a modern temperature relationship. A high -resolution age model is established using magnetostratigraphy constrained by biostratigraphy, and the dating and correlation of tephra. This integrated chronostratigraphy allows the recognition of 23 individual sedimentary cycles, that are correlated across the paleo-shelf and a possible one-to-one relationship is made to deep-ocean benthic oxygen isotope (delta O-18) records. In general water depth changes were paced by similar to 20 kyr duration between 3.3 and 3.0 Ma, after which cycle duration is similar to 40 kyr during the late Pliocene (3.0-2.6 Ma). This record provides a future opportunity to evaluate the amplitude and frequency of global, Pliocene glacioeustatic sea-level change, independent of the global benthic delta O-18 record. (C) 2018 Elsevier Ltd. All rights reserved.</t>
  </si>
  <si>
    <t>[Grant, G. R.; Naish, T. R.; Dunbar, G. B.; McKay, R.] Victoria Univ Wellington, Antarctic Res Ctr, POB 600, Wellington 6012, New Zealand; [Sefton, J. P.] Univ Durham, Dept Geog, South Rd, Durham DH1 3LE, England; [Patterson, M. O.] SUNY Binghamton, 4400 Vestal Pkwy East, Binghamton, NY 13902 USA; [Hayward, B. W.] Geomarine Res, 19 Debron Ave, Auckland, New Zealand; [Morgans, H. E. G.; Prebble, J. G.] GNS Sci, 1 Fairway Dr,Avalon 5010,POB 30-368, Lower Hutt 5040, New Zealand; [Alloway, B. V.] Univ Auckland, Sch Environm, Private Bag 92019, Auckland 1142, New Zealand; [Alloway, B. V.] Univ Wollongong, CAS, Wollongong, NSW 2522, Australia; [Seward, D.] Victoria Univ Wellington, Sch Geog Environm &amp; Earth Sci, POB 600, Wellington 6012, New Zealand; [Tapia, C. A.] Catholic Univ Temuco, Fac Engn, Dept Civil Works &amp; Geol, Ave Alemania 0211,Casilla 15-D, Temuco, Chile; [Kamp, P. J. J.] Univ Waikato, Sch Sci, Hamilton 3240, New Zealand; [Ohneiser, C.] Univ Otago, Dept Geol, POB 56, Dunedin 9054, New Zealand; [Turner, G. M.] Victoria Univ Wellington, Sch Chem &amp; Phys Sci, POB 600, Wellington 6012, New Zealand</t>
  </si>
  <si>
    <t>Victoria University Wellington; Durham University; State University of New York (SUNY) System; State University of New York (SUNY) Binghamton; GNS Science - New Zealand; University of Auckland; University of Wollongong; Victoria University Wellington; Universidad Catolica de Temuco; University of Waikato; University of Otago; Victoria University Wellington</t>
  </si>
  <si>
    <t>Grant, GR (corresponding author), Victoria Univ Wellington, Antarctic Res Ctr, POB 600, Wellington 6012, New Zealand.</t>
  </si>
  <si>
    <t>georgia.grant@vuw.ac.nz</t>
  </si>
  <si>
    <t>IPO, PAGES/JXY-7546-2024; Ohneiser, Christian/B-5797-2018; Sefton, Juliet/AAJ-3932-2021; HAYWARD, BRUCE W/AAG-2597-2019</t>
  </si>
  <si>
    <t>Sefton, Juliet/0000-0001-7063-6029; Hayward, Bruce W./0000-0003-1302-7686; Ohneiser, Christian/0000-0002-2781-2522; McKay, Robert/0000-0002-5602-6985</t>
  </si>
  <si>
    <t>Royal Society of New Zealand, Marsden Grant [13 VUW 112]</t>
  </si>
  <si>
    <t>Royal Society of New Zealand, Marsden Grant(Royal Society of New ZealandMarsden Fund (NZ))</t>
  </si>
  <si>
    <t>The Royal Society of New Zealand, Marsden Grant 13 VUW 112, funded this research. The authors would like to acknowledge Webster Drilling and Exploration Ltd for the drilling operations and Alex Pyne and Darcy Mandeno of the Antarctic Research Centre, Science Drilling Office for drilling logistics support. We thank Frank Niessen of the Alfred Wegener Institute who provided the Geotek Multi-Sensor Core Logger, used to obtain the magnetic susceptibility log. Nick Pearce, Department of Geography &amp; Earth Sciences, Aberystwyth University, UK, is thanked for his assistance in the acquisition of glass shard LA-ICP-MS data.</t>
  </si>
  <si>
    <t>10.1016/j.quascirev.2018.09.044</t>
  </si>
  <si>
    <t>WOS:000452934700015</t>
  </si>
  <si>
    <t>Burri, L; Wyse, C; Gray, SR; Harris, WS; Lazzerini, K</t>
  </si>
  <si>
    <t>Burri, Lena; Wyse, Cathy; Gray, Stuart R.; Harris, William S.; Lazzerini, Kali</t>
  </si>
  <si>
    <t>Effects of dietary supplementation with krill meal on serum pro-inflammatory markers after the Iditarod sled dog race</t>
  </si>
  <si>
    <t>RESEARCH IN VETERINARY SCIENCE</t>
  </si>
  <si>
    <t>Krill meal; feed ingredient; dog; omega-3 phospholipids; exercise; inflammation</t>
  </si>
  <si>
    <t>C-REACTIVE PROTEIN; LIPID-PEROXIDATION; BIOCHEMICAL VALUES; FATTY-ACIDS; EXERCISE; STRESS; DAMAGE; RATIO; OIL</t>
  </si>
  <si>
    <t>A seafood-based supplement from krill, rich in omega-3 phospholipids and proteins was tested on a group of dogs competing in the 2016 Iditarod dog sled race to investigate the effects of krill meal on exercise-induced inflammation and muscle damage in comparison to a control group. A single team of 16 dogs received 8% krill meal for 5 weeks prior to the start of race, while another team of 16 dogs received no supplementation. Ten dogs of the treatment and 11 dogs of the control group finished the race and their blood was analyzed for omega-3 index, inflammation (CRP) and muscle damage (CK). The omega-3 index of the krill meal-fed dogs was significantly higher at the beginning of the race (mean 6.2% in the supplemented vs 5.2% in the control group, p &lt; .001). CRP concentrations increased from 7.05 +/- 2.27 to 37.04 +/- 9.16 mu g/ml in the control and from 4.26 +/- 0.69 to 16.56 +/- 3.03 mu g/ml in the treatment group, with a significant difference between the groups (p &lt; .001). CK activity was increased from 90.75 +/- 8.15 IU/1 to 715.90 +/- 218.9 IU/1 in the control group and from 99.55 +/- 12.15 to 515.69 +/- 98.98 in the supplemented group, but there were no differences between groups (p = .266). The results showed that krill meal supplementation led to significantly higher omega-3 index, which correlated with lower inflammation and a tendency for reduced muscle damage after this long-distance sled dog competition. However, these results need to be confirmed by more controlled studies, since it was a field study and effects of race speed or other performance related factors such as fitness and musher skill on the results cannot be excluded.</t>
  </si>
  <si>
    <t>[Burri, Lena] Aker BioMarine Antarctic AS, Oksenoyveien 10, NO-13327 Lysaker, Norway; [Wyse, Cathy] Univ Glasgow, Inst Biodivers Anim Hlth &amp; Comparat Med, Glasgow, Lanark, Scotland; [Gray, Stuart R.] Univ Glasgow, Inst Cardiovasc &amp; Med Sci, Glasgow, Lanark, Scotland; [Harris, William S.] OmegaQuant Analyt, Sioux Falls, SD USA; [Lazzerini, Kali] Univ Glasgow, Coll Med Vet &amp; Life Sci, Small Anim Hosp, Glasgow, Lanark, Scotland</t>
  </si>
  <si>
    <t>University of Glasgow; University of Glasgow; OmegaQuant, LLC; University of Glasgow</t>
  </si>
  <si>
    <t>Burri, L (corresponding author), Aker BioMarine Antarctic AS, Oksenoyveien 10, NO-13327 Lysaker, Norway.</t>
  </si>
  <si>
    <t>lena.burri@akerbiomarine.com; cathywyse@rcsi.ie; stuart.gray@glasgow.ac.uk; BHarris@hdlabinc.com; k.lazzerini.1@research.gla.ac.uk</t>
  </si>
  <si>
    <t>Harris, William Stephen/T-1674-2019; Gray, Stuart/L-2489-2017</t>
  </si>
  <si>
    <t>Harris, William Stephen/0000-0003-3042-9353; Gray, Stuart/0000-0001-8969-9636</t>
  </si>
  <si>
    <t>University of Alaska</t>
  </si>
  <si>
    <t>We would like to thank the participating mushers. A special thanks to Samantha Freeborn who kindly assisted by collecting the blood samples, as well as the University of Alaska, for its support. We are also grateful for critical reading of the manuscript by Petter-Arnt Hals and Line Johnsen.</t>
  </si>
  <si>
    <t>0034-5288</t>
  </si>
  <si>
    <t>1532-2661</t>
  </si>
  <si>
    <t>RES VET SCI</t>
  </si>
  <si>
    <t>Res. Vet. Sci.</t>
  </si>
  <si>
    <t>10.1016/j.rvsc.2018.10.002</t>
  </si>
  <si>
    <t>Veterinary Sciences</t>
  </si>
  <si>
    <t>HC6UQ</t>
  </si>
  <si>
    <t>WOS:000451937600004</t>
  </si>
  <si>
    <t>Kandalski, PK; de Souza, MRDP; Herrerias, T; Machado, C; Zaleski, T; Forgati, M; Guillen, AC; Viana, D; Moura, MO; Donatti, L</t>
  </si>
  <si>
    <t>Kandalski, Priscila Krebsbach; Dmengeon Pedreiro de Souza, Maria Rosa; Herrerias, Tatiana; Machado, Cintia; Zaleski, Tania; Forgati, Mariana; Guillen, Angela Carolina; Viana, Douglas; Moura, Mauricio Osvaldo; Donatti, Lucelia</t>
  </si>
  <si>
    <t>Effects of short-term thermal stress on the plasma biochemical profiles of two Antarctic nototheniid species</t>
  </si>
  <si>
    <t>REVIEWS IN FISH BIOLOGY AND FISHERIES</t>
  </si>
  <si>
    <t>Admiralty bay; Antarctic fishes; Biochemical bioindicators; Metabolism; Temperature</t>
  </si>
  <si>
    <t>ANTIOXIDANT DEFENSE SYSTEM; BASS DICENTRARCHUS-LABRAX; OXIDATIVE STRESS; HEAT-STRESS; PHYSIOLOGICAL-RESPONSES; WARM-ACCLIMATION; ATPASE ACTIVITY; CLIMATE-CHANGE; CARBOHYDRATE-METABOLISM; THYROID-HORMONES</t>
  </si>
  <si>
    <t>Thermal elevation records in the Austral Ocean have raised questions about the physiological impacts on Antarctic organisms which have evolved under cold and stable water temperatures. Some notothenioid fishes exhibit species-specific responses to elevated temperature, yet the mechanisms involved in restoring homeostasis are unclear. Our studyfocused on the physiological effects of short-term (2-144h) exposure to water temperatures of 8 degrees C on the plasma biochemical profiles of Notothenia coriiceps and Notothenia rossii, species that are abundant in Admiralty Bay, King George Island, Antarctic Peninsula, a region where increasing temperatures have been detected. Despite being phylogenetically similar, these species responded differently to thermal stress. N. rossii showed no changes in cortisol levels, and transient hyperglycemia was likely triggered by elevated catecholamine levels; conversely, metabolic and antioxidant defense parameters were unaffected. Increased gill Na+/K+-ATPase activity was observed only in N. rossii after 24h at 8 degrees C, which assists in maintaining ionic homeostasis. In N. coriiceps, cortisol accurately indicated thermal stress. Increased cortisol levels in N. coriiceps additionally resulted in transient secondary responses such as hyperglycemia and hyperlactemia, as well as reduced levels of total protein, globulins and triglycerides. Unlike in N. rossii, catalase activity in N. coriiceps was modulated at 8 degrees C, and this parameter is thus considered a good biomarker of thermal stress. Results suggest that N. coriiceps is more sensitive to thermal stress than is N. rossii and that the former is a potential bioindicator for Admiralty Bay.</t>
  </si>
  <si>
    <t>[Kandalski, Priscila Krebsbach; Dmengeon Pedreiro de Souza, Maria Rosa; Machado, Cintia; Zaleski, Tania; Forgati, Mariana; Guillen, Angela Carolina; Viana, Douglas; Donatti, Lucelia] Univ Fed Parana, Adapt Biol Lab, Dept Cell Biol, Ave Cel Francisco H dos Santos S-N,Post Box 1903, BR-81531970 Curitiba, Parana, Brazil; [Herrerias, Tatiana] Fac Guairaca, Guarapuava, Brazil; [Moura, Mauricio Osvaldo] Univ Fed Parana, Dept Zool, Curitiba, Parana, Brazil</t>
  </si>
  <si>
    <t>Universidade Federal do Parana; Universidade Federal do Parana</t>
  </si>
  <si>
    <t>Donatti, L (corresponding author), Univ Fed Parana, Adapt Biol Lab, Dept Cell Biol, Ave Cel Francisco H dos Santos S-N,Post Box 1903, BR-81531970 Curitiba, Parana, Brazil.</t>
  </si>
  <si>
    <t>donatti@ufpr.br</t>
  </si>
  <si>
    <t>Moura, Mauricio O/B-1063-2013; Donatti, Lucelia/E-1930-2013; HERRERIAS, TATIANA/AAJ-8083-2021</t>
  </si>
  <si>
    <t>Donatti, Lucelia/0000-0002-9023-2483; machado, cintia/0000-0002-3570-1611; Herrerias, Tatiana/0000-0002-6150-6393; ZALESKI, TANIA/0000-0001-7426-7312</t>
  </si>
  <si>
    <t>Brazilian Ministry of the Environment (MMA); Ministry of Science, Technology, and Innovation (MCTI); Brazilian Federal Agency for Support and Evaluation of Graduate Education (CAPES); Secretariat of the Inter-Ministerial Commission for the Resources of the Sea (SeCIRM); Ethics Committee on Animal Experimentation of the Federal University of Parana [496/2010, 840/2014]; CAPES; CNPq [CAPES/PNPD 2443/2011, CNPq 52.0125/2008-8, 30.5562/2009-6, 30.5969/2012-9]; INCT-APA [CNPq 574.018/2008-5, FAPERJ E-26/170.023/2008]</t>
  </si>
  <si>
    <t>Brazilian Ministry of the Environment (MMA); Ministry of Science, Technology, and Innovation (MCTI); Brazilian Federal Agency for Support and Evaluation of Graduate Education (CAPES)(Coordenacao de Aperfeicoamento de Pessoal de Nivel Superior (CAPES)); Secretariat of the Inter-Ministerial Commission for the Resources of the Sea (SeCIRM); Ethics Committee on Animal Experimentation of the Federal University of Parana; CAPES(Coordenacao de Aperfeicoamento de Pessoal de Nivel Superior (CAPES)); CNPq(Conselho Nacional de Desenvolvimento Cientifico e Tecnologico (CNPQ)); INCT-APA</t>
  </si>
  <si>
    <t>We are grateful to the following for their support: the Brazilian Ministry of the Environment (MMA); the Ministry of Science, Technology, and Innovation (MCTI); the National Council for the Development of Scientific and Technological Research (CNPq); the Brazilian Federal Agency for Support and Evaluation of Graduate Education (CAPES); the Secretariat of the Inter-Ministerial Commission for the Resources of the Sea (SeCIRM); and the Ethics Committee on Animal Experimentation of the Federal University of Parana (process numbers, 496/2010 and 840/2014). The authors would like to thank Dr. Edith Susana Elisabeth Fanta (in memoriam) and Dr. Yocie Yoneshigue Valentin, coordinator of the National Institute of Antarctic Science and Technology of Environmental Research (INCT-APA), for providing help and encouragement during the execution of the present work. This study was supported by CAPES and CNPq through the projects CAPES/PNPD 2443/2011, CNPq 52.0125/2008-8, 30.5562/2009-6, 30.5969/2012-9, and INCT-APA (CNPq 574.018/2008-5, FAPERJ E-26/170.023/2008). We would like to thank the editor and reviewer for providing valuable comments and suggestions.</t>
  </si>
  <si>
    <t>0960-3166</t>
  </si>
  <si>
    <t>1573-5184</t>
  </si>
  <si>
    <t>REV FISH BIOL FISHER</t>
  </si>
  <si>
    <t>Rev. Fish. Biol. Fish.</t>
  </si>
  <si>
    <t>10.1007/s11160-018-9535-0</t>
  </si>
  <si>
    <t>Fisheries; Marine &amp; Freshwater Biology</t>
  </si>
  <si>
    <t>HC3SX</t>
  </si>
  <si>
    <t>WOS:000451724000012</t>
  </si>
  <si>
    <t>Feller, G</t>
  </si>
  <si>
    <t>Feller, Georges</t>
  </si>
  <si>
    <t>Protein folding at extreme temperatures: Current issues</t>
  </si>
  <si>
    <t>SEMINARS IN CELL &amp; DEVELOPMENTAL BIOLOGY</t>
  </si>
  <si>
    <t>Protein folding; Extremophiles; Trigger factor; Prolyl isomerization; Thermodynamic stability</t>
  </si>
  <si>
    <t>PSEUDOALTEROMONAS-HALOPLANKTIS TAC125; REVERSIBLE 2-STATE PROTEINS; TRIGGER FACTOR; THERMODYNAMIC STABILITY; ANTARCTIC BACTERIUM; ENVIRONMENTAL TEMPERATURES; HYPERTHERMOPHILIC PROTEIN; FUNCTIONAL ADAPTATIONS; PSYCHROPHILIC ENZYMES; THERMOPHILIC PROTEINS</t>
  </si>
  <si>
    <t>The range of temperatures compatible with life is currently estimated from -25 degrees C, as exemplified by metabolically active bacteria between sea ice crystals, and up to 122 degrees C in hydrothermal vents as exemplified by the archaeon Methanopyrus kandleri. In the context of protein folding, as soon as a polypeptide emerges from the ribosome, it is exposed to the effects of environmental temperatures. Recent investigations have shown that the rate of protein folding is not adapted to extreme temperatures and should be very fast at high temperature and low in cold environments. This lack of adaptation is driven by kinetic constraints on protein stability. To counteract the deleterious effects of fast protein folding in hyperthermophiles, chaperones such as the Trigger Factor hold and slow down the rate of folding intermediates. Prolyl isomerization, a rate-limiting step in the folding of many proteins, is strongly temperature-dependent and impairs folding of psychrophilic proteins in the cold. This is compensated by reduction of the proline content in cold-adapted proteins, by an increased number of prolyl isomerases encoded in the genome of psychrophilic microorganisms and by overexpression of prolyl isomerases under low temperature cultivation. After folding, the native state is reached and although extremophilic proteins share the same fold, dramatic differences in stability have been recorded by differential scanning calorimetry. (C) 2017 Elsevier Ltd. All rights reserved.</t>
  </si>
  <si>
    <t>[Feller, Georges] Univ Liege, Ctr Prot Engn InBioS, Lab Biochem, Inst Chem B6a, B-4000 Liege, Belgium</t>
  </si>
  <si>
    <t>University of Liege</t>
  </si>
  <si>
    <t>Feller, G (corresponding author), Univ Liege, Ctr Prot Engn InBioS, Lab Biochem, Inst Chem B6a, B-4000 Liege, Belgium.</t>
  </si>
  <si>
    <t>gfeller@ulg.ac.be</t>
  </si>
  <si>
    <t>F.R.S-FNRS, Belgium (Fonds de la Recherche Fondamentale et Collective) [2.4535.08, 2.4523.11, U.N009.13]; Belgian program of Interuniversity Attraction Poles [iPros P7/44]; Federal Office for Scientific, Technical and Cultural Affairs; FRIA fellowship</t>
  </si>
  <si>
    <t>F.R.S-FNRS, Belgium (Fonds de la Recherche Fondamentale et Collective)(Fonds de la Recherche Scientifique - FNRS); Belgian program of Interuniversity Attraction Poles; Federal Office for Scientific, Technical and Cultural Affairs; FRIA fellowship(Fonds de la Recherche Scientifique - FNRS)</t>
  </si>
  <si>
    <t>I gratefully thank Andre Matagne (Liege University), Philipp Schmidpeter and Franz Schmid (Bayreuth University) for their expert scientific input in some of our works cited here. I also thank S. D'Amico for his earlier contribution, as well as previous PhD students, F. Piette, C. Struvay, A. Cipolla and A. Godin during their FRIA fellowship. Works at the author's laboratory were supported by the F.R.S-FNRS, Belgium (Fonds de la Recherche Fondamentale et Collective, contract numbers 2.4535.08, 2.4523.11 and U.N009.13) and by the Belgian program of Interuniversity Attraction Poles (iPros P7/44) initiated by the Federal Office for Scientific, Technical and Cultural Affairs.</t>
  </si>
  <si>
    <t>1084-9521</t>
  </si>
  <si>
    <t>SEMIN CELL DEV BIOL</t>
  </si>
  <si>
    <t>Semin. Cell Dev. Biol.</t>
  </si>
  <si>
    <t>10.1016/j.semcdb.2017.09.003</t>
  </si>
  <si>
    <t>Cell Biology; Developmental Biology</t>
  </si>
  <si>
    <t>HA5KB</t>
  </si>
  <si>
    <t>WOS:000450309000017</t>
  </si>
  <si>
    <t>Rajala, T; Redenbach, C; Särkkä, A; Sormani, M</t>
  </si>
  <si>
    <t>Rajala, T.; Redenbach, C.; Sarkka, A.; Sormani, M.</t>
  </si>
  <si>
    <t>A review on anisotropy analysis of spatial point patterns</t>
  </si>
  <si>
    <t>SPATIAL STATISTICS</t>
  </si>
  <si>
    <t>4th International Conference on Spatial Statistics - One World - One Health</t>
  </si>
  <si>
    <t>JUL 04-07, 2017</t>
  </si>
  <si>
    <t>Lancaster Univ, Lancaster, ENGLAND</t>
  </si>
  <si>
    <t>Lancaster Univ</t>
  </si>
  <si>
    <t>Fry plot; Second-order characteristics; Spatial summary statistics; Spectral analysis; Wavelets</t>
  </si>
  <si>
    <t>SPECTRAL-ANALYSIS; LINE; ISOTROPY; MODELS</t>
  </si>
  <si>
    <t>A spatial point pattern is called anisotropic if its spatial structure depends on direction. Several methods for anisotropy analysis have been introduced in the literature. In this paper, we give an overview of nonparametric methods for anisotropy analysis of (stationary) point patterns in R-2 and R-3. We discuss methods based on nearest neighbour and second order summary statistics as well as spectral and wavelet analysis. All techniques are illustrated on both a clustered and a regular example. Finally, wediscuss methods for testing for isotropy as well as for estimating preferred directions in a point pattern. (C) 2018 Elsevier B.V. All rights reserved.</t>
  </si>
  <si>
    <t>[Rajala, T.] UCL, Dept Stat Sci, Gower St, London WC1E 6BT, England; [Redenbach, C.; Sormani, M.] Tech Univ Kaiserslautern, Math Dept, D-67663 Kaiserslautern, Germany; [Sarkka, A.] Chalmers Univ Technol, S-41296 Gothenburg, Sweden; [Sarkka, A.] Univ Gothenburg, Dept Math Sci, S-41296 Gothenburg, Sweden; [Sormani, M.] Fraunhofer Inst Techno &amp; Wirtschaftsmath, Fraunhofer Pl 1, D-67663 Kaiserslautern, Germany</t>
  </si>
  <si>
    <t>University of London; University College London; University of Kaiserslautern; Chalmers University of Technology; University of Gothenburg; Fraunhofer Gesellschaft</t>
  </si>
  <si>
    <t>Särkkä, A (corresponding author), Chalmers Univ Technol, S-41296 Gothenburg, Sweden.;Särkkä, A (corresponding author), Univ Gothenburg, Dept Math Sci, S-41296 Gothenburg, Sweden.</t>
  </si>
  <si>
    <t>aila@chalmers.se</t>
  </si>
  <si>
    <t>Rajala, Tuomas/S-5135-2019</t>
  </si>
  <si>
    <t>Rajala, Tuomas/0000-0002-1343-8058; Redenbach, Claudia/0000-0002-8030-069X</t>
  </si>
  <si>
    <t>Deutsche Forschungsgemeinschaft (DFG) [RE 3002/3-1]; Knut and Alice Wallenberg Foundation [KAW 2012.0067]; Swedish Foundation for Strategic Research [SSF AM13-0066]</t>
  </si>
  <si>
    <t>Deutsche Forschungsgemeinschaft (DFG)(German Research Foundation (DFG)); Knut and Alice Wallenberg Foundation(Knut &amp; Alice Wallenberg Foundation); Swedish Foundation for Strategic Research(Swedish Foundation for Strategic Research)</t>
  </si>
  <si>
    <t>This work was supported by the Deutsche Forschungsgemeinschaft (DFG) in the framework of the priority programme Antarctic Research with comparative investigations in Arctic ice areas'' by a grant RE 3002/3-1, by the Knut and Alice Wallenberg Foundation (KAW 2012.0067), and by Swedish Foundation for Strategic Research (SSF AM13-0066). We would also like to thank the two anonymous referees for very valuable comments.</t>
  </si>
  <si>
    <t>2211-6753</t>
  </si>
  <si>
    <t>SPAT STAT-NETH</t>
  </si>
  <si>
    <t>Spat. Stat.</t>
  </si>
  <si>
    <t>10.1016/j.spasta.2018.04.005</t>
  </si>
  <si>
    <t>Geosciences, Multidisciplinary; Mathematics, Interdisciplinary Applications; Remote Sensing; Statistics &amp; Probability</t>
  </si>
  <si>
    <t>Geology; Mathematics; Remote Sensing</t>
  </si>
  <si>
    <t>HB5QL</t>
  </si>
  <si>
    <t>WOS:000451116200011</t>
  </si>
  <si>
    <t>Perfetti-Bolaño, A; Moreno, L; Urrutia, R; Araneda, A; Barra, R</t>
  </si>
  <si>
    <t>Perfetti-Bolano, Alessandra; Moreno, Lucila; Urrutia, Roberto; Araneda, Alberto; Barra, Ricardo</t>
  </si>
  <si>
    <t>Influence of Pygoscelis Penguin Colonies on Cu and Pb Concentrations in Soils on the Ardley Peninsula, Maritime Antarctica</t>
  </si>
  <si>
    <t>WATER AIR AND SOIL POLLUTION</t>
  </si>
  <si>
    <t>Antarctica; Penguins; Pollution; Soil</t>
  </si>
  <si>
    <t>KING GEORGE ISLAND; TRACE-ELEMENT CONTAMINATION; PARTICLE-SIZE FRACTIONS; FILDES PENINSULA; HEAVY-METALS; LEAD; COPPER; ZINC; EAST; AVAILABILITY</t>
  </si>
  <si>
    <t>Penguins can bioaccumulate metals, a portion of which can be deposited in the environment through organic remains such as excrement, carcasses, and eggshells. In order to determine Cu and Pb concentrations and their relationship to soil, organic matter and grain size were determined in 27 samples collected in zones without penguins, penguin transit zones, and Adelie (Pygoscelis adeliae), Chinstrap (P. antarctica), and Gentoo penguin (P. papua) colonies on the Ardley Peninsula, Maritime Antarctica. An atomic absorption spectrophotometry analysis was carried out, organic matter was determined by loss on ignition, and grain size was measured with a laser diffraction particle size analyzer. The principal component analysis shows a relationship between the variables Cu, Pb, and grain size and areas with penguin presence. Cu concentrations in soils varied among areas ((2), 15.707; p=0.0004), with higher concentrations in transit zones and penguin colonies (142.63 and 140.79mg/kg, respectively) than in zones without penguins (83.33mg/kg). Pb concentrations in soils also varied among areas ((2), 6.5029; p=0.0387), and were higher in transit zones (5.92mg/kg) than in the penguin colonies (4.45mg/kg). Grain size differed significantly among areas ((2), 13.506; p=0.0012), with higher values in transit zones (avg. 37.38m) than in penguin colonies (avg. 26.93m) and zones without penguins (avg. 20.72m). Organic matter did not differ significantly among the studied zones ((2), 2.0882; p=0.3520). There is a positive correlation between Cu-Pb (Rho, 0.5532; p=0.0028), Cu-grain size (Rho, 0.4756; p=0.0130) and Pb-grain size (Rho, 0.4879; p=0.0098). The presence of penguins increases Cu concentrations in Antarctic soils due to its bioaccumulation and elimination through excrement; however, the presence of penguins has a minor influence on Pb concentration in soil, probably because this metal is stored efficiently in bones, feathers, and eggshells.</t>
  </si>
  <si>
    <t>[Perfetti-Bolano, Alessandra; Urrutia, Roberto; Araneda, Alberto; Barra, Ricardo] Univ Concepcion, Dept Aquat Syst, Fac Environm Sci, Barrio Univ S-N,Casilla 160 C, Concepcion, Chile; [Perfetti-Bolano, Alessandra; Urrutia, Roberto; Araneda, Alberto; Barra, Ricardo] Univ Concepcion, EULA Chile Ctr, Barrio Univ S-N,Casilla 160 C, Concepcion, Chile; [Moreno, Lucila] Univ Concepcion, Dept Zool, Fac Nat &amp; Oceanog Sci, Barrio Univ S-N,Casilla 160 C, Concepcion, Chile</t>
  </si>
  <si>
    <t>Universidad de Concepcion; Universidad de Concepcion; Universidad de Concepcion</t>
  </si>
  <si>
    <t>Perfetti-Bolaño, A (corresponding author), Univ Concepcion, Dept Aquat Syst, Fac Environm Sci, Barrio Univ S-N,Casilla 160 C, Concepcion, Chile.;Perfetti-Bolaño, A (corresponding author), Univ Concepcion, EULA Chile Ctr, Barrio Univ S-N,Casilla 160 C, Concepcion, Chile.</t>
  </si>
  <si>
    <t>aleperfetti@udec.cl</t>
  </si>
  <si>
    <t>Barra, Ricardo O./A-5543-2009; Barra, Ricardo O/AAE-7295-2019; Moreno Salas, Lucila/HTR-5576-2023</t>
  </si>
  <si>
    <t>Barra, Ricardo O./0000-0002-1567-7722; Barra, Ricardo O/0000-0002-1567-7722; Moreno Salas, Lucila/0000-0003-3159-4916; Araneda Castillo, Alberto/0000-0001-8483-6611</t>
  </si>
  <si>
    <t>Instituto Antartico Chileno (INACH); Correos de Chile [PR_01-12]; CRHIAM [CONICYT/FONDAP 15130015]</t>
  </si>
  <si>
    <t>Instituto Antartico Chileno (INACH); Correos de Chile; CRHIAM</t>
  </si>
  <si>
    <t>The authors would like to thank Instituto Antartico Chileno (INACH) and Correos de Chile for their support in carrying out this project (PR_01-12) during ECA 49. R. Barra and R. Urrutia are grateful for the support of CRHIAM (CONICYT/FONDAP 15130015).</t>
  </si>
  <si>
    <t>0049-6979</t>
  </si>
  <si>
    <t>1573-2932</t>
  </si>
  <si>
    <t>WATER AIR SOIL POLL</t>
  </si>
  <si>
    <t>Water Air Soil Pollut.</t>
  </si>
  <si>
    <t>10.1007/s11270-018-4042-4</t>
  </si>
  <si>
    <t>Environmental Sciences; Meteorology &amp; Atmospheric Sciences; Water Resources</t>
  </si>
  <si>
    <t>Environmental Sciences &amp; Ecology; Meteorology &amp; Atmospheric Sciences; Water Resources</t>
  </si>
  <si>
    <t>HB4ZU</t>
  </si>
  <si>
    <t>WOS:000451067200003</t>
  </si>
  <si>
    <t>Kennedy, JJ; Dunn, RJH; Titchner, HA; Morice, CP; Killick, RE; McCarthy, MP</t>
  </si>
  <si>
    <t>Kennedy, John J.; Dunn, Robert J. H.; Titchner, Holly A.; Morice, Colin P.; Killick, Rachel E.; McCarthy, Mark P.</t>
  </si>
  <si>
    <t>Global and regional climate in 2017</t>
  </si>
  <si>
    <t>WEATHER</t>
  </si>
  <si>
    <t>TEMPERATURE; PRECIPITATION; IMPROVEMENTS; PRODUCTS; SERIES; SET</t>
  </si>
  <si>
    <t>Globally, 2017 was one of the three warmest years on record at the surface of the Earth, despite neutral or weak La Nina conditions. Warmth was widespread in the climate system, with ocean heat and atmospheric temperatures also among the top three years. Arctic and Antarctic sea ice extents were below the long-term average, and a number of months had record low extents. In the UK and Europe there were a number of unusual weather events, and high spring and summer temperatures affected areas of Europe, North Africa and the Middle East.</t>
  </si>
  <si>
    <t>[Kennedy, John J.; Dunn, Robert J. H.; Titchner, Holly A.; Morice, Colin P.; Killick, Rachel E.] Met Off, Hadley Ctr, Exeter, Devon, England; [McCarthy, Mark P.] Met Off, Natl Climate Informat Ctr, Exeter, Devon, England</t>
  </si>
  <si>
    <t>Met Office - UK; Hadley Centre; Met Office - UK</t>
  </si>
  <si>
    <t>Kennedy, JJ (corresponding author), Met Off, Hadley Ctr, Exeter, Devon, England.</t>
  </si>
  <si>
    <t>john.kennedy@metoffice.gov.uk</t>
  </si>
  <si>
    <t>Killick, Rachel/ISA-5992-2023; Dunn, Robert/O-5910-2016</t>
  </si>
  <si>
    <t>Killick, Rachel/0000-0001-5335-4097; Dunn, Robert/0000-0003-2469-5989; McCarthy, Mark/0000-0003-2692-1417</t>
  </si>
  <si>
    <t>Met Office Hadley Centre Climate Programme - BEIS; Defra</t>
  </si>
  <si>
    <t>Met Office Hadley Centre Climate Programme - BEIS; Defra(Department for Environment, Food &amp; Rural Affairs (DEFRA))</t>
  </si>
  <si>
    <t>The authors were supported by the Met Office Hadley Centre Climate Programme, funded by BEIS and Defra. We would like to thank Prof. Phil Jones at the University of East Anglia, who contributed to the land-surface temperature analysis and Andrew Colman who prepared the Sahel rainfall data.</t>
  </si>
  <si>
    <t>0043-1656</t>
  </si>
  <si>
    <t>1477-8696</t>
  </si>
  <si>
    <t>Weather</t>
  </si>
  <si>
    <t>HD1WT</t>
  </si>
  <si>
    <t>WOS:000452303800007</t>
  </si>
  <si>
    <t>Liu, NY</t>
  </si>
  <si>
    <t>Liu, Nengye</t>
  </si>
  <si>
    <t>The European Union and the establishment of marine protected areas in Antarctica</t>
  </si>
  <si>
    <t>INTERNATIONAL ENVIRONMENTAL AGREEMENTS-POLITICS LAW AND ECONOMICS</t>
  </si>
  <si>
    <t>European Union (EU); Marine protected areas; Antarctica; China; Southern Ocean</t>
  </si>
  <si>
    <t>SOUTHERN-OCEAN; MANAGEMENT; ILLEGAL</t>
  </si>
  <si>
    <t>This paper examines how the EU can best use its powers to establish marine protected areas (MPAs) in Antarctica. It first discusses the EU's role in Antarctic governance and legal basis for the EU's actions, with particular focus on the pending Joined Cases C-625/15 and C-659/16 at the Court of Justice of the European Union. Secondly, the paper analyses the negotiation process of the EU's MPA proposals in the Southern Ocean within the Commission for the Conservation of Antarctic Marine Living Resources. Thirdly, it provides suggestions regarding the EU's potential actions that might help achieve proposed Antarctic MPAs.</t>
  </si>
  <si>
    <t>[Liu, Nengye] Univ Adelaide, Adelaide Law Sch, Ligertwood Bldg,North Terrace, Adelaide, SA 5005, Australia</t>
  </si>
  <si>
    <t>University of Adelaide</t>
  </si>
  <si>
    <t>Liu, NY (corresponding author), Univ Adelaide, Adelaide Law Sch, Ligertwood Bldg,North Terrace, Adelaide, SA 5005, Australia.</t>
  </si>
  <si>
    <t>nengye.liu@adelaide.edu.au</t>
  </si>
  <si>
    <t>/0000-0002-2995-5017</t>
  </si>
  <si>
    <t>EU Centre for Global Affairs Annual Grant Program 2017, University of Adelaide, Australia</t>
  </si>
  <si>
    <t>This is the resulting paper of the project The European Union and the Conservation of Marine Living Resources in Antarctica, funded by the EU Centre for Global Affairs Annual Grant Program 2017, University of Adelaide, Australia.</t>
  </si>
  <si>
    <t>1567-9764</t>
  </si>
  <si>
    <t>1573-1553</t>
  </si>
  <si>
    <t>INT ENVIRON AGREEM-P</t>
  </si>
  <si>
    <t>Int. Environ. Agreem.-Polit. Law Econom.</t>
  </si>
  <si>
    <t>10.1007/s10784-018-9419-8</t>
  </si>
  <si>
    <t>Economics; Environmental Studies; Law; Political Science</t>
  </si>
  <si>
    <t>Business &amp; Economics; Environmental Sciences &amp; Ecology; Government &amp; Law</t>
  </si>
  <si>
    <t>HA7JY</t>
  </si>
  <si>
    <t>WOS:000450458600006</t>
  </si>
  <si>
    <t>Brigham, LW</t>
  </si>
  <si>
    <t>Brigham, Lawson W.</t>
  </si>
  <si>
    <t>IMO Polar Code: New Governance for the Southern Ocean</t>
  </si>
  <si>
    <t>Editorial Material</t>
  </si>
  <si>
    <t>10.1017/S095410201800041X</t>
  </si>
  <si>
    <t>WOS:000454297300001</t>
  </si>
  <si>
    <t>Shore, R</t>
  </si>
  <si>
    <t>Shore, Robert</t>
  </si>
  <si>
    <t>The effect of the solar wind on the ionosphere</t>
  </si>
  <si>
    <t>ASTRONOMY &amp; GEOPHYSICS</t>
  </si>
  <si>
    <t>GEOMAGNETICALLY INDUCED CURRENTS; INTERPLANETARY MAGNETIC-FIELD; MAGNETOSPHERE; CONVECTION</t>
  </si>
  <si>
    <t>[Shore, Robert] British Antarctic Survey, Cambridge, England</t>
  </si>
  <si>
    <t>Shore, R (corresponding author), British Antarctic Survey, Cambridge, England.</t>
  </si>
  <si>
    <t>Shore, Robert/0000-0002-8386-1425</t>
  </si>
  <si>
    <t>NERC [NE/N01099X/1] Funding Source: UKRI</t>
  </si>
  <si>
    <t>1366-8781</t>
  </si>
  <si>
    <t>1468-4004</t>
  </si>
  <si>
    <t>ASTRON GEOPHYS</t>
  </si>
  <si>
    <t>Astron. Geophys.</t>
  </si>
  <si>
    <t>10.1093/astrogeo/aty273</t>
  </si>
  <si>
    <t>Astronomy &amp; Astrophysics; Geochemistry &amp; Geophysics</t>
  </si>
  <si>
    <t>HH9QU</t>
  </si>
  <si>
    <t>WOS:000456074800032</t>
  </si>
  <si>
    <t>Liu, T; Li, JP; Li, YJ; Zhao, S; Zheng, F; Zheng, JY; Yao, ZX</t>
  </si>
  <si>
    <t>Liu, Ting; Li, Jianping; Li, YanJie; Zhao, Sen; Zheng, Fei; Zheng, Jiayu; Yao, Zhixiong</t>
  </si>
  <si>
    <t>Influence of the May Southern annular mode on the South China Sea summer monsoon</t>
  </si>
  <si>
    <t>13th East Asian Climate (EAC) International Workshop</t>
  </si>
  <si>
    <t>MAR 24-25, 2016</t>
  </si>
  <si>
    <t>Southern annular mode; South China Sea summer monsoon; Coupled oceanic-atmospheric bridge</t>
  </si>
  <si>
    <t>SPRING ANTARCTIC OSCILLATION; WESTERN PACIFIC; WINTER PRECIPITATION; NORTHERN-HEMISPHERE; IMPACT; INDEX; ONSET; PROPAGATION; CIRCULATION; DYNAMICS</t>
  </si>
  <si>
    <t>The possible impact of the May Southern Hemisphere (SH) annular mode (SAM) on the following South China Sea (SCS) summer monsoon (SCSSM) is examined. A close inverse relationship between the two is revealed in the observations. The simultaneous South Pacific dipole (SPD), a dipole-like sea surface temperature anomaly pattern in the South Pacific, acts as the oceanic bridge to preserve the May SAM signal and prolong it into June-September. Observational evidence and numerical simulations both demonstrate that the SPD communicates its large thermal inertia signal to the atmosphere, regulating the Southern Pacific Subtropical Jet (SPSJ) variability over eastern Australia. Corresponding to the adjustment of circulation associated with the SPSJ is a prominent tripolar cross-Pacific teleconnection pattern stretching from the SH middle-high latitudes into the NH East Asia coastal region, referred to as the South-North Pacific (SNP) teleconnection pattern. Wave ray tracing analysis manifests that the SNP acts as the atmospheric bridge to propagate the related wave energy across the equator and into the Maritime Continent and SCS monsoon region, modulating the vertical motion and middle-lower tropospheric flows, and favoring the out-of-phase variation of the SCSSM. Therefore, the coupled oceanic-atmospheric bridge process and the related Rossby wave energy transmission are possible mechanisms for the significant influence of the May SAM on the variability of the following SCSSM. Therefore, the May SAM provides a fresh insight into the prediction of the SCSSM from the perspective of the SH high latitudes.</t>
  </si>
  <si>
    <t>[Liu, Ting; Zheng, Jiayu; Yao, Zhixiong] Second Inst Oceanog, State Key Lab Satellite Ocean Environm Dynam, Hangzhou, Zhejiang, Peoples R China; [Li, Jianping] Beijing Normal Univ, State Key Lab Earth Surface Proc &amp; Resource Ecol, Beijing 100875, Peoples R China; [Li, Jianping] Beijing Normal Univ, Coll Global Change &amp; Earth Syst Sci, Beijing 100875, Peoples R China; [Li, Jianping] Qingdao Natl Lab Marine Sci &amp; Technol, Lab Reg Oceanog &amp; Numer Modeling, Qingdao 266237, Peoples R China; [Li, YanJie; Zheng, Fei] Chinese Acad Sci, Inst Atmospher Phys, State Key Lab Numer Modeling Atmospher Sci &amp; Geop, Beijing, Peoples R China; [Zhao, Sen] Univ Hawaii Manoa, Sch Ocean &amp; Earth Sci &amp; Technol, Honolulu, HI 96822 USA; [Zhao, Sen] Nanjing Univ Informat Sci &amp; Technol, Key Lab Meteorol Disaster, Minist Educ, Nanjing, Jiangsu, Peoples R China; [Zhao, Sen] Nanjing Univ Informat Sci &amp; Technol, Coll Atmospher Sci, Nanjing, Jiangsu, Peoples R China</t>
  </si>
  <si>
    <t>Ministry of Natural Resources of the People's Republic of China; Second Institute of Oceanography, Ministry of Natural Resources; Beijing Normal University; Beijing Normal University; Laoshan Laboratory; Chinese Academy of Sciences; Institute of Atmospheric Physics, CAS; University of Hawaii System; University of Hawaii Manoa; Nanjing University of Information Science &amp; Technology; Nanjing University of Information Science &amp; Technology</t>
  </si>
  <si>
    <t>Li, JP (corresponding author), Beijing Normal Univ, State Key Lab Earth Surface Proc &amp; Resource Ecol, Beijing 100875, Peoples R China.;Li, JP (corresponding author), Beijing Normal Univ, Coll Global Change &amp; Earth Syst Sci, Beijing 100875, Peoples R China.;Li, JP (corresponding author), Qingdao Natl Lab Marine Sci &amp; Technol, Lab Reg Oceanog &amp; Numer Modeling, Qingdao 266237, Peoples R China.;Li, YJ (corresponding author), Chinese Acad Sci, Inst Atmospher Phys, State Key Lab Numer Modeling Atmospher Sci &amp; Geop, Beijing, Peoples R China.</t>
  </si>
  <si>
    <t>ljp@bnu.edu.cn; lyj@mail.iap.ac.cn</t>
  </si>
  <si>
    <t>Zheng, Fei/AAV-7512-2021; Zhao, Sen/S-3113-2016; Zheng, Fei/AAQ-4559-2020; Li, Jianping/I-2661-2012</t>
  </si>
  <si>
    <t>Zheng, Fei/0000-0001-6135-6148; Zhao, Sen/0000-0002-5597-1109; Zheng, Fei/0000-0001-6135-6148; Li, Jianping/0000-0003-0625-1575</t>
  </si>
  <si>
    <t>973 Program [2013CB430200]; National Natural Science Foundation of China [41575060, 41690124, 41690120]</t>
  </si>
  <si>
    <t>973 Program(National Basic Research Program of China); National Natural Science Foundation of China(National Natural Science Foundation of China (NSFC))</t>
  </si>
  <si>
    <t>This study was jointly supported by the 973 Program (2013CB430200) and the National Natural Science Foundation of China (41575060, 41690124 and 41690120). The authors are grateful to the valuable comments and suggestions of the two anonymous reviewers, which have helped us to improve the paper.</t>
  </si>
  <si>
    <t>11-12</t>
  </si>
  <si>
    <t>10.1007/s00382-017-3753-3</t>
  </si>
  <si>
    <t>HC3TN</t>
  </si>
  <si>
    <t>WOS:000451725600010</t>
  </si>
  <si>
    <t>Warwick-Evans, V; Ratcliffe, N; Lowther, AD; Manco, F; Ireland, L; Clewlow, HL; Trathan, PN</t>
  </si>
  <si>
    <t>Warwick-Evans, Victoria; Ratcliffe, Norman; Lowther, Andrew D.; Manco, Fabrizio; Ireland, Louise; Clewlow, Harriet L.; Trathan, Philip N.</t>
  </si>
  <si>
    <t>Using habitat models for chinstrap penguins Pygoscelis antarctica to advise krill fisheries management during the penguin breeding season</t>
  </si>
  <si>
    <t>Antarctica; chinstrap penguin; fisheries overlap; habitat modelling; krill fishery; management; marine predator; Pygoscelis antarctica</t>
  </si>
  <si>
    <t>CLIMATE-CHANGE; SOUTHERN-OCEAN; EUPHAUSIA-SUPERBA; MARINE ECOSYSTEM; BEHAVIOR; COMPETITION; DYNAMICS; TRACKING; GEORGIA; SPACE</t>
  </si>
  <si>
    <t>Aim To predict the at-sea distribution of chinstrap penguins across the South Orkney Islands and to quantify the overlap with the Southern Ocean krill fishery. Location Methods South Orkney Islands, Antarctica. Penguins from four colonies across the South Orkney Islands were tracked using global positioning systems (GPSs) and time depth recorders (TDRs). Relationships between a variety of environmental and geometric variables and the at-sea distribution of penguins were investigated using general additive models for the three main phases of the breeding season. Subsequently, the final models were extrapolated across the South Orkney archipelago to predict the at-sea distribution of penguins from colonies where no tracking data are available. Finally, the overlap between areas used by chinstrap penguins and the krill fishery was quantified. Results Main conclusions The foraging distribution of chinstrap penguins can be predicted using two simple and static variables: the distance from the colony and the direction of travel towards the shelf-edge, while avoiding high densities of Pygoscelis penguins from other colonies. Additionally, we find that the chinstrap penguins breeding on the South Orkney Islands use areas which overlap with frequently used krill fishing areas and that this overlap is most prominent during the brood and creche phases of the breeding season. This is the first step in understanding the potential impacts of the krill fishery, for all colonies including those where no empirical tracking data are available. However, with the available data, it is not currently possible to infer an impact of the krill fisheries on penguins. With this in mind, we recommend the implementation of monitoring schemes to investigate the effects of prey depletion on predator populations and to ensure that management continues to follow a precautionary approach and is addressed at spatial and temporal scales relevant to ecosystem operation.</t>
  </si>
  <si>
    <t>[Warwick-Evans, Victoria; Ratcliffe, Norman; Ireland, Louise; Clewlow, Harriet L.; Trathan, Philip N.] British Antarctic Survey, Madingley Rd, Cambridge CB3 0ET, England; [Lowther, Andrew D.] Norwegian Polar Res Inst, Fram Ctr, Tromso, Norway; [Manco, Fabrizio] Anglia Ruskin Univ, Cambridge, England</t>
  </si>
  <si>
    <t>UK Research &amp; Innovation (UKRI); Natural Environment Research Council (NERC); NERC British Antarctic Survey; Norwegian Polar Institute; Anglia Ruskin University</t>
  </si>
  <si>
    <t>Warwick-Evans, V (corresponding author), British Antarctic Survey, Madingley Rd, Cambridge CB3 0ET, England.</t>
  </si>
  <si>
    <t>vicrwi@bas.ac.uk</t>
  </si>
  <si>
    <t>Lowther, Andrew/T-2511-2019</t>
  </si>
  <si>
    <t>Lowther, Andrew/0000-0003-4294-3157; Warwick-Evans, Victoria/0000-0002-0583-5504</t>
  </si>
  <si>
    <t>Darwin Plus [DPLUS054]; CCAMLR CEMP Special Fund; NERC [bas0100035, bas010011] Funding Source: UKRI</t>
  </si>
  <si>
    <t>Darwin Plus; CCAMLR CEMP Special Fund; NERC(UK Research &amp; Innovation (UKRI)Natural Environment Research Council (NERC))</t>
  </si>
  <si>
    <t>Darwin Plus, Grant/Award Number: DPLUS054; CCAMLR CEMP Special Fund</t>
  </si>
  <si>
    <t>10.1111/ddi.12817</t>
  </si>
  <si>
    <t>WOS:000450303700004</t>
  </si>
  <si>
    <t>Sáez, PL; Galmés, J; Ramírez, CF; Poblete, L; Rivera, BK; Cavieres, LA; Clemente-Moreno, MJ; Flexas, J; Bravo, LA</t>
  </si>
  <si>
    <t>Saez, Patricia L.; Galmes, Jeroni; Ramirez, Constanza F.; Poblete, Leticia; Rivera, Betsy K.; Cavieres, Lohengrin A.; Jose Clemente-Moreno, Maria; Flexas, Jaume; Bravo, Leon A.</t>
  </si>
  <si>
    <t>Mesophyll conductance to CO2 is the most significant limitation to photosynthesis at different temperatures and water availabilities in Antarctic vascular species</t>
  </si>
  <si>
    <t>ENVIRONMENTAL AND EXPERIMENTAL BOTANY</t>
  </si>
  <si>
    <t>C. quitensis; D. antarctica; Climate change; Photosynthesis; Mesophyll conductance; Temperature; Water availability</t>
  </si>
  <si>
    <t>DECREASED RUBISCO ACTIVITY; QUITENSIS KUNTH BARTL.; LEAF DRY MASS; COLOBANTHUS-QUITENSIS; GAS-EXCHANGE; DIFFUSION CONDUCTANCE; USE EFFICIENCY; CLIMATE-CHANGE; PLANTS; STRESS</t>
  </si>
  <si>
    <t>The impact of climate change on Antarctic plants is not only associated to the effect of increased temperature but also strongly modulated by water availability (WA) illustrating the importance of this factor in predicting responses to warming. The aim of this study was to evaluate the effect of temperature and WA on the photosynthetic performance and photosynthetic limitations of the only two Antarctic vascular species: Deschampsia antarctica and Colobanthus quitensis. We hypothesize that: the ability of Antarctic plants to increase their net CO2 assimilation (A(N)) in response to raising growth temperature would be constrained by mesophyll conductance (g(m)); and decreases in water availability may counteract any benefit in carbon gain obtained upon increasing temperature. To address this issue, both species were grown (T-g) and measured (T-m) at three different temperatures (5, 10 and 16 degrees C). Furthermore, two different irrigation conditions (well-watered, WW, and water-deficit, WD) were applied at 16 degrees C. Gas-exchange measurements showed that A(N) and their underlying diffusive (g(s) and g(m)) and biochemical components (V-cmax) were mainly determined by T-g and, to a lesser extent by T-m. Warmer conditions favor A(N) of both species, although D. antarctica requires higher increases of temperature to show the same response. Changes in A(N) in response to either temperature or WA are due to proportional concomitant changes of stomatal and mesophyll conductances, and carboxylation capacity. However, g(m) remains the most important limitation at any environmental condition. Reduced WA can completely counteract any benefit to photosynthesis induced by raising temperature, suggesting that these species may present a quite homeostatic photosynthetic response to the climate changes predicted for the Antarctic region.</t>
  </si>
  <si>
    <t>[Saez, Patricia L.; Ramirez, Constanza F.; Poblete, Leticia; Rivera, Betsy K.] Univ Concepcion, Fac Ciencias Forestales, Dept Silviculture, Lab Cult Tejidos Vegetales,Ctr Biotecnol, Concepcion, Chile; [Galmes, Jeroni; Jose Clemente-Moreno, Maria; Flexas, Jaume] UIB, Inst Agroecol &amp; Econ Agua INAGEA, Res Grp Plant Biol Mediterranean Condit, Balearic Isl, Spain; [Cavieres, Lohengrin A.] Univ Concepcion, Fac Ciencias Nat &amp; Oceanog, Dept Bot, Barrio Univ S-N, Concepcion, Chile; [Bravo, Leon A.] Univ La Frontera, Lab Fisiol &amp; Biol Mol Vegetal,Sci &amp; Technol Biore, Dept Ciencias Agron &amp; Recursos Nat,Ctr Plant Soil, Inst Agroind,Fac Ciencias Agr &amp; Forestales, Temuco, Chile</t>
  </si>
  <si>
    <t>Universidad de Concepcion; Universitat de les Illes Balears; Universidad de Concepcion; Universidad de La Frontera</t>
  </si>
  <si>
    <t>Sáez, PL (corresponding author), Univ Concepcion, Fac Ciencias Forestales, Dept Silviculture, Lab Cult Tejidos Vegetales,Ctr Biotecnol, Concepcion, Chile.</t>
  </si>
  <si>
    <t>patrisaez@udec.cl</t>
  </si>
  <si>
    <t>Cavieres, Lohengrin A./A-9542-2010; Clemente-Moreno, Maria Jose/G-5339-2011; Bravo, León/AAO-8437-2020</t>
  </si>
  <si>
    <t>Cavieres, Lohengrin A./0000-0001-9122-3020; Clemente-Moreno, Maria Jose/0000-0003-3288-6312; Bravo, León/0000-0003-4705-4842; Saez, Patricia L./0000-0002-8594-7329</t>
  </si>
  <si>
    <t>National Fund for Scientific and Technological Development [11130332]; Associative Research Program of CONICYT [PIA ART-1102]; Support Program for the Formation of International Networks between Research Centers [REDES-170102]; Chilean Antarctic Institute [FI-02-13]; Ministerio de Economia y Competitividad [CTM2014-53902-C2-1-P]; ERDF (FEDER)</t>
  </si>
  <si>
    <t>National Fund for Scientific and Technological Development(Comision Nacional de Investigacion Cientifica y Tecnologica (CONICYT)CONICYT FONDECYT); Associative Research Program of CONICYT; Support Program for the Formation of International Networks between Research Centers; Chilean Antarctic Institute; Ministerio de Economia y Competitividad(Spanish Government); ERDF (FEDER)(European Union (EU))</t>
  </si>
  <si>
    <t>This research was funded by The National Fund for Scientific and Technological Development (Grant no.11130332), The Associative Research Program of CONICYT (Grant no. PIA ART-1102), The Support Program for the Formation of International Networks between Research Centers (Grant no. REDES-170102) and The Chilean Antarctic Institute (Grant no. FI-02-13). The work of JF and MJC on mesophyll conductance is supported by the Ministerio de Economia y Competitividad (Grant no.CTM2014-53902-C2-1-P) and the ERDF (FEDER). The authors also thank to H. Arctowski Polish Antarctic Station.</t>
  </si>
  <si>
    <t>0098-8472</t>
  </si>
  <si>
    <t>1873-7307</t>
  </si>
  <si>
    <t>ENVIRON EXP BOT</t>
  </si>
  <si>
    <t>Environ. Exp. Bot.</t>
  </si>
  <si>
    <t>10.1016/j.envexpbot.2018.09.008</t>
  </si>
  <si>
    <t>Plant Sciences; Environmental Sciences</t>
  </si>
  <si>
    <t>Plant Sciences; Environmental Sciences &amp; Ecology</t>
  </si>
  <si>
    <t>GX9BN</t>
  </si>
  <si>
    <t>WOS:000448093600027</t>
  </si>
  <si>
    <t>Santa Cruz, F; Ernst, B; Arata, JA; Parada, C</t>
  </si>
  <si>
    <t>Santa Cruz, Francisco; Ernst, Billy; Arata, Javier A.; Parada, Carolina</t>
  </si>
  <si>
    <t>Spatial and temporal dynamics of the Antarctic krill fishery in fishing hotspots in the Bransfield Strait and South Shetland Islands</t>
  </si>
  <si>
    <t>Western Antarctic Peninsula; Fishing hotspots; Krill CPUE; Fleet distribution; CCAMLR</t>
  </si>
  <si>
    <t>EUPHAUSIA-SUPERBA; SCOTIA SEA; MANAGING FISHERIES; ECOSYSTEM APPROACH; CLIMATE-CHANGE; MANAGEMENT; PENINSULA; INDICATORS; BEHAVIOR; BIOMASS</t>
  </si>
  <si>
    <t>Antarctic krill is a vital part of the food web and supports a significant fishery in the Southern Ocean. Shifts in historical fishing grounds and spatial distribution of catches have occurred as a result of recent changes in fishery practices. To understand these shifts, fishery spatial dynamics and fishing fleet behavior evaluated on different spatial and temporal scales are critical. We examine the catch distribution on three spatial-temporal scales. At the Western Antarctic Peninsula (WAP) scale, we assessed the fleet's southward expansion, identifying the Bransfield Strait (BS) as the main current fishing ground, replacing the historical Drake sector. At the BS scale, we identified fishing hotspots (FHs) that concentrated 48%-57% of the total catch over a period of 2-6 months and had high catch densities (2.2-30.3 ton km(-2)). At the FH scale, we tracked the spatial distribution of the fleet within FHs, demonstrating a shift of fishing vessels to contiguous zones as a result of a decrease in daily catch rates (CPUE). Such shifts (allowing the fleet to increase CPUE) occurred every 4-17 days. Previously exploited fishing grounds were revisited based on FH persistence and sea ice conditions. This paper concludes with a discussion of the potential impact of fishing fleet behavior and catch concentration, considering the recent spatial shift towards less-exploited areas, the overlap with critical zones for predator feeding, and several implications for fisheries management.</t>
  </si>
  <si>
    <t>[Santa Cruz, Francisco] Univ Conception, Programa Magister Ciencias Con Menc Pesquerias, Conception, Chile; [Ernst, Billy] Univ Concepcion, Fac Ciencias Nat &amp; Oceanog, Dept Oceanog, Casilla 160-C, Conception, Chile; [Ernst, Billy] Nucleo Milenio INVASAL, Concepcion, Chile; [Arata, Javier A.] Univ Austral Chile, Inst Ciencias Marinas &amp; Limnol, Ctr Invest Dinam Ecosistemas Marinos Altas Latitu, Edificio Pugin Piso 1,Campus Isla Teja, Valdivia, Chile; [Parada, Carolina] Univ Concepcion, Fac Ciencias Matemat &amp; Fis, Dept Geofis, Concepcion, Chile; [Parada, Carolina] Univ Concepcion, Inst Milenio Oceanog, Concepcion, Chile</t>
  </si>
  <si>
    <t>Universidad de Concepcion; Universidad de Concepcion; Universidad Austral de Chile; Universidad de Concepcion; Universidad de Concepcion</t>
  </si>
  <si>
    <t>Santa Cruz, F (corresponding author), Univ Conception, Programa Magister Ciencias Con Menc Pesquerias, Conception, Chile.</t>
  </si>
  <si>
    <t>fransantacruz@udec.cl</t>
  </si>
  <si>
    <t>Santa Cruz, Francisco/ABF-5001-2020; Arata, Javier A./ABH-9557-2020; Parada Véliz, Carolina/HXK-1997-2023; Arata, Javier A./U-9754-2017</t>
  </si>
  <si>
    <t>Parada Veliz, Carolina/0000-0003-1311-5563; Arata, Javier A./0000-0001-7320-0511; Santa Cruz, Francisco/0000-0002-7894-0153</t>
  </si>
  <si>
    <t>Postgraduate Program at the Universidad de Concepcion (UdeC); Nucleo Milenio INVASAL; Chilean Government Program, Iniciativa Cientifica Milenio, Ministry for the Economy, Development and Tourism; project FONDAP IDEAL [15150003]</t>
  </si>
  <si>
    <t>Postgraduate Program at the Universidad de Concepcion (UdeC); Nucleo Milenio INVASAL; Chilean Government Program, Iniciativa Cientifica Milenio, Ministry for the Economy, Development and Tourism; project FONDAP IDEAL</t>
  </si>
  <si>
    <t>The authors extend their appreciation to two anonymous reviewers for their thoughtful comments which contributed to improving the final manuscript. Francisco Santa Cruz appreciates the support and funding provided by the Postgraduate Program at the Universidad de Concepcion (UdeC) during his graduate work. The authors also thank the CCAMLR Secretariat for providing the hill fishery data, Mr. Marcelo Gonzalez (UdeC) for his advice on GIS tools, and Dr. Raymond J. Thompson for his careful improvement of the English manuscript. Dr. Billy Ernst received the support of Nucleo Milenio INVASAL, funded by the Chilean Government Program, Iniciativa Cientifica Milenio, Ministry for the Economy, Development and Tourism. Dr. Javier Arata was partially supported by project FONDAP IDEAL No. 15150003.</t>
  </si>
  <si>
    <t>10.1016/j.fishres.2018.07.020</t>
  </si>
  <si>
    <t>WOS:000447108300017</t>
  </si>
  <si>
    <t>Khomich, M; Cox, F; Andrew, CJ; Andersen, T; Kauserud, H; Davey, ML</t>
  </si>
  <si>
    <t>Khomich, Maryia; Cox, Filipa; Andrew, Carrie J.; Andersen, Tom; Kauserud, Havard; Davey, Marie L.</t>
  </si>
  <si>
    <t>Coming up short: Identifying substrate and geographic biases in fungal sequence databases</t>
  </si>
  <si>
    <t>FUNGAL ECOLOGY</t>
  </si>
  <si>
    <t>Fungi; Mycobiome; ITS region; GenBank; UNITE; RDP Bayesian classifier; Diversity; Metabarcoding; Substrate</t>
  </si>
  <si>
    <t>INTERNAL TRANSCRIBED SPACER; IDENTIFICATION; DIVERSITY; ECOLOGY</t>
  </si>
  <si>
    <t>Insufficient reference database coverage is a widely recognized limitation of molecular ecology approaches which are reliant on database matches for assignment of function or identity. Here, we use data from 65 amplicon high-throughput sequencing (HIS) datasets targeting the internal transcribed spacer (ITS) region of fungal rDNA to identify substrates and geographic areas whose underrepresentation in the available reference databases could have meaningful impact on our ability to draw ecological conclusions. A total of 14 different substrates were investigated. Database representation was particularly poor for the fungal communities found in aquatic (freshwater and marine) and soil ecosystems. Aquatic ecosystems are identified as priority targets for the recovery of novel fungal lineages. A subset of the data representing soil samples with global distribution were used to identify geographic locations and terrestrial biomes with poor database representation. Database coverage was especially poor in tropical, subtropical, and Antarctic latitudes, and the Amazon, Southeast Asia, Australasia, and the Indian subcontinent are identified as priority areas for improving database coverage in fungi. (C) 2018 Elsevier Ltd and British Mycological Society. All rights reserved.</t>
  </si>
  <si>
    <t>[Khomich, Maryia; Andersen, Tom] Univ Oslo, Sect Aquat Biol &amp; Toxicol, Dept Biosci, POB 1066 Blindern, N-0316 Oslo, Norway; [Khomich, Maryia; Andrew, Carrie J.; Kauserud, Havard; Davey, Marie L.] Univ Oslo, Sect Genet &amp; Evolutionary Biol, Dept Biosci, POB 1066 Blindern, N-0316 Oslo, Norway; [Cox, Filipa] Univ Manchester, Sch Earth &amp; Environm Sci, Manchester M13 9PL, Lancs, England; [Cox, Filipa] NERC, British Antarct Survey, Cambridge CB3 0ET, England; [Andrew, Carrie J.] Swiss Fed Inst Forest Snow &amp; Landscape Res WSL, Zurcherstr 111, CH-8903 Birmensdorf, Switzerland; [Davey, Marie L.] Norwegian Inst Bioecon Res, Dept Soil Qual &amp; Climate Change, Hogskoleveien 7, N-1430 As, Norway</t>
  </si>
  <si>
    <t>University of Oslo; University of Oslo; University of Manchester; UK Research &amp; Innovation (UKRI); Natural Environment Research Council (NERC); NERC British Antarctic Survey; Swiss Federal Institutes of Technology Domain; Swiss Federal Institute for Forest, Snow &amp; Landscape Research; Norwegian Institute of Bioeconomy Research</t>
  </si>
  <si>
    <t>Khomich, M (corresponding author), Univ Oslo, Sect Aquat Biol &amp; Toxicol, Dept Biosci, POB 1066 Blindern, N-0316 Oslo, Norway.;Khomich, M (corresponding author), Univ Oslo, Dept Biosci, POB 1066 Blindern, N-0316 Oslo, Norway.</t>
  </si>
  <si>
    <t>maryia.khomich@ibv.uio.no</t>
  </si>
  <si>
    <t>Davey, Marie Louise/AAC-8282-2020</t>
  </si>
  <si>
    <t>Davey, Marie Louise/0000-0003-3911-8770; Khomich, Maryia/0000-0002-6840-5739; Cox, Filipa/0000-0003-1405-7481; Andrew, Carrie/0000-0002-0524-8334</t>
  </si>
  <si>
    <t>Department of Biosciences, University of Oslo; Research Council of Norway; NERC [bas0100035] Funding Source: UKRI</t>
  </si>
  <si>
    <t>Department of Biosciences, University of Oslo; Research Council of Norway(Research Council of Norway); NERC(UK Research &amp; Innovation (UKRI)Natural Environment Research Council (NERC))</t>
  </si>
  <si>
    <t>This study has been supported financially by the Department of Biosciences, University of Oslo and by the Research Council of Norway (grant Miljo 2015/196336 'Biodiversity, community saturation and ecosystem function in lakes' (COMSAT)). We thank all authors who were involved in data generation used in the meta analysis. All data for this manuscript is properly cited and referred to in Table S1.</t>
  </si>
  <si>
    <t>1754-5048</t>
  </si>
  <si>
    <t>1878-0083</t>
  </si>
  <si>
    <t>FUNGAL ECOL</t>
  </si>
  <si>
    <t>Fungal Ecol.</t>
  </si>
  <si>
    <t>10.1016/j.funeco.2018.08.002</t>
  </si>
  <si>
    <t>Ecology; Mycology</t>
  </si>
  <si>
    <t>Environmental Sciences &amp; Ecology; Mycology</t>
  </si>
  <si>
    <t>HD5JI</t>
  </si>
  <si>
    <t>WOS:000452564900008</t>
  </si>
  <si>
    <t>Lucieer, V; Lecours, V; Dolan, MFJ</t>
  </si>
  <si>
    <t>Lucieer, Vanessa; Lecours, Vincent; Dolan, Margaret F. J.</t>
  </si>
  <si>
    <t>Charting the Course for Future Developments in Marine Geomorphometry: An Introduction to the Special Issue</t>
  </si>
  <si>
    <t>bathymetry; digital terrain analysis; geomorphometry; geomorphology; habitat mapping; marine remote sensing</t>
  </si>
  <si>
    <t>DIGITAL TERRAIN MODELS; ARTIFACTS</t>
  </si>
  <si>
    <t>The use of spatial analytical techniques for describing and classifying seafloor terrain has become increasingly widespread in recent years, facilitated by a combination of improved mapping technologies and computer power and the common use of Geographic Information Systems. Considering that the seafloor represents 71% of the surface of our planet, this is an important step towards understanding the Earth in its entirety. Bathymetric mapping systems, spanning a variety of sensors, have now developed to a point where the data they provide are able to capture seabed morphology at multiple scales, opening up the possibility of linking these data to oceanic, geological, and ecological processes. Applications of marine geomorphometry have now moved beyond the simple adoption of techniques developed for terrestrial studies. Whilst some former challenges have been largely resolved, we find new challenges constantly emerging from novel technology and applications. As increasing volumes of bathymetric data are acquired across the entire ocean floor at scales relevant to marine geosciences, resource assessment, and biodiversity evaluation, the scientific community needs to balance the influx of high-resolution data with robust quantitative processing and analysis techniques. This will allow marine geomorphometry to become more widely recognized as a sub-discipline of geomorphometry as well as to begin to tread its own path to meet the specific challenges that are associated with seabed mapping. This special issue brings together a collection of research articles that reflect the types of studies that are helping to chart the course for the future of marine geomorphometry.</t>
  </si>
  <si>
    <t>[Lucieer, Vanessa] Univ Tasmania, Inst Marine &amp; Antarctic Studies, Hobart, Tas 7000, Australia; [Lecours, Vincent] Univ Florida, Sch Forest Resources &amp; Conservat, Fisheries &amp; Aquat Sci Geomat, Gainesville, FL 32653 USA; [Dolan, Margaret F. J.] Geol Survey Norway NGU, Postal Box 6315 Torgarden, NO-7491 Trondheim, Norway</t>
  </si>
  <si>
    <t>University of Tasmania; State University System of Florida; University of Florida; Geological Survey of Norway</t>
  </si>
  <si>
    <t>Lucieer, V (corresponding author), Univ Tasmania, Inst Marine &amp; Antarctic Studies, Hobart, Tas 7000, Australia.</t>
  </si>
  <si>
    <t>vanessa.lucieer@utas.edu.au; vlecours@ufl.edu; margaret.dolan@ngu.no</t>
  </si>
  <si>
    <t>Dolan, Margaret/AAC-3875-2019; Lecours, Vincent/J-5514-2019; Lucieer, Vanessa/D-1697-2009</t>
  </si>
  <si>
    <t>Lecours, Vincent/0000-0002-4777-3348; Lucieer, Vanessa/0000-0001-7531-5750; Dolan, Margaret/0000-0003-4405-9277</t>
  </si>
  <si>
    <t>National Environmental Science Program (NESP) Marine Biodiversity Hub at the University of Tasmania; University of Florida; Geological Survey of Norway</t>
  </si>
  <si>
    <t>National Environmental Science Program (NESP) Marine Biodiversity Hub at the University of Tasmania; University of Florida(University of Florida); Geological Survey of Norway</t>
  </si>
  <si>
    <t>This work was supported by the National Environmental Science Program (NESP) Marine Biodiversity Hub at the University of Tasmania (Lucieer), the University of Florida (Lecours) and the Geological Survey of Norway (Dolan).</t>
  </si>
  <si>
    <t>10.3390/geosciences8120477</t>
  </si>
  <si>
    <t>HH0FC</t>
  </si>
  <si>
    <t>WOS:000455388200050</t>
  </si>
  <si>
    <t>Kargaranbafghi, F; Neubauer, F</t>
  </si>
  <si>
    <t>Kargaranbafghi, Fariba; Neubauer, Franz</t>
  </si>
  <si>
    <t>Tectonic forcing to global cooling and aridification at the Eocene-Oligocene transition in the Iranian plateau</t>
  </si>
  <si>
    <t>Eocene-Oligocene transition; Aridification; Global cooling; Greenhouse; Icehouse; Volcanism; Iranian plateau</t>
  </si>
  <si>
    <t>ARABIA-EURASIA COLLISION; METAMORPHIC CORE COMPLEX; TIBETAN PLATEAU; SAGHAND REGION; CLIMATE; EXHUMATION; EVOLUTION; UPLIFT; THERMOCHRONOLOGY; CONSTRAINTS</t>
  </si>
  <si>
    <t>The transition from the extreme global warmth of the early Eocene 'greenhouse' climate to the present glaciated state is one of the most fundamental reorganizations of global climate known in the geologic record. The Middle to Late Eocene interval between 49 and 33 Ma was a globally important transition period from greenhouse to initial icehouse conditions. The Middle Eocene Climatic Optimum (MECO, -40 Ma) was a transient period of global warming that interrupted the secular Cenozoic cooling trend. The Eocene-Oligocene transition (ca. 33.5 Ma) marks the first major decline in Cenozoic global temperatures and the initiation of Antarctic glaciation. However, a major challenge comes from recent investigations of plateau uplift processes and resulting environmental changes. The tectonic evolution of the Iranian plateau offers an explanation for global cooling during the Cenozoic, as a result of the gradual closure of the Neotethyan Sea, which led to the disappearance of the Indian Ocean-Mediterranean Sea connection, mountain building, extensional collapse, rifting, and flare-up type volcanism, erosion, and exhumation. Increasing topography by shortening as a result of subduction of the distal Arabian margin beneath the Iranian Plateau and contemporaneous exhumation of a metamorphic core complex between 49 and 33 Myr ago led to aridification of Iranian plateau and to the some elevation of the plateau. This rise in elevation is roughly contemporaneous with the emplacement of flare-up-type volcanics in the Urumiyeh-Dokhtar zone and over large portions of Central Iran. Peak volcanism occurred during the transient warming event MECO. New findings suggest that this global transition is linked to significant aridification and cooling in southwest Asia, and thus support the idea that global cooling is associated with the Eocene-Oligocene transition. The good match of tectonic deformation and uplift of the Iranian Plateau with climatic changes is significant.</t>
  </si>
  <si>
    <t>[Kargaranbafghi, Fariba] Yazd Univ, Dept Geol, Safaieh 89195741, Yazd, Iran; [Neubauer, Franz] Salzburg Univ, Dept Geog &amp; Geol, Hellbnumer Str 34, A-5020 Salzburg, Austria</t>
  </si>
  <si>
    <t>Salzburg University</t>
  </si>
  <si>
    <t>Kargaranbafghi, F (corresponding author), Yazd Univ, Dept Geol, Safaieh 89195741, Yazd, Iran.</t>
  </si>
  <si>
    <t>fkargaran@yazd.ac.ir</t>
  </si>
  <si>
    <t>Neubauer, Franz/HKV-8846-2023</t>
  </si>
  <si>
    <t>Neubauer, Franz/0000-0002-1060-3054</t>
  </si>
  <si>
    <t>10.1016/j.gloplacha.2017.12.012</t>
  </si>
  <si>
    <t>HA0KN</t>
  </si>
  <si>
    <t>WOS:000449897000015</t>
  </si>
  <si>
    <t>Bjorkman, AD; Myers-Smith, IH; Elmendorf, SC; Normand, S; Thomas, HJD; Alatalo, JM; Alexander, H; Anadon-Rosell, A; Angers-Blondin, S; Bai, Y; Baruah, G; te Beest, M; Berner, L; Björk, RG; Blok, D; Bruelheide, H; Buchwal, A; Buras, A; Carbognani, M; Christie, K; Collier, LS; Cooper, EJ; Cornelissen, JHC; Dickinson, KJM; Dullinger, S; Elberling, B; Eskelinen, A; Forbes, BC; Frei, ER; Iturrate-Garcia, M; Good, MK; Grau, O; Green, P; Greve, M; Grogan, P; Haider, S; Hajek, T; Hallinger, M; Happonen, K; Harper, KA; Heijmans, MMPD; Henry, GHR; Hermanutz, L; Hewitt, RE; Hollister, RD; Hudson, J; Hülber, K; Iversen, CM; Jaroszynska, F; Jiménez-Alfaro, B; Johnstone, J; Jorgensen, RH; Kaarlejärvi, E; Klady, R; Klimesová, J; Korsten, A; Kuleza, S; Kulonen, A; Lamarque, LJ; Lantz, T; Lavalle, A; Lembrechts, JJ; Lévesque, E; Little, CJ; Luoto, M; Macek, P; Mack, MC; Mathakutha, R; Michelsen, A; Milbau, A; Molau, U; Morgan, JW; Mörsdorf, MA; Nabe-Nielsen, J; Nielsen, SS; Ninot, JM; Oberbauer, SF; Olofsson, J; Onipchenko, VG; Petraglia, A; Pickering, C; Prevéy, JS; Rixen, C; Rumpf, SB; Schaepman-Strub, G; Semenchuk, P; Shetti, R; Soudzilovskaia, NA; Spasojevic, MJ; Speed, JDM; Street, LE; Suding, K; Tape, KD; Tomaselli, M; Trant, A; Treier, UA; Tremblay, JP; Tremblay, M; Venn, S; Virkkala, AM; Vowles, T; Weijers, S; Wilmking, M; Wipf, S; Zamin, T</t>
  </si>
  <si>
    <t>Bjorkman, Anne D.; Myers-Smith, Isla H.; Elmendorf, Sarah C.; Normand, Signe; Thomas, Haydn J. D.; Alatalo, Juha M.; Alexander, Heather; Anadon-Rosell, Alba; Angers-Blondin, Sandra; Bai, Yang; Baruah, Gaurav; te Beest, Mariska; Berner, Logan; Bjork, Robert G.; Blok, Daan; Bruelheide, Helge; Buchwal, Agata; Buras, Allan; Carbognani, Michele; Christie, Katherine; Collier, Laura S.; Cooper, Elisabeth J.; Cornelissen, J. Hans C.; Dickinson, Katharine J. M.; Dullinger, Stefan; Elberling, Bo; Eskelinen, Anu; Forbes, Bruce C.; Frei, Esther R.; Iturrate-Garcia, Maitane; Good, Megan K.; Grau, Oriol; Green, Peter; Greve, Michelle; Grogan, Paul; Haider, Sylvia; Hajek, Tomas; Hallinger, Martin; Happonen, Konsta; Harper, Karen A.; Heijmans, Monique M. P. D.; Henry, Gregory H. R.; Hermanutz, Luise; Hewitt, Rebecca E.; Hollister, Robert D.; Hudson, James; Huelber, Karl; Iversen, Colleen M.; Jaroszynska, Francesca; Jimenez-Alfaro, Borja; Johnstone, Jill; Jorgensen, Rasmus Halfdan; Kaarlejarvi, Elina; Klady, Rebecca; Klimesova, Jitka; Korsten, Annika; Kuleza, Sara; Kulonen, Aino; Lamarque, Laurent J.; Lantz, Trevor; Lavalle, Amanda; Lembrechts, Jonas J.; Levesque, Esther; Little, Chelsea J.; Luoto, Miska; Macek, Petr; Mack, Michelle C.; Mathakutha, Rabia; Michelsen, Anders; Milbau, Ann; Molau, Ulf; Morgan, John W.; Morsdorf, Martin Alfons; Nabe-Nielsen, Jacob; Nielsen, Sigrid Scholer; Ninot, Josep M.; Oberbauer, Steven F.; Olofsson, Johan; Onipchenko, Vladimir G.; Petraglia, Alessandro; Pickering, Catherine; Prevey, Janet S.; Rixen, Christian; Rumpf, Sabine B.; Schaepman-Strub, Gabriela; Semenchuk, Philipp; Shetti, Rohan; Soudzilovskaia, Nadejda A.; Spasojevic, Marko J.; Speed, James David Mervyn; Street, Lorna E.; Suding, Katharine; Tape, Ken D.; Tomaselli, Marcello; Trant, Andrew; Treier, Urs A.; Tremblay, Jean-Pierre; Tremblay, Maxime; Venn, Susanna; Virkkala, Anna-Maria; Vowles, Tage; Weijers, Stef; Wilmking, Martin; Wipf, Sonja; Zamin, Tara</t>
  </si>
  <si>
    <t>Tundra Trait Team: A database of plant traits spanning the tundra biome</t>
  </si>
  <si>
    <t>alpine; Arctic; plant functional traits; tundra</t>
  </si>
  <si>
    <t>GLOBAL PATTERNS; VEGETATION</t>
  </si>
  <si>
    <t>Motivation The Tundra Trait Team (TTT) database includes field-based measurements of key traits related to plant form and function at multiple sites across the tundra biome. This dataset can be used to address theoretical questions about plant strategy and trade-offs, trait-environment relationships and environmental filtering, and trait variation across spatial scales, to validate satellite data, and to inform Earth system model parameters. Main types of variable contained Spatial location and grain The database contains 91,970 measurements of 18 plant traits. The most frequently measured traits (&gt; 1,000 observations each) include plant height, leaf area, specific leaf area, leaf fresh and dry mass, leaf dry matter content, leaf nitrogen, carbon and phosphorus content, leaf C:N and N:P, seed mass, and stem specific density. Measurements were collected in tundra habitats in both the Northern and Southern Hemispheres, including Arctic sites in Alaska, Canada, Greenland, Fennoscandia and Siberia, alpine sites in the European Alps, Colorado Rockies, Caucasus, Ural Mountains, Pyrenees, Australian Alps, and Central Otago Mountains (New Zealand), and sub-Antarctic Marion Island. More than 99% of observations are georeferenced. Time period and grain Major taxa and level of measurement All data were collected between 1964 and 2018. A small number of sites have repeated trait measurements at two or more time periods. Trait measurements were made on 978 terrestrial vascular plant species growing in tundra habitats. Most observations are on individuals (86%), while the remainder represent plot or site means or maximums per species. Software format csv file and GitHub repository with data cleaning scripts in R; contribution to TRY plant trait database (www.try-db.org) to be included in the next version release.</t>
  </si>
  <si>
    <t>[Bjorkman, Anne D.; Myers-Smith, Isla H.; Thomas, Haydn J. D.; Angers-Blondin, Sandra; Street, Lorna E.] Univ Edinburgh, Sch Geosci, Edinburgh, Midlothian, Scotland; [Bjorkman, Anne D.; Normand, Signe; Nielsen, Sigrid Scholer; Treier, Urs A.] Aarhus Univ, Dept Biosci, Ecoinformat &amp; Biodivers, Aarhus, Denmark; [Bjorkman, Anne D.] Biodivers &amp; Climate Res Ctr BiK F, Senckenberg Gesell Nat Forsch, Frankfurt, Germany; [Elmendorf, Sarah C.; Suding, Katharine] Univ Colorado, Dept Ecol &amp; Evolutionary Biol, Boulder, CO 80309 USA; [Elmendorf, Sarah C.] Natl Ecol Observ Network, Boulder, CO USA; [Elmendorf, Sarah C.] Univ Colorado, Inst Arctic &amp; Alpine Res, Boulder, CO 80309 USA; [Normand, Signe] Aarhus Univ, Dept Biosci, Arctic Res Ctr, Aarhus, Denmark; [Normand, Signe] Aarhus Univ, Dept Biosci, Ctr Biodivers Dynam Changing World BIOCHANGE, Aarhus, Denmark; [Alatalo, Juha M.] Qatar Univ, Dept Biol &amp; Environm Sci, Doha, Qatar; [Alexander, Heather] Mississippi State Univ, Dept Forestry, Forest &amp; Wildlife Res Ctr, Mississippi State, MS 39762 USA; [Anadon-Rosell, Alba; Ninot, Josep M.] Univ Barcelona, Dept Evolutionary Biol Ecol &amp; Environm Sc, Barcelona, Spain; [Anadon-Rosell, Alba; Ninot, Josep M.] Univ Barcelona, Biodivers Res Inst, Barcelona, Spain; [Anadon-Rosell, Alba; Shetti, Rohan; Wilmking, Martin] Univ Greifswald, Inst Bot &amp; Landscape Ecol, Greifswald, Germany; [Bai, Yang; Kaarlejarvi, Elina] Chinese Acad Sci, Xishuangbanna Trop Bot Garden, Ctr Integrat Conservat, Xishuangbanna, Peoples R China; [Baruah, Gaurav; Iturrate-Garcia, Maitane; Little, Chelsea J.; Schaepman-Strub, Gabriela] Univ Zurich, Dept Evolutionary Biol &amp; Environm Studies, Zurich, Switzerland; [te Beest, Mariska; Olofsson, Johan] Umea Univ, Dept Ecol &amp; Environm Sci, Umea, Sweden; [te Beest, Mariska] Univ Utrecht, Copernicus Inst Sustainable Dev, Environm Sci, Utrecht, Netherlands; [Berner, Logan] No Arizona Univ, Sch Informat Comp &amp; Cyber Syst, Flagstaff, AZ USA; [Bjork, Robert G.; Vowles, Tage] Univ Gothenburg, Dept Earth Sci, Gothenburg, Sweden; [Bjork, Robert G.] Gothenburg Global Biodivers Ctr, Gothenburg, Sweden; [Blok, Daan] Lund Univ, Dept Phys Geog &amp; Ecosyst Sci, Lund, Sweden; [Bruelheide, Helge; Haider, Sylvia] Martin Luther Univ Halle Wittenberg, Inst Biol Geobot &amp; Bot Garden, Halle, Saale, Germany; [Bruelheide, Helge; Eskelinen, Anu; Haider, Sylvia] German Ctr Integrat Biodivers Res iDiv, Leipzig, Germany; [Buchwal, Agata] Adam Mickiewicz Univ, Inst Geoecol &amp; Geoinformat, Poznan, Poland; [Buchwal, Agata] Univ Alaska Anchorage, Dept Biol Sci, Anchorage, AK USA; [Buras, Allan] Tech Univ Munich, Freising Weihenstephan, Germany; [Carbognani, Michele; Petraglia, Alessandro; Tomaselli, Marcello] Univ Parma, Dept Chem Life Sci &amp; Environm Sustainabil, Parma, Italy; [Christie, Katherine] Alaska Dept Fish &amp; Game, 333 Raspberry Rd, Anchorage, AK 99518 USA; [Collier, Laura S.; Hermanutz, Luise] Mem Univ, Dept Biol, St John, NF, Canada; [Cooper, Elisabeth J.; Morsdorf, Martin Alfons; Semenchuk, Philipp] UiT Arctic Univ Norway, Fac Biosci Fisheries &amp; Econ, Dept Arctic &amp; Marine Biol, Tromso, Norway; [Cornelissen, J. Hans C.] Vrije Univ, Dept Ecol Sci, Syst Ecol, Amsterdam, Netherlands; [Dickinson, Katharine J. M.; Korsten, Annika] Univ Otago, Dept Bot, Dunedin, New Zealand; [Dullinger, Stefan; Huelber, Karl; Rumpf, Sabine B.] Univ Vienna, Dept Bot &amp; Biodivers Res, Vienna, Austria; [Elberling, Bo; Michelsen, Anders] Univ Copenhagen, Dept Geosci &amp; Nat Resource Management, Ctr Permafrost CENPERM, Copenhagen, Denmark; [Eskelinen, Anu] UFZ Helmholtz Ctr Environm Res, Dept Physiol Divers, Leipzig, Germany; [Eskelinen, Anu] Univ Oulu, Dept Ecol &amp; Genet, Oulu, Finland; [Forbes, Bruce C.] Univ Lapland, Arctic Ctr, Rovaniemi, Finland; [Frei, Esther R.] Swiss Fed Res Inst WSL, Birmensdorf, Switzerland; [Frei, Esther R.; Henry, Gregory H. R.] Univ British Columbia, Dept Geog, Vancouver, BC, Canada; [Good, Megan K.] Federat Univ, Fac Sci &amp; Technol, Ballarat, Vic, Australia; [Grau, Oriol] CREAF CSIC UAB, Global Ecol Unit, Bellaterra, Catalonia, Spain; [Grau, Oriol] CREAF, Cerdanyola Del Valles, Catalonia, Spain; [Green, Peter; Morgan, John W.] La Trobe Univ, Dept Ecol Environm &amp; Evolut, Bundoora, Vic, Australia; [Greve, Michelle; Mathakutha, Rabia; Zamin, Tara] Univ Pretoria, Dept Plant &amp; Soil Sci, Pretoria, South Africa; [Grogan, Paul] Queens Univ, Dept Biol, Kingston, ON, Canada; [Hajek, Tomas; Klimesova, Jitka] Czech Acad Sci, Inst Bot, Trebon, Czech Republic; [Hajek, Tomas; Macek, Petr] Univ South Bohemia, Ctr Polar Ecol, Fac Sci, Ceske Budejovice, Czech Republic; [Hallinger, Martin] Swedish Agr Univ SLU, Dept Biol, Uppsala, Sweden; [Happonen, Konsta; Luoto, Miska; Virkkala, Anna-Maria] Univ Helsinki, Dept Geosci &amp; Geog, Helsinki, Finland; [Harper, Karen A.] St Marys Univ, Biol Dept, Halifax, NS, Canada; [Heijmans, Monique M. P. D.] Wageningen Univ &amp; Res, Plant Ecol &amp; Nat Conservat Grp, Wageningen, Netherlands; [Hewitt, Rebecca E.; Mack, Michelle C.] No Arizona Univ, Ctr Ecosyst Sci &amp; Soc, Flagstaff, AZ USA; [Hollister, Robert D.] Grand Valley State Univ, Dept Biol, Allendale, MI 49401 USA; [Hudson, James] British Columbia Publ Serv, Surrey, BC, Canada; [Iversen, Colleen M.] Oak Ridge Natl Lab, Climate Change Sci Inst, Oak Ridge, TN USA; [Iversen, Colleen M.] Oak Ridge Natl Lab, Div Environm Sci, POB 2008, Oak Ridge, TN 37831 USA; [Jaroszynska, Francesca] Univ Aberdeen, Inst Biol &amp; Environm Sci, Aberdeen, Scotland; [Jaroszynska, Francesca; Kulonen, Aino; Prevey, Janet S.; Rixen, Christian; Wipf, Sonja] WSL Inst Snow &amp; Avalanche Res SLF, Davos, Switzerland; [Jimenez-Alfaro, Borja] Univ Oviedo, CSIC UO PA, Res Unit Biodivers, Oviedo, Spain; [Johnstone, Jill; Kuleza, Sara] Univ Saskatchewan, Dept Biol, Saskatoon, SK, Canada; [Jorgensen, Rasmus Halfdan] Univ Copenhagen, Dept Geosci &amp; Nat Resource Management, Copenhagen, Denmark; [Kaarlejarvi, Elina] Vrije Univ Brussel, Dept Biol, Ixelles, Belgium; [Klady, Rebecca] Univ British Columbia, Fac Forestry, Dept Forest Resources Management, Vancouver, BC, Canada; [Lamarque, Laurent J.; Levesque, Esther; Tremblay, Maxime] Univ Quebec Trois Rivieres, Dept Sci Environm, Trois Rivieres, PQ, Canada; [Lamarque, Laurent J.; Levesque, Esther; Tremblay, Maxime] Univ Quebec Trois Rivieres, Ctr Etud Nord, Trois Rivieres, PQ, Canada; [Lantz, Trevor] Univ Victoria, Sch Environm Studies, Victoria, BC, Canada; [Lavalle, Amanda] Dalhousie Univ, Sch Resource &amp; Environm Studies, Halifax, NS, Canada; [Lembrechts, Jonas J.] Univ Antwerp, Ctr Excellence Plants &amp; Ecosyst PLECO, Antwerp, Belgium; [Little, Chelsea J.] Swiss Fed Inst Aquat Sci &amp; Technol, Dept Aquat Ecol, Dubendorf, Switzerland; [Michelsen, Anders] Univ Copenhagen, Dept Biol, Copenhagen, Denmark; [Milbau, Ann] Res Inst Nat &amp; Forest INBO, Brussels, Belgium; [Molau, Ulf] Univ Gothenburg, Dept Biol &amp; Environm Sci, Gothenburg, Sweden; [Nabe-Nielsen, Jacob] Aarhus Univ, Dept Biosci, Roskilde, Denmark; [Oberbauer, Steven F.] Florida Int Univ, Dept Biol Sci, Miami, FL 33199 USA; [Onipchenko, Vladimir G.] Lomonosov Moscow State Univ, Dept Geobot, Moscow, Russia; [Pickering, Catherine] Griffith Univ, Environm Futures Res Inst, Southport, Qld, Australia; [Soudzilovskaia, Nadejda A.] Leiden Univ, CML, Inst Environm Sci, Environm Biol Dept, Leiden, Netherlands; [Semenchuk, Philipp] Univ Vienna, Dept Bot &amp; Biodivers Res, Div Conservat Biol Vegetat Ecol &amp; Landscape Ecol, Vienna, Austria; [Spasojevic, Marko J.] Univ Calif Riverside, Dept Evolut Ecol &amp; Organismal Biol, Riverside, CA 92521 USA; [Speed, James David Mervyn; Treier, Urs A.] Norwegian Univ Sci &amp; Technol, NTNU Univ Museum, Trondheim, Norway; [Tape, Ken D.] Univ Alaska Fairbanks, Inst Northern Engn, Fairbanks, AK USA; [Trant, Andrew] Univ Waterloo, Sch Environm Resources &amp; Sustainabil, Waterloo, ON, Canada; [Tremblay, Jean-Pierre] Univ Laval, Ctr Etud Nord, Dept Biol, Quebec City, PQ, Canada; [Tremblay, Jean-Pierre] Univ Laval, Ctr Etud Foret, Quebec City, PQ, Canada; [Venn, Susanna] Deakin Univ, Sch Life &amp; Environm Sci, Ctr Integrat Ecol, Burwood, Vic, Australia; [Weijers, Stef] Univ Bonn, Dept Geog, Bonn, Germany</t>
  </si>
  <si>
    <t>University of Edinburgh; Aarhus University; Senckenberg Biodiversitat &amp; Klima- Forschungszentrum (BiK-F); Senckenberg Gesellschaft fur Naturforschung (SGN); University of Colorado System; University of Colorado Boulder; University of Colorado System; University of Colorado Boulder; Aarhus University; Aarhus University; Qatar University; Mississippi State University; University of Barcelona; University of Barcelona; Universitat Greifswald; Chinese Academy of Sciences; Xishuangbanna Tropical Botanical Garden, CAS; University of Zurich; Umea University; Utrecht University; Northern Arizona University; University of Gothenburg; University of Gothenburg; Lund University; Martin Luther University Halle Wittenberg; Adam Mickiewicz University; University of Alaska System; University of Alaska Anchorage; Technical University of Munich; University of Parma; Alaska Department of Fish &amp; Game; Memorial University Newfoundland; UiT The Arctic University of Tromso; Vrije Universiteit Amsterdam; University of Otago; University of Vienna; University of Copenhagen; Helmholtz Association; Helmholtz Center for Environmental Research (UFZ); University of Oulu; University of Lapland; Swiss Federal Institutes of Technology Domain; Swiss Federal Institute for Forest, Snow &amp; Landscape Research; University of British Columbia; Federation University Australia; Centro de Investigacion Ecologica y Aplicaciones Forestales (CREAF-CERCA); Consejo Superior de Investigaciones Cientificas (CSIC); Centro de Investigacion Ecologica y Aplicaciones Forestales (CREAF-CERCA); La Trobe University; University of Pretoria; Queens University - Canada; Czech Academy of Sciences; Institute of Botany of the Czech Academy of Sciences; University of South Bohemia Ceske Budejovice; Swedish University of Agricultural Sciences; University of Helsinki; Saint Marys University - Canada; Wageningen University &amp; Research; Northern Arizona University; Grand Valley State University; United States Department of Energy (DOE); Oak Ridge National Laboratory; United States Department of Energy (DOE); Oak Ridge National Laboratory; University of Aberdeen; Swiss Federal Institutes of Technology Domain; Swiss Federal Institute for Forest, Snow &amp; Landscape Research; Consejo Superior de Investigaciones Cientificas (CSIC); University of Oviedo; University of Saskatchewan; University of Copenhagen; Vrije Universiteit Brussel; University of British Columbia; University of Quebec; University of Quebec Trois Rivieres; University of Quebec; University of Quebec Trois Rivieres; University of Victoria; Dalhousie University; University of Antwerp; Swiss Federal Institutes of Technology Domain; Swiss Federal Institute of Aquatic Science &amp; Technology (EAWAG); University of Copenhagen; Research Institute for Nature &amp; Forest; University of Gothenburg; Aarhus University; State University System of Florida; Florida International University; Lomonosov Moscow State University; Griffith University; Griffith University - Gold Coast Campus; Leiden University; Leiden University - Excl LUMC; University of Vienna; University of California System; University of California Riverside; Norwegian University of Science &amp; Technology (NTNU); University of Alaska System; University of Alaska Fairbanks; University of Waterloo; Laval University; Laval University; Deakin University; University of Bonn</t>
  </si>
  <si>
    <t>Bjorkman, AD (corresponding author), Senckenberg Biodivers &amp; Climate Res Ctr, D-60325 Frankfurt, Germany.</t>
  </si>
  <si>
    <t>annebj@gmail.com</t>
  </si>
  <si>
    <t>Carbognani, Michele/H-6644-2019; Jaroszynska, Francesca/AAQ-7725-2020; Myers-Smith, Isla H/D-1529-2013; Johnstone, Jill F./C-9204-2009; Ninot, Josep M/H-3592-2015; Harper, Karen/R-4735-2019; Frei, Esther/JKH-7073-2023; Mathakutha, Rabia/G-3140-2015; Little, Chelsea J./H-8676-2019; Soudzilovskaia, Nadejda A./N-4140-2015; SPASOJEVIC, MARKO/AAO-4307-2020; Shetti, Rohan Hemant/AAH-2972-2021; Bruelheide, Helge/G-3907-2013; Macek, Petr/AAK-7805-2020; Rumpf, Sabine/AAF-8795-2019; Lembrechts, Jonas/E-7651-2014; Anadon-Rosell, Alba/GLR-2455-2022; Wilmking, Martin/AAV-9310-2020; Klimešová, Jitka/ABC-6307-2020; Speed, James D. M./C-1099-2009; Hájek, Tomáš/H-3923-2011; Suding, Katharine/O-6290-2017; Onipchenko, Vladimir G./V-4244-2018; ramon, anna/O-1249-2019; Anadon-Rosell, Alba/AAA-5464-2020; Weijers, Stef/T-8944-2019; Alatalo, Juha/C-1269-2018; Normand, Signe/AAA-4769-2022; Milbau, Ann/AAF-3022-2020; Iversen, Colleen M/B-8983-2012; Dickinson, Katharine J.M./M-1728-2017; Normand, Signe/A-1561-2012; Haider, Sylvia/M-2990-2014; Bjorkman, Anne D./H-2211-2016; Wipf, Sonja/A-5075-2010; Olofsson, Johan/A-9362-2009; Klimesova, Jitka/A-1525-2009; Grau, Oriol/AAD-1582-2022; Oberbauer, Steven F/JNE-2672-2023; Buras, Allan/B-1412-2012; Blok, Daan/E-1649-2011; Björk, Robert/I-9772-2019; Forbes, Bruce C./L-4431-2013; Jiménez-Alfaro, Borja/K-7221-2014; Buchwal, Agata/F-5516-2013; Luoto, Miska/E-6693-2014; Nabe-Nielsen, Jacob/A-5891-2010; Schaepman-Strub, Gabriela/D-8785-2011; Thomas, Haydn J.D./H-8059-2019; Oriol, Grau/Y-7075-2019; Michelsen, Anders/L-5279-2014; Treier, Urs Albert/A-1913-2012; Petraglia, Alessandro/G-3474-2017; Elberling, Bo/M-4000-2014</t>
  </si>
  <si>
    <t>Carbognani, Michele/0000-0001-7701-9859; Jaroszynska, Francesca/0000-0002-2399-4146; Myers-Smith, Isla H/0000-0002-8417-6112; Johnstone, Jill F./0000-0001-6131-9339; Frei, Esther/0000-0003-1910-7900; Little, Chelsea J./0000-0003-2803-7465; SPASOJEVIC, MARKO/0000-0003-1808-0048; Shetti, Rohan Hemant/0000-0002-2967-0193; Macek, Petr/0000-0002-4792-9461; Rumpf, Sabine/0000-0001-5909-9568; Anadon-Rosell, Alba/0000-0002-9447-7795; Wilmking, Martin/0000-0003-4964-2402; Klimešová, Jitka/0000-0003-0123-3263; Speed, James D. M./0000-0002-0633-5595; Hájek, Tomáš/0000-0002-5981-5840; Anadon-Rosell, Alba/0000-0002-9447-7795; Weijers, Stef/0000-0003-3386-5417; Alatalo, Juha/0000-0001-5084-850X; Normand, Signe/0000-0002-8782-4154; Iversen, Colleen M/0000-0001-8293-3450; Haider, Sylvia/0000-0002-2966-0534; Bjorkman, Anne D./0000-0003-2174-7800; Wipf, Sonja/0000-0002-3492-1399; Oberbauer, Steven F/0000-0001-5404-1658; Blok, Daan/0000-0003-2703-9303; Björk, Robert/0000-0001-7346-666X; Forbes, Bruce C./0000-0002-4593-5083; Jiménez-Alfaro, Borja/0000-0001-6601-9597; Buchwal, Agata/0000-0001-6879-6656; Nabe-Nielsen, Jacob/0000-0002-0716-9525; Schaepman-Strub, Gabriela/0000-0002-4069-1884; Thomas, Haydn J.D./0000-0001-9099-6304; Oriol, Grau/0000-0002-3816-9499; Dullinger, Stefan/0000-0003-3919-0887; Michelsen, Anders/0000-0002-9541-8658; Pickering, Catherine/0000-0002-3731-5407; te Beest, Mariska/0000-0003-3673-4105; Semenchuk, Philipp/0000-0002-1949-6427; Milbau, Ann/0000-0003-3555-8883; Hewitt, Rebecca/0000-0002-6668-8472; Ninot, Josep M./0000-0002-3712-0810; Virkkala, Anna-Maria/0000-0003-4877-2918; Good, Megan/0000-0002-6908-1633; Morsdorf, Martin Alfons/0000-0002-3903-2021; Venn, Susanna/0000-0002-7433-0120; Kaarlejarvi, Elina/0000-0003-0014-0073; Vowles, Tage/0000-0002-9049-2146; Buras, Allan/0000-0003-2179-0681; Alexander, Heather/0000-0003-1307-8483; ELMENDORF, SARAH/0000-0003-1085-8521; Luoto, Miska/0000-0001-6203-5143; Treier, Urs Albert/0000-0003-4027-739X; Harper, Karen/0000-0001-5390-0262; Tremblay, Jean-Pierre/0000-0003-0978-529X; Levesque, Esther/0000-0002-1119-6032; Hulber, Karl/0000-0001-9274-1647; Happonen, Konsta/0000-0002-3164-8868; Hollister, Robert/0000-0002-4764-7691; Petraglia, Alessandro/0000-0003-4632-2251; Elberling, Bo/0000-0002-6023-885X</t>
  </si>
  <si>
    <t>Natural Environment Research Council [NE/M016323/1, NE/L002558/1]; Danish Council for Independent Research [DFF 4181-00565]; Villum Foundation [VKR023456]; Swedish Research Council [2015-00465, 2015-00498]; Russian Science Foundation [14-50-00029]; Swiss National Science Foundation [155554]; Carlsberg Foundation [2013-01-0825]; Research Council of Norway [262064]; Academy of Finland [253385, 297191]; U.S. National Science Foundation [1504312]; U.S. Fish and Wildlife Service; U.S. Department of Energy; Natural Sciences and Engineering Research Council of Canada; ArcticNet; Aarhus University; Research Foundation Flanders; Marie Sklodowska Curie Actions [INCA 600398]; EU-F7P INTERACT [262693]; MOBILITY PLUS [1072/MOB/2013/0]; Spanish OAPN [534S/2012]; Czech Science Foundation [17-20839S]; MSMT [LM2015078]; South African National Research Fund SANAP [110734]; Danish National Research Foundation [CENPERM DNRF100]; Carl Tryggers stiftelse for vetenskaplig forskning; Academy of Finland (AKA) [297191] Funding Source: Academy of Finland (AKA); Natural Environment Research Council [1523208] Funding Source: researchfish; NERC [NE/M016323/1] Funding Source: UKRI; Swedish Research Council [2015-00498, 2015-00465] Funding Source: Swedish Research Council; Vinnova [2015-00498] Funding Source: Vinnova</t>
  </si>
  <si>
    <t>Natural Environment Research Council(UK Research &amp; Innovation (UKRI)Natural Environment Research Council (NERC)); Danish Council for Independent Research(Det Frie Forskningsrad (DFF)); Villum Foundation(Villum Fonden); Swedish Research Council(Swedish Research Council); Russian Science Foundation(Russian Science Foundation (RSF)); Swiss National Science Foundation(Swiss National Science Foundation (SNSF)); Carlsberg Foundation(Carlsberg Foundation); Research Council of Norway(Research Council of Norway); Academy of Finland(Research Council of Finland); U.S. National Science Foundation(National Science Foundation (NSF)); U.S. Fish and Wildlife Service(US Fish &amp; Wildlife Service); U.S. Department of Energy(United States Department of Energy (DOE)); Natural Sciences and Engineering Research Council of Canada(Natural Sciences and Engineering Research Council of Canada (NSERC)CGIAR); ArcticNet; Aarhus University; Research Foundation Flanders(FWO); Marie Sklodowska Curie Actions(Marie Curie Actions); EU-F7P INTERACT; MOBILITY PLUS; Spanish OAPN; Czech Science Foundation(Grant Agency of the Czech Republic); MSMT(Ministry of Education, Youth &amp; Sports - Czech Republic); South African National Research Fund SANAP; Danish National Research Foundation(Danmarks Grundforskningsfond); Carl Tryggers stiftelse for vetenskaplig forskning; Academy of Finland (AKA); Natural Environment Research Council(UK Research &amp; Innovation (UKRI)Natural Environment Research Council (NERC)); NERC(UK Research &amp; Innovation (UKRI)Natural Environment Research Council (NERC)); Swedish Research Council(Swedish Research Council); Vinnova</t>
  </si>
  <si>
    <t>Natural Environment Research Council, Grant/Award Number: NE/M016323/1 and NE/L002558/1; Danish Council for Independent Research, Grant/Award Number: DFF 4181-00565; Villum Foundation, Grant/Award Number: VKR023456; Swedish Research Council, Grant/Award Number: 2015-00465 and 2015-00498; Russian Science Foundation, Grant/Award Number: 14-50-00029; Swiss National Science Foundation, Grant/Award Number: 155554; Carlsberg Foundation, Grant/Award Number: 2013-01-0825; Research Council of Norway, Grant/Award Number: 262064; Academy of Finland, Grant/Award Number: 253385 and 297191; U.S. National Science Foundation, Grant/Award Number: 1504312; U.S. Fish and Wildlife Service; U.S. Department of Energy; Natural Sciences and Engineering Research Council of Canada; ArcticNet; Aarhus University; University of Zurich; Research Foundation Flanders; Marie Sklodowska Curie Actions co-funding, Grant/Award Number: INCA 600398; EU-F7P INTERACT, Grant/Award Number: 262693; MOBILITY PLUS, Grant/Award Number: 1072/MOB/2013/0; Spanish OAPN, Grant/Award Number: 534S/2012; Czech Science Foundation, Grant/Award Number: 17-20839S and MSMT LM2015078; South African National Research Fund SANAP, Grant/Award Number: 110734; Danish National Research Foundation, Grant/Award Number: CENPERM DNRF100; Carl Tryggers stiftelse for vetenskaplig forskning</t>
  </si>
  <si>
    <t>10.1111/geb.12821</t>
  </si>
  <si>
    <t>HB4LP</t>
  </si>
  <si>
    <t>WOS:000451024700001</t>
  </si>
  <si>
    <t>Li, XQ; Ouyang, LX; Hui, FM; Cheng, X; Shokr, M; Heil, P</t>
  </si>
  <si>
    <t>Li, Xinqing; Ouyang, Lunxi; Hui, Fengming; Cheng, Xiao; Shokr, Mohammed; Heil, Petra</t>
  </si>
  <si>
    <t>An Improved Automated Method to Detect Landfast Ice Edge off Zhongshan Station Using SAR Imagery</t>
  </si>
  <si>
    <t>IEEE JOURNAL OF SELECTED TOPICS IN APPLIED EARTH OBSERVATIONS AND REMOTE SENSING</t>
  </si>
  <si>
    <t>Antarctica; landfast ice edge; SAR data</t>
  </si>
  <si>
    <t>SEA-ICE; EAST ANTARCTICA; VARIABILITY; EXTENT; DYNAMICS</t>
  </si>
  <si>
    <t>Landfast ice is an important component of the Antarctic sea ice. Its edge generally advances offshore to its annual maximum extent by mid-winter before retreating later in spring. This study presents an automated method to detect the seaward landfast ice edge (SLIE) at its maximum extent in the beginning in the austral spring (October) for a region northeast of the Amery Ice Shelf, East Antarctic. Here, the net gradient difference algorithm developed by Mahoney [1] has been extended to include the medium edge detection method to automatically delineate the SLIE using the sequential SAR data. The underlying method is to use a spatial gradient operation to identify potential edge pixels, before applying the noise removal using a baseline (2000-2008) SLIE, and a pixel connection technique to generate a contiguous edge. We show that in 2016, the SLIE extended 20 km (25%) further equatorward than in 2008. Good agreement has been achieved between the SLIE derived from our automated method and the manual SLIE extraction using the original SAR as well as a near-coincident Landsat-8 OLI image. The error in the automated approach is minimized when using three to four calibrated SAR images, all with the same incident angle and the maximum separation between them is less than 20 days. Our results confirm the potential of the method for operational application, and we expect it to promote the study of Antarctic landfast ice.</t>
  </si>
  <si>
    <t>[Li, Xinqing; Ouyang, Lunxi; Hui, Fengming; Cheng, Xiao] Beijing Normal Univ, State Key Lab Remote Sensing Sci, Coll Global Change &amp; Earth Syst Sci, Beijing 100875, Peoples R China; [Li, Xinqing; Ouyang, Lunxi; Hui, Fengming; Cheng, Xiao] Beijing Normal Univ, JCGCS, Beijing 100875, Peoples R China; [Li, Xinqing; Ouyang, Lunxi; Hui, Fengming; Cheng, Xiao] Univ Corp Polar Res, Beijing 100875, Peoples R China; [Shokr, Mohammed] Environm Canada, Sci &amp; Technol Branch, Toronto, ON M3H 5T4, Canada; [Heil, Petra] Univ Tasmania, Australian Antarctic Div, Hobart, Tas 7001, Australia; [Heil, Petra] Univ Tasmania, Antarctic Climate &amp; Ecosyst Cooperat Res Ctr, Hobart, Tas 7001, Australia</t>
  </si>
  <si>
    <t>Beijing Normal University; Beijing Normal University; Environment &amp; Climate Change Canada; Australian Antarctic Division; University of Tasmania; University of Tasmania; Antarctic Climate &amp; Ecosystems Cooperative Research Centre (ACE CRC)</t>
  </si>
  <si>
    <t>Hui, FM; Cheng, X (corresponding author), Beijing Normal Univ, State Key Lab Remote Sensing Sci, Coll Global Change &amp; Earth Syst Sci, Beijing 100875, Peoples R China.;Hui, FM; Cheng, X (corresponding author), Beijing Normal Univ, JCGCS, Beijing 100875, Peoples R China.</t>
  </si>
  <si>
    <t>lixinqing0710@163.com; ouyanglunxi@foxmail.com; huifm@bnu.edu.cn; xcheng@bnu.edu.cn; mo.shokr.ms@gmail.com; petra.heil@utas.edu.au</t>
  </si>
  <si>
    <t>Li, Xinqing/AAT-5475-2020</t>
  </si>
  <si>
    <t>Li, Xinqing/0000-0002-3984-3203; Heil, Petra/0000-0003-2078-0342</t>
  </si>
  <si>
    <t>National Natural Science Foundation of China [41676176, 41830536]; Fundamental Research Funds for the Central Universities; Australian Government's Cooperative Research Centres Programme through the Antarctic Climate and Ecosystems Cooperative Research Centre; International Space Science Institute's team grant [406]; Australian Antarctic Science/Ops projects [4301, 4390, 5032]</t>
  </si>
  <si>
    <t>National Natural Science Foundation of China(National Natural Science Foundation of China (NSFC)); Fundamental Research Funds for the Central Universities(Fundamental Research Funds for the Central Universities); Australian Government's Cooperative Research Centres Programme through the Antarctic Climate and Ecosystems Cooperative Research Centre(Australian GovernmentDepartment of Industry, Innovation and ScienceCooperative Research Centres (CRC) Programme); International Space Science Institute's team grant; Australian Antarctic Science/Ops projects</t>
  </si>
  <si>
    <t>This work was supported in part by the National Natural Science Foundation of China under Grant 41676176 and Grant 41830536 and in part by the Fundamental Research Funds for the Central Universities. The work of P. Heil was supported by the Australian Government's Cooperative Research Centres Programme through the Antarctic Climate and Ecosystems Cooperative Research Centre and in part by the International Space Science Institute's team grant #406. This work contributes to the Australian Antarctic Science/Ops projects 4301, 4390, and 5032. (Xinqing Li and Lunxi Ouyang contributed equally to this work.)</t>
  </si>
  <si>
    <t>1939-1404</t>
  </si>
  <si>
    <t>2151-1535</t>
  </si>
  <si>
    <t>IEEE J-STARS</t>
  </si>
  <si>
    <t>IEEE J. Sel. Top. Appl. Earth Observ. Remote Sens.</t>
  </si>
  <si>
    <t>10.1109/JSTARS.2018.2882602</t>
  </si>
  <si>
    <t>Engineering, Electrical &amp; Electronic; Geography, Physical; Remote Sensing; Imaging Science &amp; Photographic Technology</t>
  </si>
  <si>
    <t>Engineering; Physical Geography; Remote Sensing; Imaging Science &amp; Photographic Technology</t>
  </si>
  <si>
    <t>HH1EN</t>
  </si>
  <si>
    <t>WOS:000455462100018</t>
  </si>
  <si>
    <t>Menary, MB; Kuhlbrodt, T; Ridley, J; Andrews, MB; Dimdore-Miles, OB; Deshayes, J; Eade, R; Gray, L; Ineson, S; Mignot, J; Roberts, CD; Robson, J; Wood, RA; Xavier, P</t>
  </si>
  <si>
    <t>Menary, Matthew B.; Kuhlbrodt, Till; Ridley, Jeff; Andrews, Martin B.; Dimdore-Miles, Oscar B.; Deshayes, Julie; Eade, Rosie; Gray, Lesley; Ineson, Sarah; Mignot, Juliette; Roberts, Christopher D.; Robson, Jon; Wood, Richard A.; Xavier, Prince</t>
  </si>
  <si>
    <t>Preindustrial Control Simulations With HadGEM3-GC3.1 for CMIP6</t>
  </si>
  <si>
    <t>climate modeling; climate; resolution; preindustrial; CMIP6; IPCC</t>
  </si>
  <si>
    <t>MERIDIONAL OVERTURNING CIRCULATION; ANTARCTIC CIRCUMPOLAR CURRENT; NORTH-ATLANTIC OSCILLATION; STRATOSPHERIC SUDDEN WARMINGS; DRAKE PASSAGE TRANSPORT; CLIMATE VARIABILITY; THERMOHALINE CIRCULATION; TEMPERATURE VARIABILITY; HORIZONTAL RESOLUTION; GLOBAL PRECIPITATION</t>
  </si>
  <si>
    <t>Preindustrial control simulations with the third Hadley Centre Global Environmental Model, run in the Global Coupled configuration 3.1 of the Met Office Unified Model (HadGEM3-GC3.1) are presented at two resolutions. These are N216ORCA025, which has a horizontal resolution of 60 km in the atmosphere and 0.25 degrees in the ocean, and N96ORCA1, which has a horizontal resolution of 130 km in the atmosphere and 1 degrees in the ocean. The aim of this study is to document the climate variability in these simulations, make comparisons against present-day observations (albeit under different forcing), and discuss differences arising due to resolution. In terms of interannual variability in the leading modes of climate variability the two resolutions behave generally very similarly. Notable differences are in the westward extent of El Nino and the pattern of Atlantic multidecadal variability, in which N216ORCA025 compares more favorably to observations, and in the Antarctic Circumpolar Current, which is far too weak in N216ORCA025. In the North Atlantic region, N216ORCA025 has a stronger and deeper Atlantic Meridional Overturning Circulation, which compares well against observations, and reduced biases in temperature and salinity in the North Atlantic subpolar gyre. These simulations are being provided to the sixth Coupled Model Intercomparison Project (CMIP6) and provide a baseline against which further forced experiments may be assessed.</t>
  </si>
  <si>
    <t>[Menary, Matthew B.; Ridley, Jeff; Andrews, Martin B.; Eade, Rosie; Ineson, Sarah; Roberts, Christopher D.; Wood, Richard A.; Xavier, Prince] Hadley Ctr, Met Off, Exeter, Devon, England; [Menary, Matthew B.; Deshayes, Julie; Mignot, Juliette] Sorbonne Univ, LOCEAN ISPL, CNRS, IRD,MNHN, Paris, France; [Kuhlbrodt, Till; Robson, Jon] Univ Reading, Dept Meteorol, NCAS, Reading, Berks, England; [Dimdore-Miles, Oscar B.; Gray, Lesley] Univ Oxford, Dept Phys, NCAS, Oxford, England; [Roberts, Christopher D.] European Ctr Medium Range Weather Forecasts, Reading, Berks, England</t>
  </si>
  <si>
    <t>Met Office - UK; Hadley Centre; Museum National d'Histoire Naturelle (MNHN); Institut de Recherche pour le Developpement (IRD); Sorbonne Universite; Centre National de la Recherche Scientifique (CNRS); University of Reading; UK Research &amp; Innovation (UKRI); Natural Environment Research Council (NERC); NERC National Centre for Atmospheric Science; University of Oxford; European Centre for Medium-Range Weather Forecasts (ECMWF)</t>
  </si>
  <si>
    <t>Menary, MB (corresponding author), Hadley Ctr, Met Off, Exeter, Devon, England.;Menary, MB (corresponding author), Sorbonne Univ, LOCEAN ISPL, CNRS, IRD,MNHN, Paris, France.</t>
  </si>
  <si>
    <t>matthew.menary@locean-ipsl.upmc.fr</t>
  </si>
  <si>
    <t>Robson, Jon/A-7677-2012; Roberts, Christopher D/GRR-4034-2022; Deshayes, Julie/A-7643-2011; Menary, Matthew B/F-6215-2011; Gray, Lesley J/D-3610-2009; Roberts, Christopher David/AAA-6692-2020; Roberts, Christopher D/F-6197-2011; Wood, Richard/HKW-7781-2023; Mignot, Juliette/F-3138-2011</t>
  </si>
  <si>
    <t>Robson, Jon/0000-0002-3467-018X; Roberts, Christopher D/0000-0002-2958-6637; Roberts, Christopher David/0000-0002-2958-6637; Roberts, Christopher D/0000-0002-2958-6637; Eade, Rosie/0000-0002-3566-4232; Deshayes, Julie/0000-0002-1462-686X; Mignot, Juliette/0000-0002-4894-898X; Andrews, Martin/0000-0003-3145-2264; Gray, Lesley/0000-0002-7803-9277; Menary, Matthew/0000-0002-9627-2056; Kuhlbrodt, Till/0000-0003-2328-6729; Ridley, Jeff/0000-0002-2612-9924</t>
  </si>
  <si>
    <t>GENCI (Grand Equipement National de Calcul Intensif) [gencmip6]; Joint UK BEIS/Defra Met Office Hadley Centre Climate Programme [GA01101]; EPICE project - European Union [789445]; PRIMAVERA project - European Union [641727]; NERC [NE/M005127/1]; ACSIS program; National Environmental Research Council (NERC) [NE/N017951/1]; CRESCENDO project - European Union [641816]; French National Programme LEFE/INSU through the DECLIC project; NERC; National Centre for Atmospheric Sciences (NCAS); NERC [NE/N010965/1, NE/M005127/1, NE/N006054/1, NE/R015244/1, NE/N006089/1, NE/N018001/1, NE/N018028/1, NE/M005828/1, ncas10003] Funding Source: UKRI; Marie Curie Actions (MSCA) [789445] Funding Source: Marie Curie Actions (MSCA)</t>
  </si>
  <si>
    <t>GENCI (Grand Equipement National de Calcul Intensif); Joint UK BEIS/Defra Met Office Hadley Centre Climate Programme; EPICE project - European Union; PRIMAVERA project - European Union; NERC(UK Research &amp; Innovation (UKRI)Natural Environment Research Council (NERC)); ACSIS program; National Environmental Research Council (NERC)(UK Research &amp; Innovation (UKRI)Natural Environment Research Council (NERC)); CRESCENDO project - European Union(European Union (EU)); French National Programme LEFE/INSU through the DECLIC project; NERC(UK Research &amp; Innovation (UKRI)Natural Environment Research Council (NERC)); National Centre for Atmospheric Sciences (NCAS); NERC(UK Research &amp; Innovation (UKRI)Natural Environment Research Council (NERC)); Marie Curie Actions (MSCA)(Marie Curie Actions)</t>
  </si>
  <si>
    <t>The climate model simulations are available on the CMIP6 archive (HadGEM3-GC3.1 available Spring 2019; IPSLCM6 data available now). EN4 data are available at https://www.metoffice.gov.uk/hadobs/en4/. HadISST data are available at https://www.metoffice.gov.uk/hadobs/hadisst/. RAPID-MOCHA data are available at http://www.rapid.ac.uk/rapidmoc/. The twentieth Century Reanalysis data are provided by the NOAA/OAR/ESRL PSD, Boulder, Colorado, USA, from their Web site at https://www.esrl.noaa.gov/psd/. Support for the Twentieth Century Reanalysis Project data set is provided by the U.S. Department of Energy, Office of Science Innovative and Novel Computational Impact on Theory and Experiment (DOE INCITE) program, Office of Biological and Environmental Research (BER), and by the National Oceanic and Atmospheric Administration Climate Program Office. The IPSL-CM6 experiments were performed using the HPC resources of TGCC under the allocations 2016-A0030107732, 2017-R0040110492, and 2018-R0040110492 (project gencmip6) provided by GENCI (Grand Equipement National de Calcul Intensif). The IPSL-CM6 team of the IPSL climate modeling center (https://cmc.ipsl.fr) is acknowledged for having developed, tested, evaluated, tuned the IPSL climate model, as well as performed and published the CMIP6 experiments. This study also benefited from the ESPRI computing and data center (https://mesocentre.ipsl.fr) which is supported by CNRS, Sorbonne Universite, Ecole Polytechnique, and CNES and through national and international grants. M. B. M., J. Ri., M. B. A., R. E., S. I., C. D. R., R. W., and P. X. were supported by the Joint UK BEIS/Defra Met Office Hadley Centre Climate Programme (GA01101). M. B. M. was additionally supported by the EPICE project funded by the European Union's Horizon 2020 programme, grant agreement 789445. C. D. R. was additionally supported by the PRIMAVERA project funded by the European Union's Horizon 2020 programme, grant agreement 641727. J. Ro was funded by NERC through the DYNAMOC project (NE/M005127/1) and the ACSIS program. T. K. was funded by the National Environmental Research Council (NERC) national capability grant for the U. K. Earth System Modelling project, grant NE/N017951/1, and by the CRESCENDO project funded by the European Union's Horizon 2020 programme, grant agreement 641816. J. D. and J. M. were supported by the French National Programme LEFE/INSU through the DECLIC project. O. B. D-M. and L. J. G. acknowledge support from NERC through its support of the Oxford Doctoral Training Programme and the National Centre for Atmospheric Sciences (NCAS).</t>
  </si>
  <si>
    <t>10.1029/2018MS001495</t>
  </si>
  <si>
    <t>HH3VT</t>
  </si>
  <si>
    <t>Green Published, Green Accepted, Green Submitted, gold</t>
  </si>
  <si>
    <t>WOS:000455648800003</t>
  </si>
  <si>
    <t>Poong, SW; Lee, KK; Lim, PE; Pai, TW; Wong, CY; Phang, SM; Chen, CM; Yang, CH; Liu, CC</t>
  </si>
  <si>
    <t>Poong, Sze-Wan; Lee, Kok-Keong; Lim, Phaik-Eem; Pai, Tun-Wen; Wong, Chiew-Yen; Phang, Siew-Moi; Chen, Chien-Ming; Yang, Cing-Han; Liu, Chun-Cheng</t>
  </si>
  <si>
    <t>RNA-Seq-mediated transcriptomic analysis of heat stress response in a polar Chlorella sp. (Trebouxiophyceae, Chlorophyta)</t>
  </si>
  <si>
    <t>Antarctic; Energy metabolism; Gene expression; Global warming; Temperature</t>
  </si>
  <si>
    <t>REDUCED ACTIVITIES; HIGH-TEMPERATURE; GENE-EXPRESSION; READ ALIGNMENT; GENOME REVEALS; BARLEY MUTANTS; CHLAMYDOMONAS; GROWTH; PHOTORESPIRATION; ACCLIMATION</t>
  </si>
  <si>
    <t>The current outlook on mitigation of global warming does not appear promising, with figures in the reduction of anthropogenic greenhouse gas emissions lagging far behind climate goals. A recent environmental report even postulated a high possibility of temperature increase of at least 3 degrees C by 2100. Despite the low number of human inhabitants in Antarctica, the Antarctic Peninsula was reported as one of the most rapidly warming locations on earth. Many studies have shown that heat stress modulates physiological performance in many species of microalgae; however, studies to elucidate the molecular mechanisms of high-temperature thermotolerance are generally focused on the model species, i.e. Chlamydomonas reinhardtii. Furthermore, previous transcriptomic work in this aspect generally employed the microarray technique and/or involved the tropical or temperate strains, and few were conducted on the polar strains. In this study, RNA-Seq-mediated transcriptomic analysis was undertaken to compare the whole transcriptome profile of an Antarctic Chlorella sp. grown at ambient (4 degrees C) versus stress-inducing high (33 degrees C) temperatures and harvested at the 120-h time point. The findings of this study indicated a coordinated response to fine tune balance between energy production and utilisation for biosynthesis by redirecting carbon provision, and the arrest of cell division as a coping mechanism for an intense and relatively long period of stress. The strategies undertaken by this alga in acclimation to heat stress are somewhat similar to the heat stress response of the model species.</t>
  </si>
  <si>
    <t>[Poong, Sze-Wan; Lee, Kok-Keong; Lim, Phaik-Eem; Phang, Siew-Moi] Univ Malaya, Inst Ocean &amp; Earth Sci, Kuala Lumpur 50603, Malaysia; [Lee, Kok-Keong] Univ Malaya, Inst Grad Studies, Kuala Lumpur 50603, Malaysia; [Pai, Tun-Wen; Chen, Chien-Ming; Yang, Cing-Han; Liu, Chun-Cheng] Natl Taiwan Ocean Univ, Dept Comp Sci &amp; Engn, Keelung, Taiwan; [Wong, Chiew-Yen] Int Med Univ, Sch Hlth Sci, Kuala Lumpur 57000, Malaysia; [Wong, Chiew-Yen] Univ Malaya, Natl Antarctic Res Ctr, Kuala Lumpur 50603, Malaysia; [Phang, Siew-Moi] Univ Malaya, Fac Sci, Inst Biol Sci, Kuala Lumpur 50603, Malaysia</t>
  </si>
  <si>
    <t>Universiti Malaya; Universiti Malaya; National Taiwan Ocean University; International Medical University Malaysia; Universiti Malaya; Universiti Malaya</t>
  </si>
  <si>
    <t>Lim, PE (corresponding author), Univ Malaya, Inst Ocean &amp; Earth Sci, Kuala Lumpur 50603, Malaysia.;Pai, TW (corresponding author), Natl Taiwan Ocean Univ, Dept Comp Sci &amp; Engn, Keelung, Taiwan.</t>
  </si>
  <si>
    <t>phaikeem@um.edu.my; twp@mail.ntou.edu.tw</t>
  </si>
  <si>
    <t>Phang, Siew Moi/A-7653-2008; LIM, Phaik Eem/B-5331-2010; Poong, Sze Wan/S-2212-2016; Yen, Wong Chiew/AFY-1719-2022</t>
  </si>
  <si>
    <t>LIM, Phaik Eem/0000-0001-9186-1487; Poong, Sze Wan/0000-0003-4033-864X; Wong, Chiew-Yen/0000-0003-0534-6206</t>
  </si>
  <si>
    <t>Higher Institution Centre of Excellence (HICoE) from the Ministry of Higher Education, Malaysia [IOES-2014H]; Ministry of Science, Technology &amp; Innovation (MOSTI), Malaysia [FP0712E012, PV002-2015]; University of Malaya Research Grant [RP002C-13SUS]; University of Malaya Postgraduate Research Fund [PG121-2015A]; Ministry of Science and Technology, Taiwan, R.O.C. [MOST 104-2627-B-019-003]</t>
  </si>
  <si>
    <t>Higher Institution Centre of Excellence (HICoE) from the Ministry of Higher Education, Malaysia; Ministry of Science, Technology &amp; Innovation (MOSTI), Malaysia(Ministry of Energy, Science, Technology, Environment and Climate Change (MESTECC), Malaysia); University of Malaya Research Grant; University of Malaya Postgraduate Research Fund(Universiti Malaya); Ministry of Science and Technology, Taiwan, R.O.C.(Ministry of Science and Technology, Taiwan)</t>
  </si>
  <si>
    <t>This study was supported by a Higher Institution Centre of Excellence (HICoE) grant (IOES-2014H) from the Ministry of Higher Education, Malaysia; the Antarctic Flagship Project (FP0712E012, PV002-2015) by the Ministry of Science, Technology &amp; Innovation (MOSTI), Malaysia; University of Malaya Research Grant (RP002C-13SUS); University of Malaya Postgraduate Research Fund (PG121-2015A); and the Ministry of Science and Technology, Taiwan, R.O.C. (MOST 104-2627-B-019-003).</t>
  </si>
  <si>
    <t>10.1007/s10811-018-1455-9</t>
  </si>
  <si>
    <t>WOS:000455405900014</t>
  </si>
  <si>
    <t>Liu, CL; Zhao, X; Wang, XL</t>
  </si>
  <si>
    <t>Liu, Chenlin; Zhao, Xia; Wang, Xiuliang</t>
  </si>
  <si>
    <t>Identification and characterization of the psychrophilic bacterium CidnaK gene in the Antarctic Chlamydomoas sp. ICE-L under freezing conditions</t>
  </si>
  <si>
    <t>Antarctic sea-ice Chlamydomonas; Chlorophyta; DnaK/Hsp70; Horizontal gene transfer; Freezing tolerance</t>
  </si>
  <si>
    <t>SEA-ICE; PSYCHROFLEXUS-TORQUIS; MOLECULAR CHAPERONES; GENOMIC ANALYSIS; DNAK; HSP70; OVEREXPRESSION; STRESS; EXPRESSION; TOLERANCE</t>
  </si>
  <si>
    <t>Heat shock protein DnaK (Hsp70) can prevent irreversible protein denaturation by chaperoning the unfolded polypeptides under extremely cold environment, and enhance cold and freezing tolerance of microorganism. From an Antarctic sea-ice green alga Chlamydomonas sp. ICE-L, eight Hsp70 genes were identified and divided into seven subfamilies: four in the cytoplasmic subfamilies, two in the chloroplast subgroups, and one in the mitochondria or endoplasmic reticulum subfamilies. Phylogenetic analyses showed that except CidnaK, each of the other Cihsp70 genes had their homologs in Chlamydomonas reinhardtii and Volvox carteri. CiDnak is a cytoplasmic protein with highly homologous to DnaK proteins from prokaryotes, and it had 100% amino acid sequence identities with the DnaK of Psychroflexus torquis ATCC 700755, a psychrophilic bacterium isolated from Antarctic sea ice. The transcription of CidnaK was significantly induced upon freezing stress in ICE-L, eminently higher than that of other Cihsp70 genes. In addition, the transformed C. reinhardtii 137c with CidnaK gene showed much higher rates of survival and growth than the wild type under freezing or low temperature conditions. Our results suggested that CidnaK was likely originated from the symbiotic bacterium in the sea-ice brine, and is an important candidate freezing inducible gene that confers low temperature tolerance to Chlamydomonas cells, and plays a crucial role in ICE-L adapting the frigid Antarctic environments.</t>
  </si>
  <si>
    <t>[Liu, Chenlin] State Ocean Adm, Inst Oceanog 1, Key Lab Marine Bioact Subst, Qingdao 266061, Peoples R China; [Liu, Chenlin; Wang, Xiuliang] Qingdao Natl Lab Marine Sci &amp; Technol, Lab Marine Biol &amp; Biotechnol, Qingdao 266000, Peoples R China; [Zhao, Xia] Qingdao Univ, Coll Environm Sci &amp; Engn, Qingdao 266000, Peoples R China; [Wang, Xiuliang] Chinese Acad Sci, Inst Oceanol, Key Lab Expt Marine Biol, Qingdao 266071, Peoples R China</t>
  </si>
  <si>
    <t>First Institute of Oceanography, Ministry of Natural Resources; Laoshan Laboratory; Qingdao University; Chinese Academy of Sciences; Institute of Oceanology, CAS</t>
  </si>
  <si>
    <t>Liu, CL (corresponding author), State Ocean Adm, Inst Oceanog 1, Key Lab Marine Bioact Subst, Qingdao 266061, Peoples R China.;Liu, CL (corresponding author), Qingdao Natl Lab Marine Sci &amp; Technol, Lab Marine Biol &amp; Biotechnol, Qingdao 266000, Peoples R China.</t>
  </si>
  <si>
    <t>ch.lliu@163.com</t>
  </si>
  <si>
    <t>liu, chen/ISV-2093-2023</t>
  </si>
  <si>
    <t>Wang, Xiuliang/0000-0003-4262-0083</t>
  </si>
  <si>
    <t>National Natural Science Foundation [41276203]; Open Foundation of the State Key Laboratory of Bioactive Seaweed Substances</t>
  </si>
  <si>
    <t>National Natural Science Foundation(National Natural Science Foundation of China (NSFC)); Open Foundation of the State Key Laboratory of Bioactive Seaweed Substances</t>
  </si>
  <si>
    <t>This work was financially supported by a grant of National Natural Science Foundation (41276203) and an Open Foundation of the State Key Laboratory of Bioactive Seaweed Substances (2017) for Chenlin Liu.</t>
  </si>
  <si>
    <t>10.1007/s10811-018-1492-4</t>
  </si>
  <si>
    <t>WOS:000455405900052</t>
  </si>
  <si>
    <t>Pramanik, A; Van Pelt, W; Kohler, J; Schuler, TV</t>
  </si>
  <si>
    <t>Pramanik, Ankit; Van Pelt, Ward; Kohler, Jack; Schuler, Thomas V.</t>
  </si>
  <si>
    <t>Simulating climatic mass balance, seasonal snow development and associated freshwater runoff in the Kongsfjord basin, Svalbard (1980-2016)</t>
  </si>
  <si>
    <t>energy balance; glacier discharge; glacier mass balance; glacier modelling</t>
  </si>
  <si>
    <t>GREENLAND ICE-SHEET; SURFACE-ENERGY BALANCE; SEA-LEVEL RISE; INTERNAL ACCUMULATION; TIDEWATER GLACIER; AIR-TEMPERATURE; MELT; KRONEBREEN; MODEL; NORDENSKIOLDBREEN</t>
  </si>
  <si>
    <t>The Kongsfjord basin in northwest Svalbard is the site of a number of interdisciplinary studies concerned with the effect of fresh water from seasonal snow and glacier melt on the physical and biological environment. We use an energy-balance model coupled with a subsurface snow model to simulate the long-term climatic mass-balance evolution of the glaciers and the seasonal snow development of nonglacierized parts of the Kongsfjord basin. Runoff from both glacierized and nonglacierized parts of the basin is simulated to quantify the fresh water flux to the fjord. The model is calibrated with long-term mass-balance data measured at four glaciers, and with automatic weather station data. The simulated area-averaged climatic mass balance for the whole basin is positive (+0.23 m w.e. a(-1)) over the period 1980-2016; however, the trend for net mass balance is not statistically significant over the simulation period, despite the observed ongoing summer warming. Refreezing equals 0.24 m w.e. a(-1), which is equivalent to 17% of the total mass gain from precipitation and moisture deposition. Total runoff comprises contributions from seasonal snow in the nonglacierized area (16%) and glacier discharge (84%). Model time series shows a significant increasing trend for annual glacier runoff (6.83 x 10(6) m(3) a(-1)) over the simulation period.</t>
  </si>
  <si>
    <t>[Pramanik, Ankit; Kohler, Jack] Norwegian Polar Res Inst, Fram Ctr, Tromso, Norway; [Pramanik, Ankit; Schuler, Thomas V.] Univ Oslo, Dept Geosci, Oslo, Norway; [Pramanik, Ankit] ESSO Natl Ctr Antarct &amp; Ocean Res, Minist Earth Sci, Vasco Da Gama, Goa, India; [Van Pelt, Ward] Uppsala Univ, Dept Earth Sci, Uppsala, Sweden; [Schuler, Thomas V.] Univ Ctr Svalbard, Dept Arctic Geophys, Longyearbyen, Norway</t>
  </si>
  <si>
    <t>Norwegian Polar Institute; University of Oslo; Ministry of Earth Sciences (MoES) - India; National Centre for Polar and Ocean Research (NCPOR); Uppsala University; University Centre Svalbard (UNIS)</t>
  </si>
  <si>
    <t>Pramanik, A (corresponding author), Norwegian Polar Res Inst, Fram Ctr, Tromso, Norway.;Pramanik, A (corresponding author), Univ Oslo, Dept Geosci, Oslo, Norway.;Pramanik, A (corresponding author), ESSO Natl Ctr Antarct &amp; Ocean Res, Minist Earth Sci, Vasco Da Gama, Goa, India.</t>
  </si>
  <si>
    <t>ankit@ncaor.gov.in</t>
  </si>
  <si>
    <t>Schuler, Thomas V/G-4781-2015</t>
  </si>
  <si>
    <t>Schuler, Thomas V/0000-0003-0972-3929; Pramanik, Ankit/0000-0003-4991-9344; Kohler, Jack/0000-0003-1963-054X; van Pelt, Ward/0000-0003-4839-7900</t>
  </si>
  <si>
    <t>ESSO-National Centre for Antarctic and Ocean Research (NCAOR) - Ministry of Earth Sciences, Government of India [MoES/16/22/12-RDEAS]; Polish-Norwegian Research Programme GLAERE; Norwegian Research Council project TIGRIF; Norwegian Polar Institute's TW-ICE project</t>
  </si>
  <si>
    <t>ESSO-National Centre for Antarctic and Ocean Research (NCAOR) - Ministry of Earth Sciences, Government of India; Polish-Norwegian Research Programme GLAERE; Norwegian Research Council project TIGRIF(Research Council of Norway); Norwegian Polar Institute's TW-ICE project</t>
  </si>
  <si>
    <t>The first author received Ph.D. studentship support from ESSO-National Centre for Antarctic and Ocean Research (NCAOR), financed by the Ministry of Earth Sciences, Government of India; Grant/Award number: MoES/16/22/12-RDEAS (PhD fellowship-NPI). Additional funding came from the Polish-Norwegian Research Programme GLAERE, the Norwegian Research Council project TIGRIF, and the Norwegian Polar Institute's TW-ICE project. We thank the editor, H. Jiskoot and one anonymous referee for their insightful comments that helped to improve the manuscript. This article is NCAOR contribution no. 46/2018.</t>
  </si>
  <si>
    <t>10.1017/jog.2018.80</t>
  </si>
  <si>
    <t>WOS:000454427700008</t>
  </si>
  <si>
    <t>Yang, LW; Nikurashin, M; Hogg, AM; Sloyan, BM</t>
  </si>
  <si>
    <t>Yang, Luwei; Nikurashin, Maxim; Hogg, Andrew M.; Sloyan, Bernadette M.</t>
  </si>
  <si>
    <t>Energy Loss from Transient Eddies due to Lee Wave Generation in the Southern Ocean</t>
  </si>
  <si>
    <t>Southern Ocean; Eddies; Internal waves; Topographic effects; Diagnostics; General circulation models</t>
  </si>
  <si>
    <t>ANTARCTIC CIRCUMPOLAR CURRENT; SMALL-SCALE TOPOGRAPHY; SEA-FLOOR MORPHOLOGY; INTERNAL WAVES; OVERTURNING CIRCULATION; SPATIAL VARIABILITY; DYNAMICAL BALANCE; MESOSCALE EDDIES; KINETIC-ENERGY; IMPACT</t>
  </si>
  <si>
    <t>Observations suggest that enhanced turbulent dissipation and mixing over rough topography are modulated by the transient eddy field through the generation and breaking of lee waves in the Southern Ocean. Idealized simulations also suggest that lee waves are important in the energy pathway from eddies to turbulence. However, the energy loss from eddies due to lee wave generation remains poorly estimated. This study quantifies the relative energy loss from the time-mean and transient eddy flow in the Southern Ocean due to lee wave generation using an eddy-resolving global ocean model and three independent topographic datasets. The authors find that the energy loss from the transient eddy flow (0.12 TW; 1 TW = 10(12) W) is larger than that from the time-mean flow (0.04 TW) due to lee wave generation; lee wave generation makes a larger contribution (0.12 TW) to the energy loss from the transient eddy flow than the dissipation in turbulent bottom boundary layer (0.05 TW). This study also shows that the energy loss from the time-mean flow is regulated by the transient eddy flow, and energy loss from the transient eddy flow is sensitive to the representation of anisotropy in small-scale topography. It is implied that lee waves should be parameterized in eddy-resolving global ocean models to improve the energetics of resolved flow.</t>
  </si>
  <si>
    <t>[Yang, Luwei; Nikurashin, Maxim] Univ Tasmania, Inst Marine &amp; Antarctic Studies, Hobart, Tas, Australia; [Yang, Luwei; Nikurashin, Maxim] Univ Tasmania, ARC Ctr Excellence Climate Syst Sci, Hobart, Tas, Australia; [Hogg, Andrew M.] Australian Natl Univ, Res Sch Earth Sci, Canberra, ACT, Australia; [Hogg, Andrew M.] Australian Natl Univ, ARC Ctr Excellence Climate Extremes, Canberra, ACT, Australia; [Sloyan, Bernadette M.] CSIRO, Oceans &amp; Atmosphere, Hobart, Tas, Australia</t>
  </si>
  <si>
    <t>University of Tasmania; ARC Centre of Excellence for Climate System Science; University of Tasmania; Australian National University; Australian National University; Commonwealth Scientific &amp; Industrial Research Organisation (CSIRO)</t>
  </si>
  <si>
    <t>Yang, LW (corresponding author), Univ Tasmania, Inst Marine &amp; Antarctic Studies, Hobart, Tas, Australia.;Yang, LW (corresponding author), Univ Tasmania, ARC Ctr Excellence Climate Syst Sci, Hobart, Tas, Australia.</t>
  </si>
  <si>
    <t>luwei.yang@utas.edu.au</t>
  </si>
  <si>
    <t>Hogg, Andy McC./A-7553-2011; Nikurashin, Maxim/P-4018-2019; Sloyan, Bernadette/N-8989-2014; Hogg, Andy/AAZ-8733-2021</t>
  </si>
  <si>
    <t>Hogg, Andy McC./0000-0001-5898-7635; Sloyan, Bernadette/0000-0003-0250-0167; Hogg, Andy/0000-0001-5898-7635; Nikurashin, Maxim/0000-0002-5714-8343</t>
  </si>
  <si>
    <t>Australian Government; joint CSIRO-UTAS QMS program; Australian Research Council (ARC) Discovery Early Career Research Award (DECRA) Fellowship [DE150100937]; Australian Research Council [DE150100937] Funding Source: Australian Research Council</t>
  </si>
  <si>
    <t>Australian Government(Australian Government); joint CSIRO-UTAS QMS program; Australian Research Council (ARC) Discovery Early Career Research Award (DECRA) Fellowship(Australian Research Council); Australian Research Council(Australian Research Council)</t>
  </si>
  <si>
    <t>This research was undertaken on the NCI National Facility in Canberra, Australia, which is supported by the Australian Government. LY was supported by the joint CSIRO-UTAS QMS program. MN was supported by the Australian Research Council (ARC) Discovery Early Career Research Award (DECRA) Fellowship (DE150100937). We thank John Goff and Brian Arbic for providing their abyssal hill topography products. We thank Alberto Naveira Garabato for providing access to the DIMES mooring data. BMS provided the SOFine mooring data. We also thank two anonymous reviewers for their comments and suggestions.</t>
  </si>
  <si>
    <t>10.1175/JPO-D-18-0077.1</t>
  </si>
  <si>
    <t>HC9NQ</t>
  </si>
  <si>
    <t>Green Submitted, hybrid, Green Accepted</t>
  </si>
  <si>
    <t>WOS:000452133600001</t>
  </si>
  <si>
    <t>Oppel, S; Bolton, M; Carneiro, APB; Dias, MP; Green, JA; Masello, JF; Phillips, RA; Owen, E; Quillfeldt, P; Beard, A; Bertrand, S; Blackburn, J; Boersma, PD; Borges, A; Broderick, AC; Catry, P; Cleasby, I; Clingham, E; Creuwels, J; Crofts, S; Cuthbert, RJ; Dallmeijer, H; Davies, D; Davies, R; Dilley, B; Dinis, HA; Dossa, J; Dunn, MJ; Efe, MA; Fayet, AL; Figueiredo, L; Frederico, AP; Gjerdrum, C; Godley, BJ; Granadeiro, JP; Guilford, T; Hamer, KC; Hazin, C; Hedd, A; Henry, L; Hernández-Montero, M; Hinke, J; Kokubun, N; Leat, E; Tranquilla, LM; Metzger, B; Militao, T; Montrond, G; Mullié, W; Padget, O; Pearmain, EJ; Pollet, IL; Pütz, K; Quintana, F; Ratcliffe, N; Ronconi, RA; Ryan, PG; Saldanha, S; Shoji, A; Sim, J; Small, C; Soanes, L; Takahashi, A; Trathan, P; Trivelpiece, W; Veen, J; Wakefield, E; Weber, N; Weber, S; Zango, L; Daunt, F; Ito, M; Harris, MP; Newell, MA; Wanless, S; González-Solís, J; Croxall, J</t>
  </si>
  <si>
    <t>Oppel, Steffen; Bolton, Mark; Carneiro, Ana P. B.; Dias, Maria P.; Green, Jonathan A.; Masello, Juan F.; Phillips, Richard A.; Owen, Ellie; Quillfeldt, Petra; Beard, Annalea; Bertrand, Sophie; Blackburn, Jez; Boersma, P. Dee; Borges, Alder; Broderick, Annette C.; Catry, Paulo; Cleasby, Ian; Clingham, Elizabeth; Creuwels, Jeroen; Crofts, Sarah; Cuthbert, Richard J.; Dallmeijer, Hanneke; Davies, Delia; Davies, Rachel; Dilley, Ben J.; Dinis, Herculano Andrade; Dossa, Justine; Dunn, Michael J.; Efe, Marcio A.; Fayet, Annette L.; Figueiredo, Leila; Frederico, Adelcides Pereira; Gjerdrum, Carina; Godley, Brendan J.; Granadeiro, Jose Pedro; Guilford, Tim; Hamer, Keith C.; Hazin, Carolina; Hedd, April; Henry, Leeann; Hernandez-Montero, Marcos; Hinke, Jefferson; Kokubun, Nobuo; Leat, Eliza; Tranquilla, Laura McFarlane; Metzger, Benjamin; Militao, Teresa; Montrond, Gilson; Mullie, Wim; Padget, Oliver; Pearmain, Elizabeth J.; Pollet, Ingrid L.; Putz, Klemens; Quintana, Flavio; Ratcliffe, Norman; Ronconi, Robert A.; Ryan, Peter G.; Saldanha, Sarah; Shoji, Akiko; Sim, Jolene; Small, Cleo; Soanes, Louise; Takahashi, Akinori; Trathan, Phil; Trivelpiece, Wayne; Veen, Jan; Wakefield, Ewan; Weber, Nicola; Weber, Sam; Zango, Laura; Daunt, Francis; Ito, Motohiro; Harris, Michael P.; Newell, Mark A.; Wanless, Sarah; Gonzalez-Solis, Jacob; Croxall, John</t>
  </si>
  <si>
    <t>Spatial scales of marine conservation management for breeding seabirds</t>
  </si>
  <si>
    <t>Foraging range; Marine protected area; Spatial aggregation; Telemetry; Tracking; Value of information</t>
  </si>
  <si>
    <t>PROTECTED AREAS; FISHERY INTERACTIONS; FORAGING STRATEGY; TRACKING DATA; SEA-TURTLE; MIGRATION; BYCATCH; RANGE; BEHAVIOR; ALBATROSSES</t>
  </si>
  <si>
    <t>Knowing the spatial scales at which effective management can be implemented is fundamental for conservation planning. This is especially important for mobile species, which can be exposed to threats across large areas, but the space use requirements of different species can vary to an extent that might render some management approaches inefficient. Here the space use patterns of seabirds were examined to provide guidance on whether conservation management approaches should be tailored for taxonomic groups with different movement characteristics. Seabird tracking data were synthesised from 5419 adult breeding individuals of 52 species in ten families that were collected in the Atlantic Ocean basin between 1998 and 2017. Two key aspects of spatial distribution were quantified, namely how far seabirds ranged from their colony, and to what extent individuals from the same colony used the same areas at sea. There was evidence for substantial differences in patterns of space-use among the ten studied seabird families, indicating that several alternative conservation management approaches are needed. Several species exhibited large foraging ranges and little aggregation at sea, indicating that area-based conservation solutions would have to be extremely large to adequately protect such species. The results highlight that short-ranging and aggregating species such as cormorants, auks, some penguins, and gulls would benefit from conservation approaches at relatively small spatial scales during their breeding season. However, improved regulation of fisheries, bycatch, pollution and other threats over large spatial scales will be needed for wide-ranging and dispersed species such as albatrosses, petrels, storm petrels and frigatebirds.</t>
  </si>
  <si>
    <t>[Oppel, Steffen; Bolton, Mark; Owen, Ellie; Cleasby, Ian; Cuthbert, Richard J.; Tranquilla, Laura McFarlane; Small, Cleo] Royal Soc Protect Birds, RSPB Ctr Conservat Sci, Sandy, Beds, England; [Carneiro, Ana P. B.; Dias, Maria P.; Dossa, Justine; Hazin, Carolina; Pearmain, Elizabeth J.; Croxall, John] BirdLife Int, David Attenborough Bldg,Pembroke St, Cambridge CB2 3QZ, England; [Green, Jonathan A.; Soanes, Louise] Univ Liverpool, Sch Environm Sci, Liverpool L69 3GP, Merseyside, England; [Masello, Juan F.; Quillfeldt, Petra] Justus Liebig Univ Giessen, Dept Anim Ecol &amp; Systemat, Heinrich Buff Ring 26, D-35392 Giessen, Germany; [Beard, Annalea; Clingham, Elizabeth; Henry, Leeann; Tranquilla, Laura McFarlane] St Helena Govt, Marine Sect, Environm &amp; Nat Resources Directorate, Jamestown, St Helena; [Bertrand, Sophie] Univ Montpellier, Ctr Rech Halieut, CNRS, IRD,UMR Marbec,Ifremer, Ave Jean Monnet, F-34200 Sete, France; [Bertrand, Sophie] Univ Fed Rural Pernambuco, Rua Dom Manuel de Medeiros S-N, BR-52171900 Recife, PE, Brazil; [Blackburn, Jez] British Trust Ornithol, Thetford IP24 2PU, Norfolk, England; [Boersma, P. Dee] Univ Washington, Ctr Ecosyst Sentinels, 24 Kincaid Hall, Seattle, WA 98195 USA; [Borges, Alder; Frederico, Adelcides Pereira; Montrond, Gilson] Achada Sao Filipe, Projecto Vito, Sao Filipe, Cape Verde; [Broderick, Annette C.; Godley, Brendan J.; Weber, Nicola; Weber, Sam] Univ Exeter, Ctr Ecol &amp; Conservat, Cornwall Campus, Exeter TR10 9EZ, Devon, England; [Catry, Paulo] ISPA Inst Univ, MARE Marine &amp; Environm Sci Ctr, Lisbon, Portugal; [Creuwels, Jeroen] Nat Biodivers Ctr, POB 9517, NL-2300 RA Leiden, Netherlands; [Dallmeijer, Hanneke; Mullie, Wim; Veen, Jan] Veda Consultancy, Wieselseweg 110, NL-7345 CC Wenum Wiesel, Netherlands; [Davies, Delia; Dilley, Ben J.; Ryan, Peter G.] Univ Cape Town, DST NRF Ctr Excellence, FitzPatrick Inst African Ornithol, ZA-7701 Rondebosch, South Africa; [Davies, Rachel] MARINElife, 1 Higher St, Bridport DT6 3JA, West Dorset, England; [Phillips, Richard A.; Dunn, Michael J.; Ratcliffe, Norman; Trathan, Phil] British Antarctic Survey, Nat Environm Res Council, Madingley Rd, Cambridge CB3 0ET, England; [Efe, Marcio A.; Figueiredo, Leila] Bioecol &amp; Conservat Neotrop Birds Lab ICBS UFAL, Ave Lourival Melo Mota S-N, BR-57072900 Maceio, Brazil; [Fayet, Annette L.; Guilford, Tim; Padget, Oliver; Shoji, Akiko] Univ Oxford, Dept Zool, Oxford OX1 3PS, England; [Dinis, Herculano Andrade] Direcao Nacl Ambiente, Parque Nat Fogo, Cha Das Caldeiras, Cape Verde; [Gjerdrum, Carina; Ronconi, Robert A.] Environm &amp; Climate Change Canada, Canadian Wildlife Serv, Dartmouth, NS B2Y 2N6, Canada; [Militao, Teresa; Saldanha, Sarah; Zango, Laura; Gonzalez-Solis, Jacob] Univ Barcelona, Inst Recerca Biodiversitat IRBio, E-08028 Barcelona, Spain; [Militao, Teresa; Saldanha, Sarah; Zango, Laura; Gonzalez-Solis, Jacob] Univ Barcelona, Dept Biol Evolut Ecol &amp; Ciencies Ambientals BEECA, E-08028 Barcelona, Spain; [Granadeiro, Jose Pedro] Univ Lisbon, Fac Ciencias, CESAM, P-1749016 Lisbon, Portugal; [Hamer, Keith C.] Univ Leeds, Fac Biol Sci, Irene Manton Bldg, Leeds LS2 9JT, W Yorkshire, England; [Hedd, April] Environm &amp; Climate Change Canada, Sci &amp; Technol Branch, Wildlife Res Div, Mt Pearl, NF A1N 4T3, Canada; [Hernandez-Montero, Marcos] Projeto Biodiversidade, Santa Maria, Cape Verde; [Hinke, Jefferson; Trivelpiece, Wayne] NOAA, Antarctic Ecosyst Res Div, Southwest Fisheries Sci Ctr, Natl Marine Fisheries Serv, La Jolla, CA USA; [Kokubun, Nobuo; Takahashi, Akinori] Natl Inst Polar Res, Tachikawa, Tokyo 1908518, Japan; [Leat, Eliza; Sim, Jolene; Weber, Nicola; Weber, Sam] Ascension Isl Govt, Conservat &amp; Fisheries Dept, George Town, Malaysia; [Metzger, Benjamin] BirdLife Malta, 57-28 Triq Abate Rigord, Taxbiex 1120, Xbx, Malta; [Pollet, Ingrid L.] Bird Studies Canada, 17 Waterfowl Lane, Sackville, NB E4L 1G6, Canada; [Putz, Klemens] Antarctic Res Trust, Oste Hamme Kanal 10, D-27432 Bremervorde, Germany; [Quintana, Flavio] Consejo Nacl Invest Cient &amp; Tecn, Inst Biol Organismos Marinos IBIOMAR, Blvd Brown 2915,U9120ACD, Puerto Madryn, Chubut, Argentina; [Wakefield, Ewan] Univ Glasgow, Inst Biodivers Anim Hlth &amp; Comparat Med, Graham Kerr Bldg, Glasgow G12 8QQ, Lanark, Scotland; [Daunt, Francis; Harris, Michael P.; Newell, Mark A.; Wanless, Sarah] Ctr Ecol &amp; Hydrol Edinburgh, Bush Estate, Penicuik EH26 0QB, Midlothian, Scotland; [Ito, Motohiro] Univ Tokyo, Fac Life Sci, Dept Appl Biosci, 1-1-1 Izumino, Itakura, Gunma 3740193, Japan</t>
  </si>
  <si>
    <t>Royal Society for Protection of Birds; BirdLife International; University of Liverpool; Justus Liebig University Giessen; Universite de Montpellier; Centre National de la Recherche Scientifique (CNRS); Institut de Recherche pour le Developpement (IRD); Ifremer; Universidade Federal Rural de Pernambuco (UFRPE); British Trust for Ornithology; University of Washington; University of Washington Seattle; University of Exeter; Instituto Superior Psicologia Aplicada (ISPA); Naturalis Biodiversity Center; National Research Foundation - South Africa; University of Cape Town; UK Research &amp; Innovation (UKRI); Natural Environment Research Council (NERC); NERC British Antarctic Survey; University of Oxford; Environment &amp; Climate Change Canada; Canadian Wildlife Service; University of Barcelona; University of Barcelona; Universidade de Lisboa; University of Leeds; Environment &amp; Climate Change Canada; Canadian Wildlife Service; Wildlife Research Division - Environment Canada; National Oceanic Atmospheric Admin (NOAA) - USA; Research Organization of Information &amp; Systems (ROIS); National Institute of Polar Research (NIPR) - Japan; Consejo Nacional de Investigaciones Cientificas y Tecnicas (CONICET); University of Glasgow; UK Centre for Ecology &amp; Hydrology (UKCEH); University of Tokyo</t>
  </si>
  <si>
    <t>Oppel, S (corresponding author), Royal Soc Protect Birds, RSPB Ctr Conservat Sci, Sandy, Beds, England.</t>
  </si>
  <si>
    <t>steffen.oppel@rspb.org.uk; frada@ceh.ac.ukf; ito.motohiro@nipr.ac.jp; mph@ceh.ac.ukf; manew@ceh.ac.uk; swanl@ceh.ac.uk</t>
  </si>
  <si>
    <t>Broderick, Annette A.C/A-4062-2013; Granadeiro, José Pedro/E-8060-2011; Efe, Márcio/AAM-6656-2021; González-Solís, Jacob/AAB-1161-2019; Daunt, Francis/K-6688-2012; Oppel, Steffen/H-2771-2019; Militao, Teresa/AAA-6151-2019; Green, Jonathan A/B-8799-2011; , Jefferson/AAG-1702-2021; Dias, Maria P./D-1331-2012; Gonzalez-Solis, Jacob/C-3942-2008; Godley, Brendan J/A-6139-2009; Saldanha, Sarah/ADX-1942-2022; Carneiro, Ana Paula/IQT-6077-2023; Pollet, Ingrid Louise/O-5031-2019; Masello, Juan Francisco/C-7133-2009; Lanco, Sophie/F-4161-2012; Catry, Paulo/I-5408-2013</t>
  </si>
  <si>
    <t>Granadeiro, José Pedro/0000-0002-7207-3474; Efe, Márcio/0000-0001-7865-8345; Oppel, Steffen/0000-0002-8220-3789; Militao, Teresa/0000-0002-2862-1592; Green, Jonathan A/0000-0001-8692-0163; , Jefferson/0000-0002-3600-1414; Dias, Maria P./0000-0002-7281-4391; Gonzalez-Solis, Jacob/0000-0002-8691-9397; Godley, Brendan J/0000-0003-3845-0034; Pollet, Ingrid Louise/0000-0001-7207-8294; Hedd, April/0000-0003-2222-2627; Pearmain, Elizabeth/0000-0002-6600-1482; Masello, Juan Francisco/0000-0002-6826-4016; Bolton, Mark/0000-0001-5605-687X; Fayet, Annette/0000-0001-6373-0500; Shoji, Akiko/0000-0003-3364-7786; Lanco, Sophie/0000-0003-1976-3799; Saldanha, Sarah/0000-0003-0084-1929; Zango, Laura/0000-0003-0909-2493; Takahashi, Akinori/0000-0002-9868-0408; Catry, Paulo/0000-0003-3000-0522; Weber, Nicola/0000-0001-6910-3727; , Ana/0000-0003-0573-7549; Broderick, Annette/0000-0003-1444-1782; Puetz, Klemens/0000-0003-1375-2669</t>
  </si>
  <si>
    <t>Enterprise St Helena; Darwin Initiative; Department for Environment, Food, and Rural Affairs (UK); St Helena Nature Conservation Group; St Helena National Trust; Falkland Islands Government; Tristan da Cunha Government; South African Department of Environmental Affairs (South African National Antarctic Programme); National Research Foundation (South Africa); University of Cape Town; Institute Chico Mendes de Conservacao da Biodiversidade (ICMBio/MMA); Ascension Island Government; MAVA Foundation; Anguilla National Trust; Jost van Dyke Preservation Society; Alderney Commission for Renewable Energy; Alderney Wildlife Trust; Seabird Group; Wildlife Conservation Society; Department of Environment and Climate Change (Government of Canada); Bird Studies Canada; Netherlands AntArctic Program; Netherlands Organisation for Scientific Research (NWO); Australian Antarctic Division; Microsoft Research Cambridge; UK Natural Environment Research Council; Northern Ireland Environment Agency; Scottish Natural Heritage; Birds of Lundy Fund; Merton College (Oxford); Skokholm Islands Advisory Committee; Wildlife Trust for South and West Wales; Copeland Bird Observatory; Landmark Trust; National Trust for Scotland; LIFE + program of the European Union [LIFE10/MT/090]; Maltese Ministry for Sustainable Development; Environment and Climate Change; Ministerio de Ciencia e Innovacion [CGL2013-42585-P]; Ministerio de Economia, Industria y Competitividad [CGL2016-78530-R]; Fondos FEDER; BirdFair; German Federal Ministry for the Environment, Nature Conservation and Nuclear Safety, through the International Climate Initiative (Global Ocean Biodiversity Initiative, IKI project); German Research Foundation [DFG SPP 1158, MA2574/6-1, QU148/5-1]; FCT -Portugal [UID/MAR/04292/2013]; FEDER funds within the PT2020 Partnership Agreement; Compete 2020; FAPEAL; Grupo o Boticario de Protecao a Natureza via Fundacao Universitaria de Desenvolvimento de Extensa e Pesquisa (FUNDEPES) [1012_20141]; UK Natural Environmental Research Council (NERC) [NE/M017990/1]; SPEA; [PTDC/BIA-ANM/3743/2014]; [UID/AMB/50017/2013]; [PTDC/MAR-PRO/0929/2014]; NERC [bas0100035, NE/M017990/1] Funding Source: UKRI; Fundação para a Ciência e a Tecnologia [PTDC/MAR-PRO/0929/2014] Funding Source: FCT; Natural Environment Research Council [NE/M017990/1] Funding Source: researchfish</t>
  </si>
  <si>
    <t>Enterprise St Helena; Darwin Initiative; Department for Environment, Food, and Rural Affairs (UK)(Department for Environment, Food &amp; Rural Affairs (DEFRA)); St Helena Nature Conservation Group; St Helena National Trust; Falkland Islands Government; Tristan da Cunha Government; South African Department of Environmental Affairs (South African National Antarctic Programme); National Research Foundation (South Africa)(National Research Foundation - South AfricaSouth African Medical Research Council); University of Cape Town; Institute Chico Mendes de Conservacao da Biodiversidade (ICMBio/MMA); Ascension Island Government; MAVA Foundation; Anguilla National Trust; Jost van Dyke Preservation Society; Alderney Commission for Renewable Energy; Alderney Wildlife Trust; Seabird Group; Wildlife Conservation Society; Department of Environment and Climate Change (Government of Canada); Bird Studies Canada; Netherlands AntArctic Program; Netherlands Organisation for Scientific Research (NWO)(Netherlands Organization for Scientific Research (NWO)); Australian Antarctic Division; Microsoft Research Cambridge(Microsoft); UK Natural Environment Research Council(UK Research &amp; Innovation (UKRI)Natural Environment Research Council (NERC)); Northern Ireland Environment Agency; Scottish Natural Heritage; Birds of Lundy Fund; Merton College (Oxford); Skokholm Islands Advisory Committee; Wildlife Trust for South and West Wales; Copeland Bird Observatory; Landmark Trust; National Trust for Scotland; LIFE + program of the European Union; Maltese Ministry for Sustainable Development; Environment and Climate Change; Ministerio de Ciencia e Innovacion(Instituto de Salud Carlos IIISpanish Government); Ministerio de Economia, Industria y Competitividad(Spanish Government); Fondos FEDER(European Union (EU)); BirdFair; German Federal Ministry for the Environment, Nature Conservation and Nuclear Safety, through the International Climate Initiative (Global Ocean Biodiversity Initiative, IKI project); German Research Foundation(German Research Foundation (DFG)); FCT -Portugal(Fundacao para a Ciencia e a Tecnologia (FCT)); FEDER funds within the PT2020 Partnership Agreement(Marie Curie Actions); Compete 2020; FAPEAL(Fundacao de Amparo a Pesquisa do Estado de Alagoas (FAPEAL)); Grupo o Boticario de Protecao a Natureza via Fundacao Universitaria de Desenvolvimento de Extensa e Pesquisa (FUNDEPES); UK Natural Environmental Research Council (NERC)(UK Research &amp; Innovation (UKRI)Natural Environment Research Council (NERC)); SPEA; ; ; ; NERC(UK Research &amp; Innovation (UKRI)Natural Environment Research Council (NERC)); Fundação para a Ciência e a Tecnologia(Fundacao para a Ciencia e a Tecnologia (FCT)); Natural Environment Research Council(UK Research &amp; Innovation (UKRI)Natural Environment Research Council (NERC))</t>
  </si>
  <si>
    <t>This analysis was facilitated by the Seabird Tracking database hosted by BirdLife International (www.seabirdtracking.org).We thank many volunteers and the following individuals for assistance during data collection: Abdou Diouf, Nicolas Gomis, Moussa Samb (Direction of National Parks, Senegal), Stanislas Malou, Sokna Momie (University Cheikh Anta Diop of Dakar, Senegal), Kenickie Andrews, Derren Fox, Nathan Fowler, Julia Sommerfeld, Pete Mayhew, Eelke Folmer, Almut Schlaich, Willem and Inge Bouten, Roland Gauvain, Phil Atkinson (BTO), Chantelle Burke, Bronwyn Harkness, Rielle Hoeg, Sofia Karabatsos, Amy-Lee Kouwenberg, Regan Maloney, Hilary Mann, Marina Montevecchi, Myriam Trottier-Paquet, Michelle Valliant, Skomer Wardens, Ben Dean, Holly Kirk, Robin Freeman, Dave Boyle, Chris Perrins, Helen Peat, Andrew Wood, Samir Martins, Pedro Lopez, Sergi Torn, Adria Compte, Marina Pastor, Diniz Montrond, and Artur Lopes. We appreciate the financial and logistical support of the following institutions during data collection: Enterprise St Helena, Darwin Initiative, Department for Environment, Food, and Rural Affairs (UK), St Helena Nature Conservation Group, St Helena National Trust, Falkland Islands Government, Tristan da Cunha Government, South African Department of Environmental Affairs (South African National Antarctic Programme), National Research Foundation (South Africa), University of Cape Town, Institute Chico Mendes de Conservacao da Biodiversidade (ICMBio/MMA), Ascension Island Government, MAVA Foundation, Anguilla National Trust, Jost van Dyke Preservation Society, Alderney Commission for Renewable Energy, Alderney Wildlife Trust, The Seabird Group, Wildlife Conservation Society, Department of Environment and Climate Change (Government of Canada), Bird Studies Canada, Netherlands AntArctic Program, Netherlands Organisation for Scientific Research (NWO), Australian Antarctic Division, Microsoft Research Cambridge, UK Natural Environment Research Council, Northern Ireland Environment Agency, Scottish Natural Heritage, Birds of Lundy Fund, Merton College (Oxford), Skokholm Islands Advisory Committee, Wildlife Trust for South and West Wales, Copeland Bird Observatory, Landmark Trust, National Trust for Scotland, LIFE + program of the European Union (LIFE10/MT/090), Maltese Ministry for Sustainable Development, the Environment and Climate Change, SPEA, Ministerio de Ciencia e Innovacion (CGL2013-42585-P), Ministerio de Economia, Industria y Competitividad (CGL2016-78530-R) and Fondos FEDER. We thank BirdFair and the German Federal Ministry for the Environment, Nature Conservation and Nuclear Safety, through the International Climate Initiative (Global Ocean Biodiversity Initiative, IKI project), for the support to BirdLife International. Juan F. Masello and Petra Quillfeldt received financial support from the German Research Foundation, (DFG SPP 1158, MA2574/6-1, QU148/5-1). FCT -Portugal provided financial support through the strategic project UID/MAR/04292/2013 granted to MARE and the project PTDC/BIA-ANM/3743/2014 and project UID/AMB/50017/2013 and FEDER funds granted to CESAM, within the PT2020 Partnership Agreement and Compete 2020, as well as project PTDC/MAR-PRO/0929/2014. Leila Figueiredo and Marcio Amorim Efe received financial support by FAPEAL. The Grupo o Boticario de Protecao a Natureza provided funds to the project granted to MAE (No. 1012_20141) via Fundacao Universitaria de Desenvolvimento de Extensa e Pesquisa (FUNDEPES). Ewan Wakefield was funded by the UK Natural Environmental Research Council (NERC) grant NE/M017990/1.; r r We thank Kate Jennings, Alex Kinninmoth, Gareth Cunningham, Mike Brooke, and anonymous reviewers for constructive comments on an earlier draft of the manuscript.</t>
  </si>
  <si>
    <t>10.1016/j.marpol.2018.08.024</t>
  </si>
  <si>
    <t>WOS:000454467100005</t>
  </si>
  <si>
    <t>Cao, SK; Na, GS; Li, RJ; Ge, LK; Gao, H; Jin, SC; Hou, C; Gao, YZ; Zhang, ZF</t>
  </si>
  <si>
    <t>Cao, Shengkai; Na, Guangshui; Li, Ruijing; Ge, Linke; Gao, Hui; Jin, Shuaichen; Hou, Chao; Gao, Yunze; Zhang, Zhifeng</t>
  </si>
  <si>
    <t>Fate and deposition of polycyclic aromatic hydrocarbons in the Bransfield Strait, Antarctica</t>
  </si>
  <si>
    <t>Air-seawater exchange; Polycyclic aromatic hydrocarbons; Antarctic</t>
  </si>
  <si>
    <t>PERSISTENT ORGANIC POLLUTANTS; SOUTHERN-OCEAN; NORTH PACIFIC; POLYCHLORINATED-BIPHENYLS; ATMOSPHERIC OCCURRENCE; PAHS; WATER; ATLANTIC; PESTICIDES; EXCHANGE</t>
  </si>
  <si>
    <t>Fifteen polycyclic aromatic hydrocarbons (PAHs) were detected in seawater and atmosphere of Bransfield Strait. The concentration of Sigma(15)[PAH] in the atmosphere ranged from 3.75 to 8.53 ng m(-3), and three-ring PAHs were the most abundant compounds. Dissolved Sigma(15)[PAH] in seawater ranged from 5.42 to 34.37 ng L-1, and the level of PAHs was markedly different on each side of the strait. The air-sea gas exchange process and molecular diagnostic ratios were calculated, results showed that the environmental behavior of PAHs was net deposition along this cruise. Given the changes in global transport routes of pollutants under global warming, the role of long-range transport (LRT) may be enhanced. Taking the Antarctic as a sink of PAHs due to the LRT and net deposition, PAHs will continue to load into the seawater of this area via atmospheric deposition, which contributes to improving our understanding of the environmental behavior of PAHs.</t>
  </si>
  <si>
    <t>[Cao, Shengkai; Hou, Chao; Gao, Yunze] Shanghai Ocean Univ, Sch Marine Sci, Shanghai 201306, Peoples R China; [Cao, Shengkai; Na, Guangshui; Li, Ruijing; Ge, Linke; Gao, Hui; Jin, Shuaichen; Hou, Chao; Gao, Yunze; Zhang, Zhifeng] Natl Marine Environm Monitoring Ctr, Key Lab Ecol Environm Coastal Areas SOA, Dalian 116023, Peoples R China</t>
  </si>
  <si>
    <t>Shanghai Ocean University; National Marine Environmental Monitoring Center</t>
  </si>
  <si>
    <t>Na, GS (corresponding author), Natl Marine Environm Monitoring Ctr, Key Lab Ecol Environm Coastal Areas SOA, Dalian 116023, Peoples R China.</t>
  </si>
  <si>
    <t>gsna@nmemc.org.cn</t>
  </si>
  <si>
    <t>gao, yunze/0000-0003-0317-6805</t>
  </si>
  <si>
    <t>National Natural Science Foundation of China [21377032, 41406088]; Chinese Polar Environment Comprehensive Investigation and Assessment Programs [2016-02-01, 2016-04-01, 2016-04-03]; Project of China Scholarship Council [CSC201504180002]</t>
  </si>
  <si>
    <t>National Natural Science Foundation of China(National Natural Science Foundation of China (NSFC)); Chinese Polar Environment Comprehensive Investigation and Assessment Programs; Project of China Scholarship Council</t>
  </si>
  <si>
    <t>The research was supported by the National Natural Science Foundation of China (21377032, 41406088), Chinese Polar Environment Comprehensive Investigation and Assessment Programs (2016-02-01, 2016-04-01, 2016-04-03), Project of China Scholarship Council (CSC201504180002).</t>
  </si>
  <si>
    <t>10.1016/j.marpolbul.2018.10.045</t>
  </si>
  <si>
    <t>WOS:000453490300060</t>
  </si>
  <si>
    <t>Clucas, GV; Younger, JL; Kao, D; Emmerson, L; Southwell, C; Wienecke, B; Rogers, AD; Bost, CA; Miller, GD; Polito, MJ; Lelliott, P; Handley, J; Crofts, S; Phillips, RA; Dunn, MJ; Miller, KJ; Hart, T</t>
  </si>
  <si>
    <t>Clucas, Gemma V.; Younger, Jane L.; Kao, Damian; Emmerson, Louise; Southwell, Colin; Wienecke, Barbara; Rogers, Alex D.; Bost, Charles-Andre; Miller, Gary D.; Polito, Michael J.; Lelliott, Patrick; Handley, Jonathan; Crofts, Sarah; Phillips, Richard A.; Dunn, Michael J.; Miller, Karen J.; Hart, Tom</t>
  </si>
  <si>
    <t>Comparative population genomics reveals key barriers to dispersal in Southern Ocean penguins</t>
  </si>
  <si>
    <t>Aptenodytes; genetic differentiation; Polar Front; population genomics; Pygoscelis; RAD-Seq</t>
  </si>
  <si>
    <t>KING PENGUINS; EMPEROR PENGUIN; GENTOO PENGUIN; GENETIC DIFFERENTIATION; ADELIE PENGUINS; F-ST; CLIMATE; CONSERVATION; COLONIES; PROGRAM</t>
  </si>
  <si>
    <t>The mechanisms that determine patterns of species dispersal are important factors in the production and maintenance of biodiversity. Understanding these mechanisms helps to forecast the responses of species to environmental change. Here, we used a comparative framework and genomewide data obtained through RAD-Seq to compare the patterns of connectivity among breeding colonies for five penguin species with shared ancestry, overlapping distributions and differing ecological niches, allowing an examination of the intrinsic and extrinsic barriers governing dispersal patterns. Our findings show that at-sea range and oceanography underlie patterns of dispersal in these penguins. The pelagic niche of emperor (Aptenodytes forsteri), king (A. patagonicus), Adelie (Pygoscelis adeliae) and chinstrap (P. antarctica) penguins facilitates gene flow over thousands of kilometres. In contrast, the coastal niche of gentoo penguins (P. papua) limits dispersal, resulting in population divergences. Oceanographic fronts also act as dispersal barriers to some extent. We recommend that forecasts of extinction risk incorporate dispersal and that management units are defined by at-sea range and oceanography in species lacking genetic data.</t>
  </si>
  <si>
    <t>[Clucas, Gemma V.; Younger, Jane L.; Kao, Damian; Rogers, Alex D.; Hart, Tom] Univ Oxford, Dept Zool, Oxford, England; [Clucas, Gemma V.] Univ Southampton, Ocean &amp; Earth Sci, Southampton, Hants, England; [Clucas, Gemma V.] Univ New Hampshire, Nat Resources &amp; Environm, Durham, NH 03824 USA; [Younger, Jane L.] Loyola Univ, Dept Biol, Chicago, IL 60626 USA; [Emmerson, Louise; Southwell, Colin; Wienecke, Barbara] Australian Antarctic Div, Kingston, Tas, Australia; [Bost, Charles-Andre] CNRS, UMR 7372, Ctr Etud Biol Chize, Villiers En Bois, France; [Miller, Gary D.] Univ Western Australia, Div Pathol &amp; Lab Med, Crawley, WA, Australia; [Miller, Gary D.] Univ Tasmania, Inst Marine &amp; Antarctic Studies, Hobart, Tas, Australia; [Polito, Michael J.] Louisiana State Univ, Dept Oceanog &amp; Coastal Sci, Baton Rouge, LA 70803 USA; [Lelliott, Patrick] Macquarie Univ, Australian Sch Adv Med, Sydney, NSW, Australia; [Handley, Jonathan] Nelson Mandela Metropolitan Univ, Dept Zool, Percy Fitzpatrick Inst African Ornithol, DST NRF Ctr Excellence, Port Elizabeth, South Africa; [Handley, Jonathan] Inst Coastal &amp; Marine Res, Marine Apex Predator Res Unit, Port Elizabeth, South Africa; [Crofts, Sarah] Falklands Conservat, Stanley, Falkland Island; [Phillips, Richard A.; Dunn, Michael J.] British Antarctic Survey, Nat Environm Res Council, Cambridge, England; [Miller, Karen J.] Univ Western Australia, Indian Ocean Marine Res Ctr, Australian Inst Marine Sci, M096, Crawley, WA, Australia</t>
  </si>
  <si>
    <t>University of Oxford; University of Southampton; University System Of New Hampshire; University of New Hampshire; Loyola University Chicago; Australian Antarctic Division; Centre National de la Recherche Scientifique (CNRS); CNRS - Institute of Ecology &amp; Environment (INEE); University of Western Australia; University of Tasmania; Louisiana State University System; Louisiana State University; Macquarie University; Nelson Mandela University; National Research Foundation - South Africa; UK Research &amp; Innovation (UKRI); Natural Environment Research Council (NERC); NERC British Antarctic Survey; University of Western Australia; Australian Institute of Marine Science</t>
  </si>
  <si>
    <t>Clucas, GV; Younger, JL (corresponding author), Univ Oxford, Dept Zool, Oxford, England.</t>
  </si>
  <si>
    <t>gemma.clucas@unh.edu; jyounger@luc.edu</t>
  </si>
  <si>
    <t>Polito, Michael/G-9118-2012; Clucas, Gemma/ABF-9073-2021; Miller, Karen/V-4098-2019</t>
  </si>
  <si>
    <t>Polito, Michael/0000-0001-8639-4431; Rogers, Alex David/0000-0002-4864-2980; Younger, Jane/0000-0001-5974-7350; Handley, Jonathan/0000-0001-6468-338X; Lelliott, Patrick/0000-0002-4666-1846; Clucas, Gemma/0000-0002-4305-1719; Dunn, Michael/0000-0003-4633-5466</t>
  </si>
  <si>
    <t>Falkland Islands Environmental Planning Department; US National Science Foundation [ANT-0739575]; Australian Antarctic Division [4087, 4184]; National Research Foundation of South Africa; Rufford Foundation; John Cheek Trust; Natural Environment Research Council [1272500]; Endeavour Research Fellowship; Holsworth Wildlife Research Endowment; Sea World Research and Rescue Foundation; Institut Polaire Francais Paul Emile Victor; Quark Expeditions; Nelson Mandela Metropolitan University; Darwin Initiative [DPLUS 002]; BBSRC [BBS/E/D/20310000] Funding Source: UKRI; MRC [MR/K001744/1] Funding Source: UKRI; NERC [NBAF010003, bas0100035, NBAF010001] Funding Source: UKRI</t>
  </si>
  <si>
    <t>Falkland Islands Environmental Planning Department; US National Science Foundation(National Science Foundation (NSF)); Australian Antarctic Division; National Research Foundation of South Africa(National Research Foundation - South Africa); Rufford Foundation; John Cheek Trust; Natural Environment Research Council(UK Research &amp; Innovation (UKRI)Natural Environment Research Council (NERC)); Endeavour Research Fellowship; Holsworth Wildlife Research Endowment; Sea World Research and Rescue Foundation; Institut Polaire Francais Paul Emile Victor; Quark Expeditions; Nelson Mandela Metropolitan University; Darwin Initiative; BBSRC(UK Research &amp; Innovation (UKRI)Biotechnology and Biological Sciences Research Council (BBSRC)); MRC(UK Research &amp; Innovation (UKRI)Medical Research Council UK (MRC)); NERC(UK Research &amp; Innovation (UKRI)Natural Environment Research Council (NERC))</t>
  </si>
  <si>
    <t>Falkland Islands Environmental Planning Department; US National Science Foundation, Grant/Award Number: ANT-0739575; Australian Antarctic Division, Grant/Award Number: AAS #4087 and AAS #4184; National Research Foundation of South Africa; Rufford Foundation; John Cheek Trust; Natural Environment Research Council, Grant/Award Number: PhD studentship 1272500; Endeavour Research Fellowship; Holsworth Wildlife Research Endowment; Sea World Research and Rescue Foundation; Institut Polaire Francais Paul Emile Victor; Quark Expeditions; Nelson Mandela Metropolitan University; Darwin Initiative, Grant/Award Number: DPLUS 002</t>
  </si>
  <si>
    <t>10.1111/mec.14896</t>
  </si>
  <si>
    <t>HF1AS</t>
  </si>
  <si>
    <t>WOS:000453898000003</t>
  </si>
  <si>
    <t>Near, TJ; MacGuigan, DJ; Parker, E; Struthers, CD; Jones, CD; Dornburg, A</t>
  </si>
  <si>
    <t>Near, Thomas J.; MacGuigan, Daniel J.; Parker, Elyse; Struthers, Carl D.; Jones, Christopher D.; Dornburg, Alex</t>
  </si>
  <si>
    <t>Phylogenetic analysis of Antarctic notothenioids illuminates the utility of RADseq for resolving Cenozoic adaptive radiations</t>
  </si>
  <si>
    <t>Notothenioidei; Phylogenomics; Phylogenetic informativeness; Signal noise; Icefishes</t>
  </si>
  <si>
    <t>NUCLEAR GENE-SEQUENCES; PLEURAGRAMMA-ANTARCTICUM; MITOCHONDRIAL PHYLOGENY; CIRCULATING HEMOGLOBIN; MOLECULAR EVOLUTION; PERCOMORPH FISHES; SISTER LINEAGE; CLIMATE-CHANGE; TELEOSTEI; PERCIFORMES</t>
  </si>
  <si>
    <t>Notothenioids are a Glade of similar to 120 species of marine fishes distributed in extreme southern hemisphere temperate near-shore habitats and in the Southern Ocean surrounding Antarctica. Over the past 25 years, molecular and morphological approaches have redefined hypotheses of relationships among notothenioid lineages as well as their relationships among major lineages of percomorph teleosts. These phylogenies provide a basis for investigation of mechanisms of evolutionary diversification within the Glade and have enhanced our understanding of the notothenioid adaptive radiation. Despite extensive efforts, there remain several questions concerning the phylogeny of notothenioids. In this study, we deploy DNA sequences of similar to 100,000 loci obtained using RADseq to investigate the phylogenetic relationships of notothenioids and to assess the utility of RADseq loci for lineages that exhibit divergence times ranging from the Paleogene to the Quaternary. The notothenioid phylogenies inferred from the RADseq loci provide unparalleled resolution and node support for several long-standing problems including, (1) relationships among species of Trematomus, (2) resolution of Indonotothenia cyanobrancha as the sister lineage of Trematomus, (3) the deep paraphyly of Nototheniidae, (4) the paraphyly of Lepidonotothen s.1., (5) paraphyly of Artedidraco, and 6) the monophyly of the Bathydraconidae. Assessment of site rates demonstrates that RADseq loci are similar to mtDNA protein coding genes and exhibit peak phylogenetic informativeness at the time interval during which the major Antarctic notothenioid lineages originated and diversified. In addition to providing a well-resolved phylogenetic hypothesis for notothenioids, our analyses quantify the predicted utility of RADseq loci for Cenozoic phylogenetic inferences.</t>
  </si>
  <si>
    <t>[Near, Thomas J.; MacGuigan, Daniel J.; Parker, Elyse] Yale Univ, Dept Ecol &amp; Evolutionary Biol, POB 208106, New Haven, CT 06520 USA; [Near, Thomas J.] Yale Univ, Peabody Museum Nat Hist, New Haven, CT 06520 USA; [Struthers, Carl D.] Museum New Zealand Papa Tongarewa, Wellington, New Zealand; [Jones, Christopher D.] NOAA, Antarctic Ecosyst Res Div, Southwest Fisheries Sci Ctr, La Jolla, CA 92037 USA; [Dornburg, Alex] North Carolina Museum Nat Sci, Raleigh, NC 27601 USA</t>
  </si>
  <si>
    <t>Yale University; Yale University; National Oceanic Atmospheric Admin (NOAA) - USA</t>
  </si>
  <si>
    <t>Near, TJ (corresponding author), Yale Univ, Dept Ecol &amp; Evolutionary Biol, POB 208106, New Haven, CT 06520 USA.</t>
  </si>
  <si>
    <t>thomas.near@yale.edu</t>
  </si>
  <si>
    <t>Near, Thomas J./K-1204-2012; Dornburg, Alex/CAF-1206-2022</t>
  </si>
  <si>
    <t>Near, Thomas J./0000-0002-7398-6670; MacGuigan, Daniel/0000-0001-5930-5931; Struthers, Carl David/0000-0002-8224-0336</t>
  </si>
  <si>
    <t>NZ National Institute of Water and Atmospheric Research Ltd; Bingham Oceanographic fund of the Peabody Museum of Natural History; Yale University; United States National Science Foundation [ANT-0839007]</t>
  </si>
  <si>
    <t>NZ National Institute of Water and Atmospheric Research Ltd; Bingham Oceanographic fund of the Peabody Museum of Natural History; Yale University; United States National Science Foundation(National Science Foundation (NSF))</t>
  </si>
  <si>
    <t>Field and laboratory support was provided by W. Brooks, H. W. Detrich, J. Kendrick, K. L. Kuhn, K.-H. Kock, A. Lamb, J. A. Moore, and J. Pennington, G. Watkins-Colwell, K. Zapfe. P. Brickle (South Atlantic Environmental Research Institute, Falkland Islands), A. L. DeVries and C.-H. C. Cheng (University of Illinois, USA), D. A. Fernandez (Centro Austral de Investigaciones Cientfficas, Argentina), and A. Dettai and G. Lecointre (Museum National d'Histoire Naturelle, France) provided critical specimens. Fieldwork was facilitated through the United States Antarctic Marine Living Resources Program and the officers and crew of the RV Yuzhmorgeologiya, and the 2004 ICEFISH cruise aboard the RVIB Nathaniel B. Palmer. Fresh color images of notothenioids used in Figs. 1 and 2 were taken by P. Marriott, P. McMillan (NIWA), and R. McPhee (Te Papa). Specimens and data collected by and made available through the New Zealand International Polar Year-Census of Antarctic Marine Life Project are gratefully acknowledged. Te Papa collection development fund AP 2879 Ross Sea Census of Antarctic Marine Life International Polar Year (CAML IPY) Voyage. This work was supported (in part) by the NZ National Institute of Water and Atmospheric Research Ltd Core Funded Coasts &amp; Oceans Programme 2: Biological Resources subcontract for fundamental knowledge of marine fish biodiversity with the Museum of New Zealand Te Papa Tongarewa. This research was supported by the Bingham Oceanographic fund of the Peabody Museum of Natural History, Yale University and the United States National Science Foundation ANT-0839007. Two reviewers provided helpful comments on the manuscript. All data and analysis files have been archived on Zenodo (DOI 10.5281/zenodo.1406314).</t>
  </si>
  <si>
    <t>10.1016/j.ympev.2018.09.001</t>
  </si>
  <si>
    <t>GV3UQ</t>
  </si>
  <si>
    <t>WOS:000446023100024</t>
  </si>
  <si>
    <t>Reeves, SE; Kriegisch, N; Johnson, CR; Ling, SD</t>
  </si>
  <si>
    <t>Reeves, S. E.; Kriegisch, N.; Johnson, C. R.; Ling, S. D.</t>
  </si>
  <si>
    <t>Reduced resistance to sediment-trapping turfs with decline of native kelp and establishment of an exotic kelp</t>
  </si>
  <si>
    <t>OECOLOGIA</t>
  </si>
  <si>
    <t>Introduced seaweed; Herbivory; Sea urchin; Reef degradation; Novel alternative states</t>
  </si>
  <si>
    <t>UNDARIA-PINNATIFIDA; FORMING ALGAE; SUBTIDAL FORESTS; HABITAT; CANOPY; COMPETITION; COMMUNITY; ECOLOGY; DISTURBANCE; PHAEOPHYTA</t>
  </si>
  <si>
    <t>Understanding the strength and type of interactions among species is vital to anticipate how ecosystems will respond to ongoing anthropogenic stressors. Here, we examine the ecological function of native (Ecklonia radiata) and invasive (Undaria pinnatifida) kelps in resisting shifts to sediment-trapping turf on reefs within the highly urbanized temperate Port Phillip Bay (PPB), Australia. Short-term (30days) and long-term (232days) manipulations demonstrated that kelp laminae can clear and maintain the substratum free of turfs, while conversely, removal of kelp leads to a proliferation of turfs. Analyses looking at the relationship between total length of E. radiata and U. pinnatifida and the area cleared of turf algae showed that the clearing effect of E. radiata over a year was greater than that of U. pinnatifida due to the annual die-back of the invasive. A natural experiment (608days) identified that ongoing sea urchin (Heliocidaris erythrogramma) grazing led to native kelp bed decline, facilitating turf dominance. Even though U. pinnatifida establishes once native beds are disturbed, its ecological function in clearing turf is weaker than E. radiata, given its annual habit. In PPB, turfs represent the more persistent and problematic algal group and are likely changing the structure, function, and energy flows of shallow temperate reefs in this urbanised embayment.</t>
  </si>
  <si>
    <t>[Reeves, S. E.; Kriegisch, N.; Johnson, C. R.; Ling, S. D.] Univ Tasmania, Inst Marine &amp; Antarctic Studies, 20 Castray Esplanade, Hobart, Tas 7004, Australia</t>
  </si>
  <si>
    <t>Reeves, SE (corresponding author), Univ Tasmania, Inst Marine &amp; Antarctic Studies, 20 Castray Esplanade, Hobart, Tas 7004, Australia.</t>
  </si>
  <si>
    <t>simon.reeves@TNC.org</t>
  </si>
  <si>
    <t>Reeves, Simon E/AAJ-3379-2021; Ling, Scott/J-7161-2014</t>
  </si>
  <si>
    <t>Reeves, Simon/0000-0001-6715-466X; Ling, Scott/0000-0002-5544-8174</t>
  </si>
  <si>
    <t>Victorian State Government, Department of Environment Land Water and Planning, Seagrass and Reefs program; Holsworth Wildlife Research Endowment-Equity Trustees Charitable Foundation; Australian Postgraduate Awards</t>
  </si>
  <si>
    <t>Victorian State Government, Department of Environment Land Water and Planning, Seagrass and Reefs program; Holsworth Wildlife Research Endowment-Equity Trustees Charitable Foundation; Australian Postgraduate Awards(Australian Government)</t>
  </si>
  <si>
    <t>We thank S. Swearer for logistical support and M. Reeves, J. van Oosterom, D. Chamberlain, E. Fobert, and L. Barrett for invaluable assistance with fieldwork. This study was supported by a Victorian State Government, Department of Environment Land Water and Planning, Seagrass and Reefs program grant to CRJ and S. Swearer; a Holsworth Wildlife Research Endowment-Equity Trustees Charitable Foundation Grant to SER and SDL; and an Australian Postgraduate Awards to SER and NK. This manuscript has been greatly improved by the constructive review of two anonymous reviewers and editor D. Reed.</t>
  </si>
  <si>
    <t>0029-8549</t>
  </si>
  <si>
    <t>1432-1939</t>
  </si>
  <si>
    <t>Oecologia</t>
  </si>
  <si>
    <t>10.1007/s00442-018-4275-3</t>
  </si>
  <si>
    <t>HA7OC</t>
  </si>
  <si>
    <t>WOS:000450471000025</t>
  </si>
  <si>
    <t>Rümmler, MC; Mustafa, O; Maercker, J; Peter, HU; Esefeld, J</t>
  </si>
  <si>
    <t>Ruemmler, Marie-Charlott; Mustafa, Osama; Maercker, Jakob; Peter, Hans-Ulrich; Esefeld, Jan</t>
  </si>
  <si>
    <t>Sensitivity of Adelie and Gentoo penguins to various flight activities of a micro UAV</t>
  </si>
  <si>
    <t>Adelie penguin; Gentoo penguin; Remotely piloted aircraft; Unmanned aerial vehicle; Disturbance; Behavioural analysis</t>
  </si>
  <si>
    <t>HUMAN DISTURBANCE; BEHAVIOR; SYSTEMS; DRONES; BIRDS; SHOW</t>
  </si>
  <si>
    <t>A recent increase in the use of unmanned aerial vehicles (UAVs)also known as remotely piloted aircraft (RPA)in the Antarctic in private, commercial and scientific sectors suggests that operational guidelines are urgently needed. One of the factors inhibiting adoption of such guidelines is the lack of knowledge about the impact of UAVs on wildlife. During the austral summer field season of 2014/15, data were gathered on the behavioural reactions to UAVs of Gentoo (Pygoscelis papua) and Adelie penguins (Pygoscelis adeliae), both resident breeding species on Ardley Island, King George Island, South Shetland Islands. A series of overflights at different altitudes above the nesting penguins were conducted with a small octocopter UAV, and their behaviour was recorded by video. Penguin behaviour altered as a result of the UAV flights, and behavioural reactions were more pronounced when the UAV was flown at lower altitudes. In Adelie penguins, behavioural reactions caused by the UAV were evident at the highest tested altitude of 50m, while in Gentoo penguins reactions were evident from 30m downwards. For both species, the reactions increased markedly when the UAV was flown at low altitudes of 10-20m. Gentoo penguins showed significant reactions when the UAV was launched at distances closer than 20m. There was some evidence of habituation to the UAV at some altitudes for horizontal flights, but no evidence of habituation in vertical flights.</t>
  </si>
  <si>
    <t>[Ruemmler, Marie-Charlott; Peter, Hans-Ulrich; Esefeld, Jan] Friedrich Schiller Univ Jena, Inst Ecol &amp; Evolut, Dornburger Str 159, D-07743 Jena, Germany; [Ruemmler, Marie-Charlott; Mustafa, Osama; Maercker, Jakob] Thuringian Inst Sustainabil &amp; Climate Protect ThI, Leutragraben 1, D-07743 Jena, Germany</t>
  </si>
  <si>
    <t>Friedrich Schiller University of Jena</t>
  </si>
  <si>
    <t>Rümmler, MC (corresponding author), Friedrich Schiller Univ Jena, Inst Ecol &amp; Evolut, Dornburger Str 159, D-07743 Jena, Germany.;Rümmler, MC (corresponding author), Thuringian Inst Sustainabil &amp; Climate Protect ThI, Leutragraben 1, D-07743 Jena, Germany.</t>
  </si>
  <si>
    <t>marie-charlott.ruemmler@uni-jena.de</t>
  </si>
  <si>
    <t>Rummler, Marie-Charlott/0000-0002-3559-9397; Mustafa, Osama/0000-0002-1548-0647</t>
  </si>
  <si>
    <t>Federal Ministry for the Environment, Nature Conservation, Building and Nuclear Safety [UFO-PLAN 3713 12 101]</t>
  </si>
  <si>
    <t>Federal Ministry for the Environment, Nature Conservation, Building and Nuclear Safety</t>
  </si>
  <si>
    <t>The study was funded by the Federal Ministry for the Environment, Nature Conservation, Building and Nuclear Safety (UFO-PLAN 3713 12 101).</t>
  </si>
  <si>
    <t>10.1007/s00300-018-2385-3</t>
  </si>
  <si>
    <t>WOS:000452376500008</t>
  </si>
  <si>
    <t>Rodriguez, JM; Passo, A; Chiapella, JO</t>
  </si>
  <si>
    <t>Rodriguez, J. M.; Passo, A.; Chiapella, J. O.</t>
  </si>
  <si>
    <t>Lichen species assemblage gradient in South Shetlands Islands, Antarctica: relationship to deglaciation and microsite conditions</t>
  </si>
  <si>
    <t>Antarctica; Glacier retreat; Lichens; Ecology; Microsite variables; Terrestrial communities</t>
  </si>
  <si>
    <t>KING-GEORGE-ISLAND; PENINSULA; VEGETATION; COLONIZATION; PATTERNS; STATION; GROWTH; PLANT; FLORA; LAND</t>
  </si>
  <si>
    <t>The glacier retreat in the Antarctic Peninsula is opening new ice-free areas and providing an excellent opportunity to study successional processes. Antarctic terrestrial ecosystems have the particular characteristic of being dominated almost exclusively by lichens and mosses. The aim of the present study was to analyze the diversity, cover and composition of a lichen community on a deglaciated gradient on Potter Peninsula, King George Island (maritime Antarctica), and to investigate how microsite variables influence these patterns. Total lichen cover, species richness, and the frequency and cover of lichens species were measured in five 50x50cm grids in 24 sites covering the whole Peninsula from the coast to the glacier front. Microsite conditions were also registered: slope, aspect, and proportion of different substrates (rocks, soil or bryophytes). We recorded a highly diverse and complex lichen community arranged in three assemblages of species. The lichen communities showed clear variations along the studied gradient, related to the distance to the glacier, the slope, the type of substrate, and the interaction between them. We consider that the patterns of these Antarctic lichen communities are dynamic and very heterogeneous, since they depend on macroclimatic variables but there is also a strong influence of microsite factors.</t>
  </si>
  <si>
    <t>[Rodriguez, J. M.] UNC, FCEFyN, CERNAR, Inst Invest Biol &amp; Tecnol,CONICET, Ave Velez Sarsfield, RA-1610 Cordoba, Argentina; [Passo, A.] Univ Nacl Comahue, CONICET, Inst Invest Biodiversidad &amp; Medio Ambiente, 8400 Quintral, RA-1250 San Carlos De Bariloche, Rio Negro, Argentina; [Chiapella, J. O.] Univ Nacl Cordoba, CONICET, Inst Multidisciplinario Biol Vegetal IMBIV, Ave Velez Sarsfield, RA-1610 Cordoba, Argentina; [Chiapella, J. O.] Univ Vienna, Fac Life Sci, Dept Bot &amp; Biodivers Res, Rennweg 14, A-1020 Vienna, Austria</t>
  </si>
  <si>
    <t>Consejo Nacional de Investigaciones Cientificas y Tecnicas (CONICET); National University of Cordoba; Universidad Nacional del Comahue; Consejo Nacional de Investigaciones Cientificas y Tecnicas (CONICET); National University of Cordoba; Consejo Nacional de Investigaciones Cientificas y Tecnicas (CONICET); University of Vienna</t>
  </si>
  <si>
    <t>Rodriguez, JM (corresponding author), UNC, FCEFyN, CERNAR, Inst Invest Biol &amp; Tecnol,CONICET, Ave Velez Sarsfield, RA-1610 Cordoba, Argentina.</t>
  </si>
  <si>
    <t>juan.rodriguez@unc.edu.ar</t>
  </si>
  <si>
    <t>Chiapella, Jorge O./AAI-2433-2021</t>
  </si>
  <si>
    <t>Chiapella, Jorge O./0000-0003-1686-1211</t>
  </si>
  <si>
    <t>Consejo Nacional de Investigaciones Cientificas y Tecnicas (CONICET) from Argentina; ANPCyT-DNA [PICTO 2010-0095]</t>
  </si>
  <si>
    <t>Consejo Nacional de Investigaciones Cientificas y Tecnicas (CONICET) from Argentina(Consejo Nacional de Investigaciones Cientificas y Tecnicas (CONICET)); ANPCyT-DNA</t>
  </si>
  <si>
    <t>We thank the staff of the Carlini (ex. Jubany) station, the Direccion Nacional del Antartico (DNA) and the Instituto Antartico Argentino (IAA) for providing logistics support during the the fieldwork. The authors would like to thank three anonymous reviewers and the the editor for their contributions to improving the manuscript. The authors are supported by the Consejo Nacional de Investigaciones Cientificas y Tecnicas (CONICET) from Argentina. This work was funded by Project PICTO 2010-0095 (ANPCyT-DNA) to the third author.</t>
  </si>
  <si>
    <t>10.1007/s00300-018-2388-0</t>
  </si>
  <si>
    <t>WOS:000452376500011</t>
  </si>
  <si>
    <t>Khare, N; Mishra, OP; Taguchi, S</t>
  </si>
  <si>
    <t>Khare, N.; Mishra, O. P.; Taguchi, Satoru</t>
  </si>
  <si>
    <t>Recent advances in climate science of polar region To commemorate the contributions of late Dr. S. Z. Qasim, a pioneering doyen of the Indian polar programme</t>
  </si>
  <si>
    <t>Polar region; Climate science; Geophysical and geological observations; Arctic and Antarctic</t>
  </si>
  <si>
    <t>The most impressive initiative for polar scientific research in India is conspicuously evident from the execution of meticulously designed polar research programmes embedded with diverse style of their research applicability, which was successfully implemented in order to usher a new era of polar research in India by late Dr. S. Z. Qasim, a pioneering doyen of the Indian polar programme. His tireless contributions to polar science programme opened up new avenues to make significant advances in geophysical and geological observational network of the polar regions (Arctic and Antarctic) that helped achieve scientific breakthrough involving global issues and their impacts to climate science. In order to commemorate his pertinent contributions in polar scientific research, we organize and publish this special issue of Polar Science on Recent advances in climate science of polar region.</t>
  </si>
  <si>
    <t>[Khare, N.] Prithvi Bhawan, Minist Earth Sci, Lodhi Rd, New Delhi 110003, India; [Mishra, O. P.] Natl Ctr Seismol, Minist Earth Sci, EREC Bldg Room,1&amp;2,IMD Campus,Lodhi Rd, New Delhi 110003, India; [Taguchi, Satoru] Grad Univ Adv Studies SOKENDAI, Sch Multidisciplinary Sci, Dept Polar Sci, Natl Inst Polar Res, 10-3 Midori Cho, Tachikawa, Tokyo, Japan</t>
  </si>
  <si>
    <t>Ministry of Earth Sciences (MoES) - India; Ministry of Earth Sciences (MoES) - India; National Centre for Seismology (NCS); India Meteorological Department (IMD); Research Organization of Information &amp; Systems (ROIS); National Institute of Polar Research (NIPR) - Japan; Graduate University for Advanced Studies - Japan</t>
  </si>
  <si>
    <t>Mishra, OP (corresponding author), Natl Ctr Seismol, Minist Earth Sci, EREC Bldg Room,1&amp;2,IMD Campus,Lodhi Rd, New Delhi 110003, India.</t>
  </si>
  <si>
    <t>opmishra2010.saarc@gmail.com</t>
  </si>
  <si>
    <t>Mishra, O. P./AAH-4327-2019</t>
  </si>
  <si>
    <t>10.1016/j.polar.2018.10.006</t>
  </si>
  <si>
    <t>WOS:000452591600002</t>
  </si>
  <si>
    <t>Huang, Z; Schlacher, TA; Nichol, S; Williams, A; Althaus, F; Kloser, R</t>
  </si>
  <si>
    <t>Huang, Zhi; Schlacher, Thomas A.; Nichol, Scott; Williams, Alan; Althaus, Franziska; Kloser, Rudy</t>
  </si>
  <si>
    <t>A conceptual surrogacy framework to evaluate the habitat potential of submarine canyons</t>
  </si>
  <si>
    <t>PROGRESS IN OCEANOGRAPHY</t>
  </si>
  <si>
    <t>Habitat diversity; Fauna environmental association; Niches; Continental margin; Predictions; Spatial planning</t>
  </si>
  <si>
    <t>CONTINENTAL-MARGIN; NAZARE CANYON; SEDIMENT TRANSPORT; SPECIES RICHNESS; BIODIVERSITY; ASSEMBLAGES; DIVERSITY; SHELF; PRODUCTIVITY; POPULATIONS</t>
  </si>
  <si>
    <t>The seascape of the vast Australian continental margin is characterised by numerous submarine canyons that represent an equally broad range of geomorphic and oceanographic heterogeneity. Theoretically, this heterogeneity translates into habitats that may vary widely in their ecological characteristics. Here we describe the methodology to develop a framework to broadly derive estimates of habitat potential for pelagic and epibenthic species (including demersal fishes), and benthic infauna in all of Australia's known submarine canyons. Our analysis shows that the high geomorphic and oceanographic diversity of Australian submarine canyons creates a multitude of potential habitat types. In general, it appears that canyons may be particularly important habitats for benthic species. Canyons that incise the shelf tend to score higher in habitat potential than those confined to the slope. Canyons with particularly high habitat potential are located mainly offshore of the Great Barrier Reef and the NSW coast, on the eastern margin of Tasmania and Bass Strait, and on the southern Australian margin. Many of these canyons have complex bottom topography, are likely to have high primary and secondary production, and have less intense disturbance to sediment. The framework presented here can be applied - once refined and comprehensively validated with ecological data - to help managers make informed conservation decisions, especially for high value canyons.</t>
  </si>
  <si>
    <t>[Huang, Zhi; Nichol, Scott] Geosci Australia, Natl Earth &amp; Marine Observat Branch, Cnr Jerrabomberra Ave &amp; Hindmarsh Dr, Symonston, ACT 2609, Australia; [Schlacher, Thomas A.] Univ Sunshine Coast, Sch Sci &amp; Engn, Maroochydore 4558, Australia; [Williams, Alan; Althaus, Franziska; Kloser, Rudy] CSIRO Oceans &amp; Atmosphere Flagship, Castray Esplanade, Hobart, Tas 7001, Australia</t>
  </si>
  <si>
    <t>Geoscience Australia; University of the Sunshine Coast; Commonwealth Scientific &amp; Industrial Research Organisation (CSIRO)</t>
  </si>
  <si>
    <t>Huang, Z (corresponding author), Geosci Australia, Natl Earth &amp; Marine Observat Branch, Cnr Jerrabomberra Ave &amp; Hindmarsh Dr, Symonston, ACT 2609, Australia.</t>
  </si>
  <si>
    <t>Zhi.Huang@ga.gov.au</t>
  </si>
  <si>
    <t>Kloser, Rudy J/A-1464-2012; Huang, Zhi/I-7367-2019; Schlacher, Thomas/J-4614-2016; Althaus, Franziska/E-4660-2017</t>
  </si>
  <si>
    <t>Huang, Zhi/0000-0003-1760-062X; Kloser, Rudy/0000-0002-8620-536X; Schlacher, Thomas/0000-0003-2184-9217; Althaus, Franziska/0000-0002-5336-4612</t>
  </si>
  <si>
    <t>Australian Government's National Environmental Research Program (NERP); CSIRO Oceans and Atmosphere Flagship</t>
  </si>
  <si>
    <t>Australian Government's National Environmental Research Program (NERP)(Australian Government); CSIRO Oceans and Atmosphere Flagship</t>
  </si>
  <si>
    <t>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at the University of Tasmania, CSIRO, Geoscience Australia, Australian Institute of Marine Science, Museum Victoria, Charles Darwin University and the University of Western Australia. National Marine Facility is supported by the CSIRO Oceans and Atmosphere Flagship. We would like to thank Dr Rachel Przeslawski of Geoscience Australia and Dr Nic Bax of CSIRO for their valuable comments. The manuscript has been significantly improved by two independent peer-reviews. This paper is published with permission of the Chief Executive Officer, Geoscience Australia.</t>
  </si>
  <si>
    <t>0079-6611</t>
  </si>
  <si>
    <t>PROG OCEANOGR</t>
  </si>
  <si>
    <t>Prog. Oceanogr.</t>
  </si>
  <si>
    <t>10.1016/j.pocean.2017.11.007</t>
  </si>
  <si>
    <t>HG4TQ</t>
  </si>
  <si>
    <t>WOS:000454968300015</t>
  </si>
  <si>
    <t>Dietze, E; Theuerkauf, M; Bloom, K; Brauer, A; Dörfler, W; Feeser, I; Feurdean, A; Gedminiene, L; Giesecke, T; Jahns, S; Karpinska-Kolaczek, M; Kolaczek, P; Lamentowicz, M; Latalowa, M; Marcisz, K; Obremska, M; Pedziszewska, A; Poska, A; Rehfeld, K; Stancikaite, M; Stivrins, N; Swieta-Musznicka, J; Szal, M; Vassiljev, J; Veski, S; Wacnik, A; Weisbrodt, D; Wiethold, J; Vannière, B; Slowinski, M</t>
  </si>
  <si>
    <t>Dietze, Elisabeth; Theuerkauf, Martin; Bloom, Karolina; Brauer, Achim; Doerfler, Walter; Feeser, Ingo; Feurdean, Angelica; Gedminiene, Laura; Giesecke, Thomas; Jahns, Susanne; Karpinska-Kolaczek, Monika; Kolaczek, Piotr; Lamentowicz, Mariusz; Latalowa, Malgorzata; Marcisz, Katarzyna; Obremska, Milena; Pedziszewska, Anna; Poska, Anneli; Rehfeld, Kira; Stancikaite, Migle; Stivrins, Normunds; Swieta-Musznicka, Joanna; Szal, Marta; Vassiljev, Juri; Veski, Siim; Wacnik, Agnieszka; Weisbrodt, Dawid; Wiethold, Julian; Vanniere, Boris; Slowinski, Michas</t>
  </si>
  <si>
    <t>Holocene fire activity during low-natural flammability periods reveals scale-dependent cultural human-fire relationships in Europe</t>
  </si>
  <si>
    <t>Sedimentary charcoal; Fire; Human impact; Central europe; Land cover; Holocene; Archaeology</t>
  </si>
  <si>
    <t>LAKE-LEVEL CHANGES; LAND-USE CHANGE; CLIMATE-CHANGE; HUMAN IMPACT; HYDROLOGICAL DYNAMICS; CHARCOAL RECORDS; NORTHERN GERMANY; BOREAL FOREST; VEGETATION; POLLEN</t>
  </si>
  <si>
    <t>Fire is a natural component of global biogeochemical cycles and closely related to changes in human land use. Whereas climate-fuel relationships seem to drive both global and subcontinental fire regimes, human-induced fires are prominent mainly on a local scale. Furthermore, the basic assumption that relates humans and fire regimes in terms of population densities, suggesting that few human-induced fires should occur in periods and areas of low population density, is currently debated. Here, we analyze human-fire relationships throughout the Holocene and discuss how and to what extent human driven fires affected the landscape transformation in the Central European Lowlands (CEL). We present sedimentary charcoal composites on three spatial scales and compare them with climate model output and land cover reconstructions from pollen records. Our findings indicate that widespread natural fires only occurred during the early Holocene. Natural conditions (climate and vegetation) limited the extent of wildfires beginning 8500 cal. BP, and diverging subregional charcoal composites suggest that Mesolithic hunter-gatherers maintained a culturally diverse use of fire. Divergence in regional charcoal composites marks the spread of sedentary cultures in the western and eastern CEL The intensification of human land use during the last millennium drove an increase in fire activity to early-Holocene levels across the CEL Hence, humans have significantly affected natural fire regimes beyond the local scale - even in periods of low population densities - depending on diverse cultural land-use strategies. We find that humans have strongly affected land-cover- and biogeochemical cycles since Mesolithic times. (C) 2018 Elsevier Ltd. All rights reserved.</t>
  </si>
  <si>
    <t>[Dietze, Elisabeth; Brauer, Achim] GFZ German Res Ctr Geosci, Sect Climate Dynam &amp; Landscape Evolut 5 2, D-14473 Potsdam, Germany; [Theuerkauf, Martin] Univ Greifswald, Inst Bot &amp; Landscape Ecol, Soldmannstr 15, D-17489 Greifswald, Germany; [Bloom, Karolina] Univ Szczecin, Inst Marine &amp; Coastal Sci, Fac Geosci, Adama Mickiewicza 16, PL-70383 Szczecin, Poland; [Doerfler, Walter; Feeser, Ingo] Univ Kiel, Inst Prehist &amp; Protohist Archaeol, Johanna Mestorf Str 2-6, D-24118 Kiel, Germany; [Feurdean, Angelica] Senckenberg Res Biodivers &amp; Climate Res Ctr, Senckenberganlage 25, D-60325 Frankfurt, Germany; [Gedminiene, Laura; Stancikaite, Migle] Nat Res Ctr, Inst Geol &amp; Geog, Akademijos Str 2, LT-08412 Vilnius, Lithuania; [Giesecke, Thomas] Univ Gottingen, Albrecht von Haller Inst Plant Sci, Dept Palynol &amp; Climate Dynam, Wilhelm Weber Str 2a, D-37073 Gottingen, Germany; [Jahns, Susanne] Heritage Management &amp; Archaeol Museum State Brand, Wunsdorfer Pl 4-5, D-15806 Zossen, Germany; [Karpinska-Kolaczek, Monika] Univ Bialystok, Ctr Study Demog &amp; Econ Struct Preind Cent &amp; Easte, Pl NZS 1, PL-15001 Bialystok, Poland; [Kolaczek, Piotr; Lamentowicz, Mariusz; Marcisz, Katarzyna] Adam Mickiewicz Univ, Fac Geog &amp; Geol Sci, Inst Geoecol &amp; Geoinformat, Dziegielowa 27 &amp; Bogumila Krygowskiego 10, PL-61680 Poznan, Poland; [Latalowa, Malgorzata; Pedziszewska, Anna; Swieta-Musznicka, Joanna] Univ Gdansk, Fac Biol, Dept Plant Ecol, Lab Palaeoecol &amp; Archaeobot, Ul Wita Stwosza 59, PL-80308 Gdansk, Poland; [Obremska, Milena] Poland Acad Sci, Inst Geol Sci, Twarda 51-55, PL-00818 Warsaw, Poland; [Poska, Anneli; Stivrins, Normunds; Vassiljev, Juri; Veski, Siim] Tallinn Univ Technol, Dept Geol, Ehitajate Tee 5, EE-19086 Tallinn, Estonia; [Rehfeld, Kira] British Antarctic Survey, High Cross,Madingley Rd, Cambridge CB3 0ET, England; [Stivrins, Normunds] Univ Latvia, Fac Geog &amp; Earth Sci, Dept Geog, Jelgavas St 1, LV-1004 Riga, Latvia; [Szal, Marta] Univ Bialystok, Inst Biol, Ul Ciolkowskiego 1J, PL-15245 Bialystok, Poland; [Wacnik, Agnieszka] Polish Acad Sci, W Szafer Inst Bot, Lubicz 46, PL-31512 Krakow, Poland; [Weisbrodt, Dawid] Univ Gdansk, Fac Oceanog &amp; Geog, PL-80-952, PL-80952 Gdansk, Poland; [Wiethold, Julian] Lab Archeobot, Inrap, Direct Grand Est, 12 Rue Meric,CS 80005, F-57063 Metz 2, France; [Vanniere, Boris] Univ Bourgogne Franche Comte, CNRS, MSHE C N Ledoux USR 3124, UMR 6249,Chronoenvironm, F-25000 Besancon, France; [Slowinski, Michas] Polish Acad Sci, Inst Geog &amp; Spatial Org, Twarda 51-55, PL-00818 Warsaw, Poland; [Dietze, Elisabeth] Alfred Wegener Inst Helmholtz Ctr Polar &amp; Marine, D-14473 Potsdam, Germany</t>
  </si>
  <si>
    <t>Helmholtz Association; Helmholtz-Center Potsdam GFZ German Research Center for Geosciences; Universitat Greifswald; University of Szczecin; University of Kiel; Nature Research Center - Lithuania; University of Gottingen; University of Bialystok; Adam Mickiewicz University; Fahrenheit Universities; University of Gdansk; Polish Academy of Sciences; Institute of Geological Sciences of the Polish Academy of Sciences; Tallinn University of Technology; UK Research &amp; Innovation (UKRI); Natural Environment Research Council (NERC); NERC British Antarctic Survey; University of Latvia; University of Bialystok; Polish Academy of Sciences; W. Szafer Institute of Botany of the Polish Academy of Sciences; Fahrenheit Universities; University of Gdansk; Centre National de la Recherche Scientifique (CNRS); CNRS - Institute of Ecology &amp; Environment (INEE); Universite de Franche-Comte; Polish Academy of Sciences; Helmholtz Association; Alfred Wegener Institute, Helmholtz Centre for Polar &amp; Marine Research</t>
  </si>
  <si>
    <t>Dietze, E (corresponding author), GFZ German Res Ctr Geosci, Sect Climate Dynam &amp; Landscape Evolut 5 2, D-14473 Potsdam, Germany.;Dietze, E (corresponding author), Alfred Wegener Inst Helmholtz Ctr Polar &amp; Marine, D-14473 Potsdam, Germany.</t>
  </si>
  <si>
    <t>edietze@gfz-potsdam.de</t>
  </si>
  <si>
    <t>Karpińska-Kołaczek, Monika/HMP-0354-2023; Słowiński, Michał/O-8029-2019; Rehfeld, Kira/G-9945-2013; Obremska, Milena/O-2501-2013; Kołaczek, Piotr/HLX-2920-2023; Stivrins, Normunds/H-5661-2019; Dietze, Elisabeth/AAF-4616-2022; Dietze, Elisabeth/AFJ-4450-2022; Lamentowicz, Mariusz/E-8784-2010; Rehfeld, Kira/O-1781-2019; Wacnik, Agnieszka/HSG-9078-2023; IPO, PAGES/JXY-7546-2024; Wiethold, Julian/X-5829-2019; Giesecke, Thomas/N-6395-2019; Poska, Anneli/O-7358-2015; Vanniere, Boris/E-4002-2010; Vassiljev, Juri/J-2597-2018; Veski, Siim/A-9417-2014; Marcisz, Katarzyna/C-4021-2013</t>
  </si>
  <si>
    <t>Karpińska-Kołaczek, Monika/0000-0002-3249-7408; Słowiński, Michał/0000-0002-3011-2682; Rehfeld, Kira/0000-0002-9442-5362; Obremska, Milena/0000-0002-3465-1894; Stivrins, Normunds/0000-0002-1136-0146; Dietze, Elisabeth/0000-0003-4817-8441; Dietze, Elisabeth/0000-0003-4817-8441; Lamentowicz, Mariusz/0000-0003-0429-1530; Rehfeld, Kira/0000-0002-9442-5362; Wiethold, Julian/0000-0001-6092-7009; Giesecke, Thomas/0000-0002-5132-1061; Swieta-Musznicka, Joanna/0000-0002-0720-1628; Pedziszewska, Anna/0000-0001-5711-3338; Kolaczek, Piotr/0000-0003-2552-8269; Brauer, Achim/0000-0002-6655-9451; Stancikaite, Migle/0000-0001-9425-5634; Poska, Anneli/0000-0002-8778-1430; Vanniere, Boris/0000-0002-6779-6053; Wacnik, Agnieszka/0000-0003-1104-0705; Feurdean, Angelica/0000-0002-2497-3005; Vassiljev, Juri/0000-0002-1518-2041; Latalowa, Malgorzata/0000-0001-7594-5146; Veski, Siim/0000-0002-8297-2385; Marcisz, Katarzyna/0000-0003-2655-9729; Gedminiene, Laura/0000-0003-0236-8338</t>
  </si>
  <si>
    <t>Virtual Helmholtz Institute of Integrated Climate and Landscape Evolution Analyses (ICLEA) [VH-VI-415]; Past Global Changes from the US National Science Foundation; Swiss Academy of Sciences; Poland National Science Center [2015/17/13/ST10/03430, 2015/17/B/ST10/01656, NN305 062 240, NN306 061740, NN306 228039, 2PO4G 049 29]; Swiss Contribution to the enlarged European Union [PSPB-013/2010]; Swiss Government Excellence Postdoctoral Scholarship [FIRECO 2016.0310]; University of Guelph [530-L145-D581-17]; Polish Ministry of Science and Higher Education; German Research Foundation (DFG) [RE3994-1/1, FE-1096/4-1]; Research Council of Lithuania [S-MIP-17-133]; Latvian National basic funding [Y5-AZ03-ZF-N-110, ZD2010/AZ03, AAP2016/B041]; Latvian Council of Science project [LZP-2018/1-0171]; Estonian Research Council [IUT1-8]; Scientific Exchange Program from the Swiss Contribution to the New Member States of the European Union (Sciex-NMSch)-SCIEX Scholarship Fund [RE-FIRE 12.286]; W. Szafer Institute of Botany, Polish Academy of Sciences; NERC [bas0100034] Funding Source: UKRI</t>
  </si>
  <si>
    <t>Virtual Helmholtz Institute of Integrated Climate and Landscape Evolution Analyses (ICLEA); Past Global Changes from the US National Science Foundation; Swiss Academy of Sciences; Poland National Science Center; Swiss Contribution to the enlarged European Union; Swiss Government Excellence Postdoctoral Scholarship; University of Guelph; Polish Ministry of Science and Higher Education(Ministry of Science and Higher Education, Poland); German Research Foundation (DFG)(German Research Foundation (DFG)); Research Council of Lithuania(Research Council of Lithuania (LMTLT)); Latvian National basic funding; Latvian Council of Science project(Latvian Ministry of Education and Science); Estonian Research Council(Estonian Research Council); Scientific Exchange Program from the Swiss Contribution to the New Member States of the European Union (Sciex-NMSch)-SCIEX Scholarship Fund; W. Szafer Institute of Botany, Polish Academy of Sciences; NERC(UK Research &amp; Innovation (UKRI)Natural Environment Research Council (NERC))</t>
  </si>
  <si>
    <t>We thank J. Gadziszewska, S. Lauterbach, M. Wieckowska-Luth for contributing charcoal data and C. Herking for the unpublished pollen record of lake Wustrow. M. Metzger provided the environmental stratification PCs for regional grouping. This is a contribution of the Virtual Helmholtz Institute of Integrated Climate and Landscape Evolution Analyses (ICLEA), grant number VH-VI-415. The study was developed as part of the Global Paleofire Working Group phase 2 (GPWG2) that is supported by Past Global Changes, which received funding from the US National Science Foundation and the Swiss Academy of Sciences. Research was provided by the Poland National Science Center grants no. 2015/17/13/ST10/03430, 2015/17/B/ST10/01656, NN305 062 240, NN306 061740 (by J. Miroslaw-Grabowska), NN306 228039 (by E. Zawisza), 2PO4G 049 29 (M.O.), Swiss grant PSPB-013/2010 through the Swiss Contribution to the enlarged European Union, the Swiss Government Excellence Postdoctoral Scholarship for the year 2016/2017 to K.M., project FIRECO 2016.0310, and the Scientific Exchange Program from the Swiss Contribution to the New Member States of the European Union (Sciex-NMSch)-SCIEX Scholarship Fund, project RE-FIRE 12.286, the statutory funds of the W. Szafer Institute of Botany, Polish Academy of Sciences and of the University of Guelph 530-L145-D581-17; by the Polish Ministry of Science and Higher Education under subsidy granted to the Faculty of Biology and Chemistry University of Bialystok for R&amp;D and related tasks aimed at development of young scientists and PhD students; by the German Research Foundation (DFG) grants RE3994-1/1 and FE-1096/4-1, grants S-MIP-17-133 from the Research Council of Lithuania, Y5-AZ03-ZF-N-110, ZD2010/AZ03, AAP2016/B041 of the Latvian National basic funding and the Latvian Council of Science project No. LZP-2018/1-0171, and the Estonian Research Council grant no. IUT1-8. The text benefited from discussions with N. Drager, and M. Dietze. K. Cook and R. Dennen (rd-editing.com) improved English phrasing.</t>
  </si>
  <si>
    <t>1873-457X</t>
  </si>
  <si>
    <t>10.1016/j.quascirev.2018.10.005</t>
  </si>
  <si>
    <t>Green Accepted, Green Submitted, hybrid</t>
  </si>
  <si>
    <t>WOS:000452934700004</t>
  </si>
  <si>
    <t>Thompson, AF; Stewart, AL; Spence, P; Heywood, KJ</t>
  </si>
  <si>
    <t>Thompson, Andrew F.; Stewart, Andrew L.; Spence, Paul; Heywood, Karen J.</t>
  </si>
  <si>
    <t>The Antarctic Slope Current in a Changing Climate</t>
  </si>
  <si>
    <t>REVIEWS OF GEOPHYSICS</t>
  </si>
  <si>
    <t>Antarctic Slope Current; fronts; transport; eddies; climate; Antarctic ice sheet</t>
  </si>
  <si>
    <t>CIRCUMPOLAR DEEP-WATER; CROSS-SHELF EXCHANGE; SOUTHERN WEDDELL SEA; OCEAN MIXED-LAYER; BOTTOM WATER; CONTINENTAL-SHELF; WIND-DRIVEN; ICE-SHELF; SEASONAL VARIABILITY; LEVEL RISE</t>
  </si>
  <si>
    <t>The Antarctic Slope Current (ASC) is a coherent circulation feature that rings the Antarctic continental shelf and regulates the flow of water toward the Antarctic coastline. The structure and variability of the ASC influences key processes near the Antarctic coastline that have global implications, such as the melting of Antarctic ice shelves and water mass formation that determines the strength of the global overturning circulation. Recent theoretical, modeling, and observational advances have revealed new dynamical properties of the ASC, making it timely to review. Earlier reviews of the ASC focused largely on local classifications of water properties of the ASC's primary front. Here we instead provide a classification of the current's frontal structure based on the dynamical mechanisms that govern both the along-slope and cross-slope circulation; these two modes of circulation are strongly coupled, similar to the Antarctic Circumpolar Current. Highly variable motions, such as dense overflows, tides, and eddies are shown to be critical components of cross-slope and cross-shelf exchange, but understanding of how the distribution and intensity of these processes will evolve in a changing climate remains poor due to observational and modeling limitations. Results linking the ASC to larger modes of climate variability, such as El Nino, show that the ASC is an integral part of global climate. An improved dynamical understanding of the ASC is still needed to accurately model and predict future Antarctic sea ice extent, the stability of the Antarctic ice sheets, and the Southern Ocean's contribution to the global carbon cycle. Plain Language Summary The continent of Antarctica is surrounded by the Southern Ocean, which transports heat poleward toward the Antarctic margins while also influencing atmospheric wind and sea ice patterns. At the very southern boundary of the Southern Ocean, a narrow westward flowing circulation feature, known as the Antarctic Slope Current (ASC), forms where the Antarctic continental slope meets the continental shelf. Here relatively warm waters-a few degrees above the freezing temperature-rise up toward the continental shelf. Despite this circumpolar delivery of heat toward Antarctica, the ability of this warm water to cross the ASC and to access the continental shelf varies greatly due to this current's dynamical properties. In some regions, the ASC forms a strong barrier to heat transport, and shelf waters remain cold and fresh. Elsewhere, the ASC provides a much weaker barrier, and warm water floods the shelf including under floating ice shelves, which can lead to enhanced ice shelf melt rates and ultimately to the destabilization of Antarctica's ice sheets. This review provides a summary of recent observational, modeling, and theoretical efforts to describe the structure and variability of the ASC, and offers insight into how future changes in the ASC may impact global climate.</t>
  </si>
  <si>
    <t>[Thompson, Andrew F.] CALTECH, Environm Sci &amp; Engn, Pasadena, CA 91125 USA; [Stewart, Andrew L.] Univ Calif Los Angeles, Dept Atmospher &amp; Ocean Sci, Los Angeles, CA USA; [Spence, Paul] Univ New South Wales, Climate Change Res Ctr, Sydney, NSW, Australia; [Heywood, Karen J.] Univ East Anglia, Sch Environm Sci, Ctr Ocean &amp; Atmospher Sci, Norwich, Norfolk, England</t>
  </si>
  <si>
    <t>California Institute of Technology; University of California System; University of California Los Angeles; University of New South Wales Sydney; University of East Anglia</t>
  </si>
  <si>
    <t>Thompson, AF (corresponding author), CALTECH, Environm Sci &amp; Engn, Pasadena, CA 91125 USA.</t>
  </si>
  <si>
    <t>andrewt@caltech.edu</t>
  </si>
  <si>
    <t>Spence, Paul/IZE-7366-2023; Heywood, Karen/L-1757-2016</t>
  </si>
  <si>
    <t>Spence, Paul/0000-0001-5156-2204; Heywood, Karen/0000-0001-9859-0026; Stewart, Andrew/0000-0001-5861-4070</t>
  </si>
  <si>
    <t>National Science Foundation [OPP-1246460, OPP-1644172, OCE-1538702, PLR-1543388, OCE-1751386]; Australian Research Council DECRA Fellowship [DE150100223]; European Research Council (ERC) under the European Union's Horizon 2020 research and innovation program [741120]; NERC [NE/H01439X/1, NE/J005703/1] Funding Source: UKRI; European Research Council (ERC) [741120] Funding Source: European Research Council (ERC)</t>
  </si>
  <si>
    <t>National Science Foundation(National Science Foundation (NSF)); Australian Research Council DECRA Fellowship(Australian Research Council); European Research Council (ERC) under the European Union's Horizon 2020 research and innovation program(European Research Council (ERC)); NERC(UK Research &amp; Innovation (UKRI)Natural Environment Research Council (NERC)); European Research Council (ERC)(European Research Council (ERC)Spanish Government)</t>
  </si>
  <si>
    <t>The authors thank V. Pellichero and J.-B. Sallee for providing access to the freshwater and heat flux data used in Figure 5, D. Menemenlis for providing access to the LLC4320 model simulation output that was used to create Figure 6, and S. Schmidtko, T. Armitage, F.S. Paolo, and E. Duran for providing the data used in Figure 7. Insightful comments on an early version of this draft were provided by Mar Flexas, Stephen Griffies, Laurie Padman, and DavidWebb. The authors gratefully acknowledge support from the following sources: A. F. T., National Science Foundation grants, OPP-1246460, OPP-1644172; A. L. S., National Science Foundation grants, OCE-1538702, PLR-1543388, and OCE-1751386; P.S., Australian Research Council DECRA Fellowship DE150100223; K. J. H., European Research Council (ERC) under the European Union's Horizon 2020 research and innovation program, grant 741120.</t>
  </si>
  <si>
    <t>8755-1209</t>
  </si>
  <si>
    <t>1944-9208</t>
  </si>
  <si>
    <t>REV GEOPHYS</t>
  </si>
  <si>
    <t>Rev. Geophys.</t>
  </si>
  <si>
    <t>10.1029/2018RG000624</t>
  </si>
  <si>
    <t>HH9AU</t>
  </si>
  <si>
    <t>WOS:000456026600006</t>
  </si>
  <si>
    <t>Bueno, C; Kandratavicius, N; Venturini, N; Figueira, RCL; Pérez, L; Iglesias, K; Brugnoli, E</t>
  </si>
  <si>
    <t>Bueno, C.; Kandratavicius, N.; Venturini, N.; Figueira, R. C. L.; Perez, L.; Iglesias, K.; Brugnoli, E.</t>
  </si>
  <si>
    <t>An Evaluation of Trace Metal Concentration in Terrestrial and Aquatic Environments near Artigas Antarctic Scientific Base (King George Island, Maritime Antarctica)</t>
  </si>
  <si>
    <t>Human impact; Heavy metals; Sediment; Soil; Antarctica</t>
  </si>
  <si>
    <t>FILDES PENINSULA; ELEMENT CONTAMINATION; ARDLEY ISLAND; SEDIMENTS; SOILS; STATION; LANDFORMS</t>
  </si>
  <si>
    <t>An evaluation of the concentration of metals in terrestrial and aquatic environments near Artigas Antarctic Scientific Base was assessed. Granulometric characteristics, total organic matter content, concentration of metals (Cd, Cr, Cu, Mn, Ni, Pb and Zn) and metalloid (As) in soil, marine and freshwater sediments were determined. The geoaccumulation index (Igeo) was used in order to analyse the contamination magnitude. Samples were collected in summer 2015-2016 covering 31 sampling stations; 15 terrestrial/soil stations (T0-T14) were placed considering the distribution of Artigas Base buildings and the septic tanks' location. Eleven freshwater stations were placed along the three meltwater streams near Artigas Base (S0-S10), and two in Uruguay Lake (L1 and L2). Finally, three marine stations in Maxwell Bay were placed one near the Artigas Base (AB) and two far from it in North Cove (NC1, NC2). Some of the terrestrial stations (T2, T10, T11 and T13) presented the highest concentration of metals and Igeo values, which was associated to anthropic activities. Highest metal levels were related to fuel storage and handling, but also, with sewage release and the presence of old leaded paint residues. These polluted sites were limited to a restricted area of Artigas Base, not affecting surrounding environments. Concentrations of the analysed metals in unpolluted sites had the same order of magnitude recorded in other unpolluted areas of the Fildes Peninsula and other Antarctic regions.</t>
  </si>
  <si>
    <t>[Bueno, C.; Kandratavicius, N.; Venturini, N.; Brugnoli, E.] Univ Republica, Fac Ciencias, Inst Ecol &amp; Ciencias Ambientales, Oceanog &amp; Ecol Marina, Montevideo 4225, Uruguay; [Venturini, N.; Iglesias, K.] Univ Republica, Fac Ciencias, Inst Ecol &amp; Ciencias Ambientales, Lab Biogeoquim Marina, Montevideo 4225, Uruguay; [Figueira, R. C. L.] Univ Sao Paulo, Inst Oceanog, Lab Quim Inorgan Marinha, Praca Oceanog 191, Sao Paulo, SP, Brazil; [Perez, L.] Univ Republ, Ctr Univ Reg Este, Ruta Nacl 9,Intersecc Ruta 15, Rocha, Uruguay</t>
  </si>
  <si>
    <t>Universidad de la Republica, Uruguay; Universidad de la Republica, Uruguay; Universidade de Sao Paulo; Universidad de la Republica, Uruguay</t>
  </si>
  <si>
    <t>Bueno, C (corresponding author), Univ Republica, Fac Ciencias, Inst Ecol &amp; Ciencias Ambientales, Oceanog &amp; Ecol Marina, Montevideo 4225, Uruguay.</t>
  </si>
  <si>
    <t>cbueno@fcien.edu.uy</t>
  </si>
  <si>
    <t>CSIC (Comision Sectorial de Investigacion Cientifica, Universidad de la Republica); Uruguayan Antarctic Institute (IAU); SNI-ANII (Agencia Nacional de Investigacion e Innovacion); Department of Scientific Coordination of the IAU</t>
  </si>
  <si>
    <t>The authors would like to thank CSIC (Comision Sectorial de Investigacion Cientifica, Universidad de la Republica) and the Uruguayan Antarctic Institute (IAU) for their support. SNI-ANII (Agencia Nacional de Investigacion e Innovacion) is acknowledged for its support to N Venturini. Special thanks to the crew 'Antarkos XXXI' of Artigas Antarctic Scientific Base for helping during sampling surveys. Also, the Department of Scientific Coordination of the IAU is very much acknowledged by the authors for supporting the development of this work. This work is part of the Project IAU-P-DCC-15.</t>
  </si>
  <si>
    <t>10.1007/s11270-018-4045-1</t>
  </si>
  <si>
    <t>HC8XN</t>
  </si>
  <si>
    <t>WOS:000452088600001</t>
  </si>
  <si>
    <t>Han, XN; Liu, DC</t>
  </si>
  <si>
    <t>Han, Xiangning; Liu, Daicheng</t>
  </si>
  <si>
    <t>Quantitative Determination of Glycerol in Antarctic Krill (Euphausia superba Dana) by High-Performance Thin-Layer Chromatography</t>
  </si>
  <si>
    <t>ACTA CHROMATOGRAPHICA</t>
  </si>
  <si>
    <t>Glycerol; HPTLC; Antarctic krill</t>
  </si>
  <si>
    <t>EXTRACTION; BIODIESEL</t>
  </si>
  <si>
    <t>In this reported study, a direct high-performance thin-layer chromatographic (HPTLC) method was developed to qualitatively detect and quantitatively determine glycerol in Antarctic krill for the first time. This procedure was based on the extraction of glycerol by ultrasonic solvent extraction with anhydrous ethanol, silica-gel column chromatographic separation, HPTLC detection and quantification using methylene chloride-methanol (5:1, v/v) as the developing solvent and alkaline potassium permanganate as chromogenic agent. The content of glycerol was 1.3725 +/- 0.218 mg/g in freeze-dried Antarctic krill. The structure of glycerol in the Antarctic krill was subsequently determined by gas chromatography-mass spectrometry (GC-MS) which verified the presence of the material in the krill. The HPTLC method exhibited excellent accuracy with a recovery of 90.1-103.3% and good precision with a relative standard deviation (RSD) of 1.59-4.84%. The results clearly exhibited the applicability of the proposed for quantifying glycerol in Antarctic krill.</t>
  </si>
  <si>
    <t>[Han, Xiangning; Liu, Daicheng] Shandong Normal Univ, Coll Life Sci, Key Lab Anim Resistance, 88 East Wenhua Rd, Jinan 250014, Shandong, Peoples R China</t>
  </si>
  <si>
    <t>Shandong Normal University</t>
  </si>
  <si>
    <t>Liu, DC (corresponding author), Shandong Normal Univ, Coll Life Sci, Key Lab Anim Resistance, 88 East Wenhua Rd, Jinan 250014, Shandong, Peoples R China.</t>
  </si>
  <si>
    <t>liudch@sdnu.edu.cn</t>
  </si>
  <si>
    <t>AKADEMIAI KIADO ZRT</t>
  </si>
  <si>
    <t>BUDAPEST</t>
  </si>
  <si>
    <t>BUDAFOKI UT 187-189-A-3, H-1117 BUDAPEST, HUNGARY</t>
  </si>
  <si>
    <t>1233-2356</t>
  </si>
  <si>
    <t>2083-5736</t>
  </si>
  <si>
    <t>ACTA CHROMATOGR</t>
  </si>
  <si>
    <t>Acta Chromatogr.</t>
  </si>
  <si>
    <t>10.1556/1326.2017.00298</t>
  </si>
  <si>
    <t>HB1DP</t>
  </si>
  <si>
    <t>WOS:000450760400012</t>
  </si>
  <si>
    <t>Tozer, CR; Risbey, JS; O'Kane, TJ; Monselesan, DP; Pook, MJ</t>
  </si>
  <si>
    <t>Tozer, Carly R.; Risbey, James S.; O'Kane, Terence J.; Monselesan, Didier P.; Pook, Michael J.</t>
  </si>
  <si>
    <t>The Relationship between Wave Trains in the Southern Hemisphere Storm Track and Rainfall Extremes over Tasmania</t>
  </si>
  <si>
    <t>MONTHLY WEATHER REVIEW</t>
  </si>
  <si>
    <t>Atmospheric circulation; Blocking; Dynamics; Rossby waves; Extreme events; Rainfall</t>
  </si>
  <si>
    <t>3-DIMENSIONAL INSTABILITY THEORY; VARYING BASIC FLOW; SEA-LEVEL PRESSURE; CIRCUMGLOBAL TELECONNECTIONS; AMERICAN PATTERN; ACTIVITY FLUX; CLIMATE DATA; VARIABILITY; BLOCKING; AUSTRALIA</t>
  </si>
  <si>
    <t>We assess the large-scale atmospheric dynamics influencing rainfall extremes in Tasmania, located within the Southern Hemisphere storm track. We characterize wet and dry multiday rainfall extremes in western and eastern Tasmania, two distinct climate regimes, and construct atmospheric flow composites around these extreme events. We consider the onset and decay of the events and find a link between Rossby wave trains propagating in the polar jet waveguide and wet and dry extremes across Tasmania. Of note is that the wave trains exhibit varying behavior during the different extremes. In the onset phase of rainfall extremes in western Tasmania, there is a coherent wave train in the Indian Ocean, which becomes circumglobal in extent and quasi-stationary as the event establishes and persists. Wet and dry extremes in this region are influenced by opposite phases of this circumglobal wave train pattern. In eastern Tasmania, wet extremes relate to a propagating wave train, which is first established in the Indian Ocean sector and propagates eastward to the Pacific Ocean sector as the event progresses. During dry extremes in eastern Tasmania, the wave train is first established in the Pacific Ocean, as opposed to Indian Ocean, and persists in this sector for the entire event, with a structure indicative of the Pacific-South American pattern. The findings regarding different wave train forms and their relationship to rainfall extremes have implications for extreme event attribution in other regions around the globe.</t>
  </si>
  <si>
    <t>[Tozer, Carly R.; Risbey, James S.; O'Kane, Terence J.; Monselesan, Didier P.; Pook, Michael J.] CSIRO Oceans &amp; Atmosphere, Hobart, Tas, Australia</t>
  </si>
  <si>
    <t>Commonwealth Scientific &amp; Industrial Research Organisation (CSIRO)</t>
  </si>
  <si>
    <t>Tozer, CR (corresponding author), CSIRO Oceans &amp; Atmosphere, Hobart, Tas, Australia.</t>
  </si>
  <si>
    <t>carly.tozer@csiro.au</t>
  </si>
  <si>
    <t>O'Kane, Terence/AAV-1123-2021; O'Kane, Terence J/B-1655-2009; Tozer, Carly R/E-9936-2013; Risbey, James/M-8419-2013; Pook, Michael J/A-3810-2012; Monselesan, Didier/A-2327-2012</t>
  </si>
  <si>
    <t>O'Kane, Terence/0000-0002-2137-5915; O'Kane, Terence J/0000-0002-2137-5915; Tozer, Carly R/0000-0001-8605-5907; Risbey, James/0000-0003-3202-9142; Monselesan, Didier/0000-0002-0310-8995</t>
  </si>
  <si>
    <t>Decadal Climate Forecast Project; DIGISCAPE Future Science Platform at CSIRO; HydroTasmania</t>
  </si>
  <si>
    <t>This work was supported by the Decadal Climate Forecast Project and DIGISCAPE Future Science Platform at CSIRO and HydroTasmania. C. Tozer would like to thank Tom Remenyi (Antarctic Climate and Ecosystems Cooperative Research Centre) and Mike Sumner (Australian Antarctic Division) for providing software support. We are grateful to the editor for providing sound guidance. Additional information regarding the Japanese 55-yr Reanalysis data used can be found at http://jra.kishou.go.jp/JRA-55/.</t>
  </si>
  <si>
    <t>0027-0644</t>
  </si>
  <si>
    <t>1520-0493</t>
  </si>
  <si>
    <t>MON WEATHER REV</t>
  </si>
  <si>
    <t>Mon. Weather Rev.</t>
  </si>
  <si>
    <t>10.1175/MWR-D-18-0135.1</t>
  </si>
  <si>
    <t>HA6RT</t>
  </si>
  <si>
    <t>WOS:000450408200004</t>
  </si>
  <si>
    <t>Kurtakoti, P; Veneziani, M; Stössel, A; Weijer, W</t>
  </si>
  <si>
    <t>Kurtakoti, Prajvala; Veneziani, Milena; Stossel, Achim; Weijer, Wilbert</t>
  </si>
  <si>
    <t>Preconditioning and Formation of Maud Rise Polynyas in a High-Resolution Earth System Model</t>
  </si>
  <si>
    <t>Ocean; Sea ice; Southern Ocean; Deep convection; Topographic effects; Coupled models</t>
  </si>
  <si>
    <t>SOUTHERN-OCEAN CONVECTION; WEDDELL SEA POLYNYA; DEEP CONVECTION; WATER FORMATION; CIRCULATION; SEAMOUNT; ICE; STRATIFICATION; VARIABILITY; MOTION</t>
  </si>
  <si>
    <t>Open-ocean polynyas (OOPs) in the Southern Ocean are ice-free areas within the winter ice pack that are associated with deep convection, potentially contributing to the formation of Antarctic Bottom Water. To enhance the credibility of Earth system models (ESMs), their ability to simulate OOPs realistically is thus crucial. Here we investigate OOPs that emerge intermittently in a high-resolution (HR) preindustrial simulation with the Energy Exascale Earth System Model, version 0.1 (E3SMv0), an offspring of the Community Earth System Model (CESM). While low-resolution (LR) simulations with E3SMv0 show no signs of OOP formation, the preindustrial E3SMv0-HR simulation produces both large Weddell Sea polynyas (WSPs) as well as small Maud Rise polynyas (MRPs). The latter are associated with a prominent seamount in the eastern Weddell Sea, and their preconditioning and formation is the focus of this study. The steep flanks of the rugged topography in this region are in E3SMv0-HR sufficiently well resolved for the impinging flow to produce pronounced Taylor caps that precondition the region for convection. Aided by an accumulation of heat in the Weddell Deep Water layer, the ultimate trigger of convection that leads to MRPs is the advection of anomalously high upper-ocean-layer salinity. The crucial difference to WSP-producing LR ESM simulations is that in E3SMv0-HR, WSPs are realistically preceded by MRPs, which in turn are a result of the flow around bathymetry being represented with unprecedented detail.</t>
  </si>
  <si>
    <t>[Kurtakoti, Prajvala; Veneziani, Milena; Weijer, Wilbert] Los Alamos Natl Lab, Los Alamos, NM 87545 USA; [Kurtakoti, Prajvala; Stossel, Achim] Texas A&amp;M Univ, Dept Oceanog, College Stn, TX 77843 USA</t>
  </si>
  <si>
    <t>United States Department of Energy (DOE); Los Alamos National Laboratory; Texas A&amp;M University System; Texas A&amp;M University College Station</t>
  </si>
  <si>
    <t>Kurtakoti, P (corresponding author), Los Alamos Natl Lab, Los Alamos, NM 87545 USA.;Kurtakoti, P (corresponding author), Texas A&amp;M Univ, Dept Oceanog, College Stn, TX 77843 USA.</t>
  </si>
  <si>
    <t>prajvala@tamu.edu</t>
  </si>
  <si>
    <t>Weijer, Wilbert/A-7909-2010; Weijer, Wilbert/AAT-3247-2021</t>
  </si>
  <si>
    <t>Weijer, Wilbert/0000-0002-5654-562X; Weijer, Wilbert/0000-0002-5654-562X; Kurtakoti, Prajvala/0000-0002-1499-5980; Veneziani, Milena/0000-0001-9977-4599</t>
  </si>
  <si>
    <t>U.S. Department of Energy (DOE)'s Office of Science (BER) through the E3SM project; Center for Space and Earth Science (CSES) at the Los Alamos National Laboratory; Department of Oceanography at Texas AM University; CSES project; DOE BER's RGMA program; National Nuclear Security Administration of the U.S. Department of Energy [DE-AC52-06NA25396]</t>
  </si>
  <si>
    <t>U.S. Department of Energy (DOE)'s Office of Science (BER) through the E3SM project; Center for Space and Earth Science (CSES) at the Los Alamos National Laboratory; Department of Oceanography at Texas AM University; CSES project; DOE BER's RGMA program; National Nuclear Security Administration of the U.S. Department of Energy(National Nuclear Security Administration)</t>
  </si>
  <si>
    <t>P. Kurtakoti and M. Veneziani acknowledge support of the U.S. Department of Energy (DOE)'s Office of Science (BER) through the E3SM project and the Center for Space and Earth Science (CSES) at the Los Alamos National Laboratory through a 2-yr graduate student project. Kurtakoti was also supported by the Department of Oceanography at Texas A&amp;M University. A. Stossel acknowledges support from the CSES project for associated visits at LANL. W. Weijer acknowledges support from the DOE BER's RGMA program as a contribution to the HiLAT project. The authors are also thankful for Mat Maltrud and Elizabeth Hunke's support in providing guidance on the POP and CICE model fields whenever necessary. Los Alamos National Laboratory is operated by Los Alamos National Security, LLC, for the National Nuclear Security Administration of the U.S. Department of Energy under Contract DE-AC52-06NA25396.</t>
  </si>
  <si>
    <t>10.1175/JCLI-D-18-0392.1</t>
  </si>
  <si>
    <t>HA2HD</t>
  </si>
  <si>
    <t>WOS:000450055800002</t>
  </si>
  <si>
    <t>Beadling, RL; Russell, JL; Stouffer, RJ; Goodman, PJ</t>
  </si>
  <si>
    <t>Beadling, R. L.; Russell, J. L.; Stouffer, R. J.; Goodman, P. J.</t>
  </si>
  <si>
    <t>Evaluation of Subtropical North Atlantic Ocean Circulation in CMIP5 Models against the Observational Array at 26.5°N and Its Changes under Continued Warming</t>
  </si>
  <si>
    <t>Ocean; Atmosphere-ocean interaction; Ocean circulation; Ocean dynamics; Climate models; Model comparison</t>
  </si>
  <si>
    <t>MERIDIONAL OVERTURNING CIRCULATION; FLORIDA CURRENT TRANSPORT; INTERANNUAL VARIABILITY; GLOBAL OCEAN; HEAT; MOC; COMPENSATION; 26-DEGREES-N; COMPONENTS; STREAMS</t>
  </si>
  <si>
    <t>Observationally based metrics derived from the Rapid Climate Change (RAPID) array are used to assess the large-scale ocean circulation in the subtropical North Atlantic simulated in a suite of fully coupled climate models that contributed to phase 5 of the Coupled Model Intercomparison Project (CMIP5). The modeled circulation at 26.5 degrees N is decomposed into four components similar to those RAPID observes to estimate the Atlantic meridional overturning circulation (AMOC): the northward-flowing western boundary current (WBC), the southward transport in the upper midocean, the near-surface Ekman transport, and the southward deep ocean transport. The decadal-mean AMOC and the transports associated with its flow are captured well by CMIP5 models at the start of the twenty-first century. By the end of the century, under representative concentration pathway 8.5 (RCP8.5), averaged across models, the northward transport of waters in the upper WBC is projected to weaken by 7.6 Sv (1 Sv 10(6) m(3) s(-1); -21%). This reduced northward flow is a combined result of a reduction in the subtropical gyre return flow in the upper ocean (-2.9 Sv; -12%) and a weakened net southward transport in the deep ocean (-4.4 Sv; -28%) corresponding to the weakened AMOC. No consistent long-term changes of the Ekman transport are found across models. The reduced southward transport in the upper ocean is associated with a reduction in wind stress curl (WSC) across the North Atlantic subtropical gyre, largely through Sverdrup balance. This reduced WSC and the resulting decrease in the horizontal gyre transport is a robust feature found across the CMIP5 models under increased CO2 forcing.</t>
  </si>
  <si>
    <t>[Beadling, R. L.; Russell, J. L.; Stouffer, R. J.; Goodman, P. J.] Univ Arizona, Dept Geosci, Tucson, AZ 85721 USA</t>
  </si>
  <si>
    <t>University of Arizona</t>
  </si>
  <si>
    <t>Beadling, RL (corresponding author), Univ Arizona, Dept Geosci, Tucson, AZ 85721 USA.</t>
  </si>
  <si>
    <t>beadling@email.arizona.edu</t>
  </si>
  <si>
    <t>Goodman, Paul/0000-0002-1824-5845; Russell, Joellen/0000-0001-9937-6056</t>
  </si>
  <si>
    <t>Natural Environment Research Council; U.S. EPA [FP-91780701-0]; NSF's Southern Ocean Carbon and Climate Observations and Modeling (SOCCOM) Project [PLR-1425989]; NOAA; NASA</t>
  </si>
  <si>
    <t>Natural Environment Research Council(UK Research &amp; Innovation (UKRI)Natural Environment Research Council (NERC)); U.S. EPA(United States Environmental Protection Agency); NSF's Southern Ocean Carbon and Climate Observations and Modeling (SOCCOM) Project; NOAA(National Oceanic Atmospheric Admin (NOAA) - USA); NASA(National Aeronautics &amp; Space Administration (NASA))</t>
  </si>
  <si>
    <t>We acknowledge the World Climate Research Programme's Working Group on Coupled Modelling responsible for CMIP. We thank the modeling groups listed in Table 1 for producing and making available their output. For CMIP, the U.S. Department of Energy's Program for Climate Model Diagnosis and Intercomparison provides coordinating support and led development of software infrastructure in partnership with the Global Organization for Earth System Science Portals. Data from the RAPID-WATCH MOC monitoring project are funded by the Natural Environment Research Council and are freely available (www.rapid.ac.uk/rapidmoc).We acknowledge the use of the Ferret program from NOAA's Pacific Marine Environmental Laboratory for analysis and graphics (http://ferret.pmel.noaa.gov/Ferret).Figure 1 was created using the Ocean Data View software (Schlitzer 2016), with the CFC-11 data obtained by repeat hydrographic measurements and made freely available from the Global Ocean Data Analysis Project, version 2 (GLODAPv2; Key et al. 2015; Lauvset et al. 2016; Olsen et al. 2016). We extend a huge thank you to Dr. Lynne Talley and Dr. Isabella Rosso from Scripps Institution of Oceanography, Dr. Alison Gray from the University of Washington, and to the editor and reviewers for their valuable insights, comments, and suggestions. This research was funded by the U.S. EPA Assistance Agreement FP-91780701-0. This publication has not been reviewed by the EPA and the views expressed herein are solely those of the authors. This work was sponsored by NSF's Southern Ocean Carbon and Climate Observations and Modeling (SOCCOM) Project under the NSF Award PLR-1425989, with additional support from NOAA and NASA. Logistical support for SOCCOM in the Antarctic was provided by the U.S. NSF through the U.S. Antarctic Program.</t>
  </si>
  <si>
    <t>10.1175/JCLI-D-17-0845.1</t>
  </si>
  <si>
    <t>WOS:000450055800004</t>
  </si>
  <si>
    <t>Tuck-Martin, A; Adam, J; Eagles, G</t>
  </si>
  <si>
    <t>Tuck-Martin, Amy; Adam, Juergen; Eagles, Graeme</t>
  </si>
  <si>
    <t>New plate kinematic model and tectono-stratigraphic history of the East African and West Madagascan Margins</t>
  </si>
  <si>
    <t>East Africa; megasequences; plate kinematics; rifted continental margins; tectonics; tectono-stratigraphy; West Madagascar</t>
  </si>
  <si>
    <t>DAVIE FRACTURE-ZONE; SOMALI BASIN; INDIAN-OCEAN; THRUST BELT; LAMU BASIN; RIFT; MOZAMBIQUE; GONDWANA; BREAKUP; MAGMATISM</t>
  </si>
  <si>
    <t>The continental margins of East Africa and West Madagascar are a frontier for hydrocarbon exploration. However, the links between the regional tectonic history of sedimentary basins and margin evolution are relatively poorly understood. We use a plate kinematic model built by joint inversion of seafloor spreading data as a starting point to analyse the evolution of conjugate margin segments and corresponding sedimentary basins. By correlating megasequences in the basins to the plate model we produce a margin-scale tectono-stratigraphic framework comprising four phases of tectonic development. During Phase 1 (183-133 Ma) Madagascar/India/Antarctica separated from Africa, first by rifting and later, after breakup (at ca. 170-165 Ma), by seafloor spreading in the West Somali and Mozambique basins and dextral strike-slip movement on the Davie Fracture Zone. Mixed continental/marine syn-rift megasequences were deposited in rift basins followed by shallow-marine early postrift sequences. In Phase 2 (133-89 Ma) spreading ceased in the West Somali basin and Madagascar became fixed to the African plate. However, spreading continued between the African and Antarctic plates and deposition of the early postrift megasequence continued. The onset of spreading on the Mascarene Ridge separated India from Madagascar in Phase 3 (89-60 Ma). Phase 3 was characterized by the onset of deposition of the late postrift megasequence with continued deep marine sedimentation. At the onset of Phase 4 (60 Ma onward) spreading on the Mascarene ridge ceased and the Carlsberg Ridge propagated south to form the Central Indian Ridge, separating India from the Seychelles and the Mascarene Plateau. Late postrift deposition continued until a major unconformity linked to the development of the East African Rift System marked the change to deposition of the modern margin megasequence.</t>
  </si>
  <si>
    <t>[Tuck-Martin, Amy; Adam, Juergen] Royal Holloway Univ London, Dept Earth Sci, Egham, Surrey, England; [Eagles, Graeme] Helmholtz Ctr Polar &amp; Marine Res, Alfred Wegner Inst, Bremerhaven, Germany</t>
  </si>
  <si>
    <t>University of London; Royal Holloway University London; Helmholtz Association; Alfred Wegener Institute, Helmholtz Centre for Polar &amp; Marine Research</t>
  </si>
  <si>
    <t>Tuck-Martin, A (corresponding author), Royal Holloway Univ London, Dept Earth Sci, Egham, Surrey, England.</t>
  </si>
  <si>
    <t>amy.tuck-martin.2010@live.rhul.ac.uk</t>
  </si>
  <si>
    <t>Eagles, Graeme/0000-0001-5325-0810</t>
  </si>
  <si>
    <t>COMPASS consortium</t>
  </si>
  <si>
    <t>The presented research is part of a PhD project of the COMPASS industry consortium (Continental Margin Process Analysis, Structures &amp; Stratigraphy) at Royal Holloway, University of London. We thank the COMPASS consortium for project funding. We thank Stuart Clark and two anonymous reviewers for their constructive comments that have improved the quality of this paper.</t>
  </si>
  <si>
    <t>10.1111/bre.12294</t>
  </si>
  <si>
    <t>WOS:000449713500003</t>
  </si>
  <si>
    <t>Liu, Y; Du, GY; Mao, YX</t>
  </si>
  <si>
    <t>Liu Yang; Du Guoying; Mao Yunxiang</t>
  </si>
  <si>
    <t>Trace Metals Analysis Along the Fildes Peninsula Coastline Using Two Red Algae, Rhodymenia antarctica and Iridaea cordata, as Monitors</t>
  </si>
  <si>
    <t>JOURNAL OF OCEAN UNIVERSITY OF CHINA</t>
  </si>
  <si>
    <t>Fildes Peninsula; Rhodymenia antarctica; Iridaea cordata; trace metal; MPI</t>
  </si>
  <si>
    <t>KING GEORGE ISLAND; HEAVY-METALS; MACROALGAE; AREA; CONTAMINATION; ORGANISMS; ELEMENTS; SEA</t>
  </si>
  <si>
    <t>Two red algae, Rhodymenia antarctica and Iridaea cordata (Rhodophyta), were employed to investigate the pollution situation along Fildes Peninsula coastline, King George Island. Ten sites from east and west coastlines were investigated, and the concentrations of Cu, Pb, Zn, Cd, Cr, As and Hg were determined. The metal pollution index (MPI) was used to evaluate the overall pollution level represented by the investigated sites and for interregional comparisons. The two algae exhibited different preference to special trace metal. R. antarctica could accumulate more Cd (0.63 mg kg(-1)) and Hg (0.026 mg kg(-1)) than I. cordata (Cd 0.34 mg kg(-1), Hg 0.019 mg kg(-1)). I. cordata could accumulate more As (15.53 mg kg(-1)) than R. antarctica (10.11 mg kg(-1)). There was no significant difference in accumulating Cu, Pb, Zn and Cr between the two algae. R. antarctica could be used to monitor Cd and Hg. I. cordata would be more appropriate for monitoring As. MPI monitored by the two algae were from 1.02 to 2.26 (R. antarctica), and 1.03 to 1.25 (I. cordata), respectively. Pollution situation of Fildes Peninsula was becoming serious, especially of the east coastline. The objective of this research was to gather the baseline information for trace metals investigation in Antarctic.</t>
  </si>
  <si>
    <t>[Liu Yang; Du Guoying; Mao Yunxiang] Ocean Univ China, Minist Educ, Key Lab Marine Genet &amp; Breeding, Qingdao 266003, Peoples R China; [Mao Yunxiang] Qingdao Natl Lab Marine Sci &amp; Technol, Lab Marine Biol &amp; Biotechnol, Qingdao 266237, Peoples R China; [Liu Yang; Du Guoying; Mao Yunxiang] Ocean Univ China, Coll Marine Life Sci, Qingdao 266003, Peoples R China</t>
  </si>
  <si>
    <t>Ocean University of China; Laoshan Laboratory; Ocean University of China</t>
  </si>
  <si>
    <t>Mao, YX (corresponding author), Ocean Univ China, Minist Educ, Key Lab Marine Genet &amp; Breeding, Qingdao 266003, Peoples R China.;Mao, YX (corresponding author), Qingdao Natl Lab Marine Sci &amp; Technol, Lab Marine Biol &amp; Biotechnol, Qingdao 266237, Peoples R China.;Mao, YX (corresponding author), Ocean Univ China, Coll Marine Life Sci, Qingdao 266003, Peoples R China.</t>
  </si>
  <si>
    <t>yxmao@ouc.edu.cn</t>
  </si>
  <si>
    <t>Liu, Yang/AAK-3617-2020</t>
  </si>
  <si>
    <t>Liu, Yang/0000-0001-8548-0223</t>
  </si>
  <si>
    <t>Chinese Polar Environment Comprehensive Investigation and Assessment Program [CHINRE2015-02-01, CHINARE-04-01]</t>
  </si>
  <si>
    <t>Chinese Polar Environment Comprehensive Investigation and Assessment Program</t>
  </si>
  <si>
    <t>This work is financially supported by the Chinese Polar Environment Comprehensive Investigation and Assessment Program (Nos. CHINRE2015-02-01, CHINARE-04-01). The authors also thank the team members of 30th CHINAREs for helping collect the samples.</t>
  </si>
  <si>
    <t>OCEAN UNIV CHINA</t>
  </si>
  <si>
    <t>QINGDAO</t>
  </si>
  <si>
    <t>5 YUSHAN RD, QINGDAO, 266003, PEOPLES R CHINA</t>
  </si>
  <si>
    <t>1672-5182</t>
  </si>
  <si>
    <t>1993-5021</t>
  </si>
  <si>
    <t>J OCEAN U CHINA</t>
  </si>
  <si>
    <t>J. OCEAN UNIV.</t>
  </si>
  <si>
    <t>10.1007/s11802-018-3593-8</t>
  </si>
  <si>
    <t>HA0GV</t>
  </si>
  <si>
    <t>WOS:000449886900027</t>
  </si>
  <si>
    <t>Zhang, R; Kravchinsky, VA; Anwar, T; Yue, LP; Li, JX; Jiao, J</t>
  </si>
  <si>
    <t>Zhang, Rui; Kravchinsky, Vadim A.; Anwar, Taslima; Yue, Leping; Li, Jianxing; Jiao, Jin</t>
  </si>
  <si>
    <t>Comment on Late Miocene-Pliocene Asian monsoon intensification linked to Antarctic ice-sheet growth [Earth Planet. Sci. Lett. 444 (2016) 75-87]</t>
  </si>
  <si>
    <t>CHINESE LOESS; PALEOCLIMATIC IMPLICATION; GRAIN-SIZE; MAGNETOSTRATIGRAPHY; TIMESCALE; SEQUENCE; RECORDS; MA</t>
  </si>
  <si>
    <t>[Zhang, Rui; Kravchinsky, Vadim A.; Yue, Leping; Li, Jianxing; Jiao, Jin] Northwest Univ, Dept Geol, State Key Lab Continental Dynam, Inst Cenozo Geol &amp; Environm, Xian 710069, Shaanxi, Peoples R China; [Zhang, Rui; Kravchinsky, Vadim A.; Anwar, Taslima] Univ Alberta, Dept Phys, Geophys, Edmonton, AB T6G 2E1, Canada; [Zhang, Rui; Yue, Leping; Li, Jianxing] China Geol Survey, Xian Ctr Geol Survey, Xian 710054, Shaanxi, Peoples R China</t>
  </si>
  <si>
    <t>Northwest University Xi'an; University of Alberta; China Geological Survey; Xi'an Center, China Geological Survey</t>
  </si>
  <si>
    <t>Kravchinsky, VA (corresponding author), Univ Alberta, Dept Phys, Geophys, Edmonton, AB T6G 2E1, Canada.</t>
  </si>
  <si>
    <t>vadim@ualberta.ca</t>
  </si>
  <si>
    <t>Kravchinsky, Vadim/IWM-0137-2023; Zhang, Rui/KFT-1324-2024; Li, jianxing/CAH-5060-2022</t>
  </si>
  <si>
    <t>Kravchinsky, Vadim/0000-0002-6625-2302; Zhang, Rui/0000-0002-3439-6539; Li, Jianxing/0000-0002-1879-6911</t>
  </si>
  <si>
    <t>National Natural Science Foundation of China [41772027, 41372037]; Natural Sciences and Engineering Research Council of Canada (NSERC) [RGPIN-2014-04183]</t>
  </si>
  <si>
    <t>National Natural Science Foundation of China(National Natural Science Foundation of China (NSFC)); Natural Sciences and Engineering Research Council of Canada (NSERC)(Natural Sciences and Engineering Research Council of Canada (NSERC))</t>
  </si>
  <si>
    <t>This work was financially supported by the National Natural Science Foundation of China (41772027, 41372037) and the Natural Sciences and Engineering Research Council of Canada (NSERC grant RGPIN-2014-04183).</t>
  </si>
  <si>
    <t>10.1016/j.epsl.2018.08.033</t>
  </si>
  <si>
    <t>WOS:000449246100023</t>
  </si>
  <si>
    <t>Isla, E; DeMaster, DJ</t>
  </si>
  <si>
    <t>Isla, E.; DeMaster, D. J.</t>
  </si>
  <si>
    <t>Labile organic carbon dynamics in continental shelf sediments after the recent collapse of the Larsen ice shelves off the eastern Antarctic Peninsula: A radiochemical approach</t>
  </si>
  <si>
    <t>Antarctica; Ice shelf collapse; Labile organic carbon; Biogeochemistry; Marine sediment; Larsen ice shelves; 14C; 210Pb</t>
  </si>
  <si>
    <t>DOWNWARD PARTICLE FLUXES; DEEP-SEA SEDIMENTS; BIOCHEMICAL-COMPOSITION; PARTICULATE MATTER; WESTERN BRANSFIELD; POLYNYA DYNAMICS; MARINE-SEDIMENTS; NUTRITIVE-VALUE; MIXING RATES; TIME-SERIES</t>
  </si>
  <si>
    <t>Labile organic carbon (LOC) dynamics (i.e., of recently produced, planktonic material) and sediment dynamics were studied in the seabed using naturally occurring C-14(org), and Pb-210 measurements in the region where the Larsen Ice Shelves A and B were floating almost two decades ago. A non-steady-state diagenetic model was used to estimate sediment mixing coefficients as well as LOC fluxes to the seabed and LOC turnover times (i.e., mean residence times) in a suite of 14 sediment cores from the continental shelf, including a glacial trough. At four of the stations, cores were collected during 2007 and 2011 cruises, enabling a time-series approach for understanding the evolution of sedimentary processes and LOC dynamics in the deposits below a collapsed ice shelf. Sediment mixing coefficients, based on non-steady-state Pb-210 profiles, varied between 0.01 cm(2) y(-1) and 1.6 cm(2) y(-1) in these post-ice shelf sediments. These values were similar to those found in polar deep-sea environments, where sedimentary conditions are less dynamic than in shallower provinces. LOC, whose abundance decreased uniformly with depth, was detected to depths ranging from 2 to 16 cm, with LOC seabed inventories varying from 1.5 to 22 mg LOC cm(-2). Excess Pb-210 and LOC fluxes were relatively uniform across the study area suggesting that similar particle fluxes have taken place within the Larsen system since the disintegration of the various ice shelves. The LOC mean residence time at the different stations varied from 3 y to &gt;60 y. The C-14(org), approach, calculating LOC content based on a two-end member model with planktonic 14C(org) as the labile carbon end member, most closely correlated with the lipid content of the sediment, which has been considered one of the best descriptors of reactive organic matter readily available to benthic consumers. We suggest that the irregular combination of sea ice coverage, organic matter production and supply to the sea floor introduce scatter in the determination of sediment and LOC dynamics such that short-term temporal (&lt;5 years) and spatial trends could not be readily resolved. (C) 2018 Elsevier Ltd. All rights reserved.</t>
  </si>
  <si>
    <t>[Isla, E.] CSIC, Inst Ciencies Mar, Passeig Maritim de la Barceloneta 37-49, E-08003 Barcelona, Spain; [DeMaster, D. J.] North Carolina State Univ, Dept Marine Earth &amp; Atmospher Sci, Raleigh, NC 27695 USA</t>
  </si>
  <si>
    <t>Consejo Superior de Investigaciones Cientificas (CSIC); CSIC - Centro Mediterraneo de Investigaciones Marinas y Ambientales (CMIMA); CSIC - Instituto de Ciencias del Mar (ICM); North Carolina State University</t>
  </si>
  <si>
    <t>Isla, E (corresponding author), CSIC, Inst Ciencies Mar, Passeig Maritim de la Barceloneta 37-49, E-08003 Barcelona, Spain.</t>
  </si>
  <si>
    <t>isla@icm.csic.es</t>
  </si>
  <si>
    <t>Isla, Enrique/0000-0003-4959-6936</t>
  </si>
  <si>
    <t>Spanish Ministry of Economy and Competitiveness through the project CLIMANT [POL2006-06399/CGL]; National Science Foundation of the USA [PLR-1341669]</t>
  </si>
  <si>
    <t>Spanish Ministry of Economy and Competitiveness through the project CLIMANT; National Science Foundation of the USA(National Science Foundation (NSF))</t>
  </si>
  <si>
    <t>We would like to thank the captain and the crew of the 2007 and 2011 R/V Polarstern cruises, who made sampling in this dynamic high-latitude regime possible. We would also like to thank the staff of the WHOI NOSAMS facility for their diligence and conscientious handling of our 14C samples. This study was funded by the Spanish Ministry of Economy and Competitiveness through the project CLIMANT (POL2006-06399/CGL; E.I., Principal Investigator) and by the National Science Foundation of the USA (PLR-1341669; D.D., Principal Investigator).</t>
  </si>
  <si>
    <t>10.1016/j.gca.2018.08.011</t>
  </si>
  <si>
    <t>WOS:000446475700003</t>
  </si>
  <si>
    <t>Pester, NJ; Conrad, ME; Knauss, KG; DePaolo, DJ</t>
  </si>
  <si>
    <t>Pester, Nicholas J.; Conrad, Mark E.; Knauss, Kevin G.; DePaolo, Donald J.</t>
  </si>
  <si>
    <t>Kinetics of D/H isotope fractionation between molecular hydrogen and water</t>
  </si>
  <si>
    <t>Hydrogen isotopes; Isotope exchange kinetics; Hydrothermal system; Lost City; Volcanic gas; Serpentinization; Microbial catalysis; Geothermometer</t>
  </si>
  <si>
    <t>YELLOWSTONE-NATIONAL-PARK; CITY HYDROTHERMAL FIELD; MID-ATLANTIC RIDGE; NGAWHA GEOTHERMAL-FIELD; EAST PACIFIC RISE; LOST CITY; MASS-TRANSFER; VENT FLUIDS; DEUTERIUM FRACTIONATION; GEOCHEMICAL PROCESSES</t>
  </si>
  <si>
    <t>At equilibrium, the D/H isotope fractionation factor between H-2 and H2O (alpha(H2O-H2(eq))) is a sensitive indicator of temperature, and has been used as a geothermometer for natural springs and gas discharges. However, delta D-H2 measured in spring waters may underestimate subsurface temperatures of origin due to partial isotopic re-equilibration during ascent and cooling. We present new experimental data on the kinetics of D-H exchange for H-2 dissolved in liquid water at temperatures below 100 degrees C. Comparing these results with published exchange rates obtained from gas phase experiments (100-400 degrees C), we derive a consistent activation energy of 52 kJ/mol, and the following rate expressions; In k = 9.186 - 6298/T and k(1) = 9764.61 [H2O] e(-6298/T). where T is absolute temperature (K), k is the universal rate constant ([L/mol]/hr), and k(1) is a pseudo-first-order constant (hr(-1)) applicable to water-dominated terrestrial systems by constraining [H2O] as the density of H2O (in mol/L) at the P-T of interest. The density-dependent rate constant accounts for the kinetic disparity of D-H exchange with H-2 when dissolved in liquid H2O relative to a gas/steam phase, exemplifed by 1/k(1) at 100 degrees C of similar to 2 days in liquid, versus similar to 7 yrs in saturated steam. This difference may explain the high variability of delta D-H2 observed in fumarolic gases. Fluids convecting in the crust frequently reach T&gt; 225 degrees C, where isotopic equilibrium is rapidly attained (&lt;1 hr). We compare fractionation factors measured in natural fluids (alpha(OBS)) with values expected for equilibrium at the T of acquisition. Where these values differ, we use kinetic models to estimate cooling rates during upward advection that account for the observed disequilibrium. Models fit to fluids from Yellowstone Park and the Lost City (deep-sea) vent field, both recovered at similar to 90 degrees C, require respective transit times of similar to 7 hrs and similar to 11 days between higher temperature reaction zones and the surface. Using estimates of subsurface depths of origin, however, suggests similar mean fluid flow rates (10 s of meters/hr). Additional complications must be considered when interpreting the delta D-H2 of lower-temperature effluent. When applied to data from deep-sea hydrothermal systems, our kinetic models indicate microbial catalysis accelerates D-H exchange once fluids cool below similar to 60 degrees C. The H-2 measured in both continental alkaline springs and fracture fluids from Precambrian shield rock is likely produced at T &lt; 100 degrees C, through processes such as serpentinization. In these settings, delta D-H2 values appear closer to equilibrium with H2O than those from geothermal systems. Considering kinetic isotope effects may yield H-2 that is out of equilibrium when generated at lower temperatures, we calculate maximum (isothermal) times to apparent isotopic equilibrium of 1.3 yrs at 50 degrees C, 9 yrs at 25 degrees C, and 35 yrs at 10 degrees C. A similar calculation applied to Antarctic brines (-13 degrees C), where measured delta D-H2 is far from equilibrium, yields similar to 350 yrs. This time is shorter than the fluids have been isolated (2.8 ka), suggesting kinetic isotope effects associated with H-2 destruction or loss via diffusion may also be possible. (C) 2018 Elsevier Ltd. All rights reserved.</t>
  </si>
  <si>
    <t>[Pester, Nicholas J.; Conrad, Mark E.; Knauss, Kevin G.; DePaolo, Donald J.] Lawrence Berkeley Natl Lab, Earth &amp; Environm Sci Area, Berkeley, CA 94720 USA; [Pester, Nicholas J.; DePaolo, Donald J.] Univ Calif Berkeley, Dept Earth &amp; Planetary Sci, Berkeley, CA 94720 USA</t>
  </si>
  <si>
    <t>United States Department of Energy (DOE); Lawrence Berkeley National Laboratory; University of California System; University of California Berkeley</t>
  </si>
  <si>
    <t>Pester, NJ (corresponding author), Univ Calif Berkeley, Dept Earth &amp; Planetary Sci, Berkeley, CA 94720 USA.</t>
  </si>
  <si>
    <t>njpester@berkeley.edu</t>
  </si>
  <si>
    <t>DePaolo, Donald James/ISU-7105-2023; Pester, Nicholas/O-6807-2019; Knauss, Kevin Gibbons/K-2827-2012; Pester, Nicholas/G-2424-2015; Conrad, Mark/G-2767-2010</t>
  </si>
  <si>
    <t>Knauss, Kevin Gibbons/0000-0003-1292-5521; Pester, Nicholas/0000-0002-1852-6663; Conrad, Mark/0000-0001-9509-7324</t>
  </si>
  <si>
    <t>U.S. Department of Energy, Office of Science, Office of Basic Energy Sciences, Chemical Sciences, Geosciences, and Biosciences Division [DE-AC02-05CH11231]</t>
  </si>
  <si>
    <t>U.S. Department of Energy, Office of Science, Office of Basic Energy Sciences, Chemical Sciences, Geosciences, and Biosciences Division(United States Department of Energy (DOE))</t>
  </si>
  <si>
    <t>We would like to thank Daniel Stolper, Stuart Simmons, Ben Tutolo and Pat Dobson for thoughtful discussions that contributed to the scope of the original manuscript. We also thank Matthew Fantle and three anonymous reviewers, whose comments greatly improved the clarity and content of this publication. This work was supported by the U.S. Department of Energy, Office of Science, Office of Basic Energy Sciences, Chemical Sciences, Geosciences, and Biosciences Division, under Award Number DE-AC02-05CH11231.</t>
  </si>
  <si>
    <t>10.1016/j.gca.2018.09.015</t>
  </si>
  <si>
    <t>WOS:000446475700011</t>
  </si>
  <si>
    <t>Ma, ZY; Wen, J; Ickert-Bond, SM; Nie, ZL; Chen, LQ; Liu, XQ</t>
  </si>
  <si>
    <t>Ma, Zhi-Yao; Wen, Jun; Ickert-Bond, Stefanie M.; Nie, Ze-Long; Chen, Long-Qing; Liu, Xiu-Qun</t>
  </si>
  <si>
    <t>Phylogenomics, biogeography, and adaptive radiation of grapes</t>
  </si>
  <si>
    <t>Adaptive radiation; Evolutionary diversification; Genome resequencing; Phylogenetics; Vitis</t>
  </si>
  <si>
    <t>DOWNY MILDEW RESISTANCE; GENETIC DIVERSITY; TIBETAN PLATEAU; PHYLOGENETIC ANALYSIS; GENUS VITIS; RAPID DIVERSIFICATION; ANTARCTIC GLACIATION; PROVIDES INSIGHTS; UNCINULA-NECATOR; GENOME SEQUENCE</t>
  </si>
  <si>
    <t>The application of whole-genome resequencing based on next-generation sequencing technologies provides an unprecedented opportunity for researchers to resolve long-standing evolutionary problems. Taxa belonging to the grape genus (Vitis L.) represent important genetic resources for the improvement of cultivated grapes. However, it has been challenging to resolve the deep phylogenetic relationships within Vitis, limiting the current understanding of the evolutionary history of Vitis and preventing the use of valuable wild grape resources. In this study, we obtained whole-genome sequence data from 41 accessions representing most taxa within subgenus Vitis and aligned these sequences to the Vitis vinifera L. reference genome. We reconstructed deep phylogenetic relationships within subgenus Vitis based on 2068 single-copy orthologous genes, which led to a robust topology with bootstrap support values of 100% for almost all branches. Three main clades are recovered within subgenus Vitis reflecting their continental distribution through North America, Europe, and East Asia, respectively. Our results suggest that the most possible migration route of the East Asian Vitis is from northeastern Asia southward to South Asia and Southeast Asia. The East Asian Vitis seems to have experienced adaptive radiation during the Miocene. This study provides novel insights into the diversification history of the grape genus Vitis.</t>
  </si>
  <si>
    <t>[Ma, Zhi-Yao; Chen, Long-Qing; Liu, Xiu-Qun] Huazhong Agr Univ, Coll Hort &amp; Forestry Sci, Minist Educ, Key Lab Hort Plant Biol, Wuhan 430070, Hubei, Peoples R China; [Wen, Jun] Smithsonian Inst, Natl Museum Nat Hist, Dept Bot, MRC166, Washington, DC 20013 USA; [Ickert-Bond, Stefanie M.] Univ Alaska Fairbanks, UA Museum North Herbarium, Fairbanks, AK 99775 USA; [Ickert-Bond, Stefanie M.] Univ Alaska Fairbanks, Dept Biol &amp; Wildlife, Fairbanks, AK 99775 USA; [Nie, Ze-Long] Jishou Univ, Coll Biol &amp; Environm Sci, Key Lab Plant Resources Conservat &amp; Utilizat, Jishou, Hunan, Peoples R China</t>
  </si>
  <si>
    <t>Huazhong Agricultural University; Smithsonian Institution; Smithsonian National Museum of Natural History; University of Alaska System; University of Alaska Fairbanks; University of Alaska System; University of Alaska Fairbanks; Jishou University</t>
  </si>
  <si>
    <t>Liu, XQ (corresponding author), Huazhong Agr Univ, Coll Hort &amp; Forestry Sci, Minist Educ, Key Lab Hort Plant Biol, Wuhan 430070, Hubei, Peoples R China.</t>
  </si>
  <si>
    <t>liu_xiuqun@sina.com</t>
  </si>
  <si>
    <t>Ickert-Bond, Stefanie M./B-3216-2012; Nie, Ze-Long/N-8471-2015</t>
  </si>
  <si>
    <t>Liu, Xiu-Qun/0000-0001-9655-6406; Ma, Zhiyao/0000-0001-5130-4520</t>
  </si>
  <si>
    <t>National Natural Science Foundation of China [31370249]</t>
  </si>
  <si>
    <t>We thank Prof. C.H. Liu and Dr. J.F. Jiang (Zhengzhou Fruit Research Institute, Chinese Academy of Agricultural Science), H.P. Xin (Wuhan Botanical Garden, The Chinese Academy of Sciences) and The Germplasm Bank of Wild Species, Kunming Institute of Botany, Chinese Academy of Sciences gave us some materials of Vitis. We would like to thank L.J. Duan, L. Dong, and L. L. Gui (Huazhong Agricultural University) for assistance with sample collection. We also acknowledge support by the National Natural Science Foundation of China (Grants No. 31370249).</t>
  </si>
  <si>
    <t>10.1016/j.ympev.2018.08.021</t>
  </si>
  <si>
    <t>WOS:000446023100023</t>
  </si>
  <si>
    <t>Yan, GJ; Bao, Y; Tan, M; Cui, Q; Lu, XL; Zhang, Y</t>
  </si>
  <si>
    <t>Yan, Guo-jia; Bao, Yan; Tan, Ming; Cui, Qiu; Lu, Xiao-lan; Zhang, Yang</t>
  </si>
  <si>
    <t>Defluorination by Donnan Dialysis with seawater for seafood processing</t>
  </si>
  <si>
    <t>JOURNAL OF FOOD ENGINEERING</t>
  </si>
  <si>
    <t>Donnan dialysis; Fluoride removal; Sustainable defluorination; Seafood processing; Concentrated seawater</t>
  </si>
  <si>
    <t>KRILL EUPHAUSIA-SUPERBA; ANION-EXCHANGE MEMBRANES; FLUORIDE REMOVAL; ION-EXCHANGE; ANTARCTIC KRILL; WASTE-WATER; DIFFUSION-COEFFICIENTS; DIFFERENT VALENCE; DRINKING-WATER; ELECTRODIALYSIS</t>
  </si>
  <si>
    <t>Donnan Dialysis (DD) is developed in this study for continuous removal of fluoride from Antarctic krill by using seawater or concentrated seawater as the receiving solution. Results show that RO concentrate (1.0 mol L-1 NaCl) got the highest fluoride removal efficiency (93.66% +/- 0.81%) with three stages at 0.01 cm s(-1) flow velocity. Afterwards, fluoride removal experiment with a real krill solution showed 89.34% +/- 0.55% under the optimized conditions. The product has fulfilled the fluoride content of US FDA standard and Canadian Food Inspection Agency in fish and fish products. Results also showed a lower loss of amino acids and proteins in comparison of conventional methods. Finally, a techno-economic evaluation showed that 4.0 USD per ton of Krill solution can be expected by this DD process. This study proves that Donnan Dialysis may be a sustainable defluorination process in removing high fluoride content of seafood by seawater or concentrated seawater.</t>
  </si>
  <si>
    <t>[Yan, Guo-jia; Lu, Xiao-lan] Ocean Univ China, Coll Chem &amp; Chem Engn, Key Lab Marine Chem Theory &amp; Technol, Minist Educ, Qingdao 266100, Peoples R China; [Yan, Guo-jia; Bao, Yan; Tan, Ming; Zhang, Yang] Chinese Acad Sci, Qingdao Inst Bioenergy &amp; Bioproc Technol, Waste Valorizat &amp; Water Reuse Grp, 189 Songling Rd, Qingdao 266101, Peoples R China; [Tan, Ming; Zhang, Yang] Qingdao Key Lab Funct Membrane Mat &amp; Membrane Tec, 189 Songling Rd, Qingdao 266101, Peoples R China; [Cui, Qiu] Chinese Acad Sci, Qingdao Inst Bioenergy &amp; Bioproc Technol, Metabol Grp, 189 Songling Rd, Qingdao 266101, Peoples R China</t>
  </si>
  <si>
    <t>Ocean University of China; Chinese Academy of Sciences; Qingdao Institute of Bioenergy &amp; Bioprocess Technology, CAS; Chinese Academy of Sciences; Qingdao Institute of Bioenergy &amp; Bioprocess Technology, CAS</t>
  </si>
  <si>
    <t>Lu, XL (corresponding author), Ocean Univ China, Coll Chem &amp; Chem Engn, Key Lab Marine Chem Theory &amp; Technol, Minist Educ, Qingdao 266100, Peoples R China.;Zhang, Y (corresponding author), Chinese Acad Sci, Qingdao Inst Bioenergy &amp; Bioproc Technol, Waste Valorizat &amp; Water Reuse Grp, 189 Songling Rd, Qingdao 266101, Peoples R China.</t>
  </si>
  <si>
    <t>lxlu@ouc.edu.cn; zhangyang@qibebt.ac.cn</t>
  </si>
  <si>
    <t>Cui, Qiu/JGD-7632-2023; lu, xl/HDO-8340-2022</t>
  </si>
  <si>
    <t>tan, ming/0000-0001-5196-4916</t>
  </si>
  <si>
    <t>National Natural Science Foundation of China [51508548, 21506238]; Key Research and Development Program of Shandong [2016CYJS07A02]; Instrument Functional Exploitation and Technical Innovation fund, Chinese Academy of Science</t>
  </si>
  <si>
    <t>National Natural Science Foundation of China(National Natural Science Foundation of China (NSFC)); Key Research and Development Program of Shandong; Instrument Functional Exploitation and Technical Innovation fund, Chinese Academy of Science</t>
  </si>
  <si>
    <t>The authors would like to appreciate the financial support of the National Natural Science Foundation of China (51508548, 21506238), Key Research and Development Program of Shandong (2016CYJS07A02) and the Instrument Functional Exploitation and Technical Innovation fund, Chinese Academy of Science. Yi Chen Membrane Technology Co. Ltd. is acknowledged for the donation of anion exchange membranes.</t>
  </si>
  <si>
    <t>0260-8774</t>
  </si>
  <si>
    <t>1873-5770</t>
  </si>
  <si>
    <t>J FOOD ENG</t>
  </si>
  <si>
    <t>J. Food Eng.</t>
  </si>
  <si>
    <t>10.1016/j.jfoodeng.2018.05.033</t>
  </si>
  <si>
    <t>Engineering, Chemical; Food Science &amp; Technology</t>
  </si>
  <si>
    <t>Engineering; Food Science &amp; Technology</t>
  </si>
  <si>
    <t>GR5VX</t>
  </si>
  <si>
    <t>WOS:000442711100003</t>
  </si>
  <si>
    <t>Langhamer, L; Sauter, T; Mayr, GJ</t>
  </si>
  <si>
    <t>Langhamer, Lukas; Sauter, Tobias; Mayr, Georg J.</t>
  </si>
  <si>
    <t>Lagrangian Detection of Moisture Sources for the Southern Patagonia Icefield (1979-2017)</t>
  </si>
  <si>
    <t>Southern Patagonia Icefield; moisture sources; moisture origin; moisture transport; El-Nino Southern Oscillation; Antarctic Oscillation; ERA-Interim; trajectories</t>
  </si>
  <si>
    <t>NET ACCUMULATION RATES; PRECIPITATION; WATER; ORIGIN; ISOTOPES; AMERICA; ANDES</t>
  </si>
  <si>
    <t>The origin of moisture for the Southern Patagonia Icefield and the transport of moisture toward it are not yet fully understood. These quantities have a large impact on the stable isotope composition of the icefield, adjacent lakes, and nearby vegetation, and is hard to quantify fromobservations. Clearly identified moisture sources help to interpret anomalies in the stable isotope compositions and contribute to paleoclimatological records from the icefield and the close surrounding. This study detects the moisture sources of the icefield with a Lagrangian moisture source method. The kinematic 18-day backward trajectory calculations use reanalysis data from the European Centre for Medium-Range Weather Forecasts (ERA-Interim) from January 1979 to January 2017. The dominant moisture sources are found in the South Pacific Ocean from 80 to 160 degrees W and 30 to 60 degrees S. A persistent anticyclone in the subtropics and advection of moist air by the prevailing westerlies are the principal flow patterns. Most of the moisture travels less than 10 days to reach the icefield. The majority of the trajectories originate from above the planetary boundary layer but enter the Pacific boundary layer to reach the maximum moisture uptake 2 days before arrival. During the last day trajectories rise as they encounter topography. The location of the moisture sources are influenced by seasons, Antarctic Oscillation, El-Nino Southern Oscillation, and the amount of monthly precipitation, which can be explained by variations in the location and strength of the westerly wind belt.</t>
  </si>
  <si>
    <t>[Langhamer, Lukas; Mayr, Georg J.] Univ Innsbruck, Inst Atmospher &amp; Cryospher Sci Innsbruck, Innsbruck, Austria; [Sauter, Tobias] Friedrich Alexander Univ Erlangen Nurnberg, Inst Geog, Erlangen, Germany</t>
  </si>
  <si>
    <t>University of Innsbruck; University of Erlangen Nuremberg</t>
  </si>
  <si>
    <t>Langhamer, L (corresponding author), Univ Innsbruck, Inst Atmospher &amp; Cryospher Sci Innsbruck, Innsbruck, Austria.</t>
  </si>
  <si>
    <t>lukas@langhamer.de</t>
  </si>
  <si>
    <t>Mayr, Georg/P-1680-2018; sauter, tobias/AAI-7313-2020; sauter, tobias/HSD-8208-2023</t>
  </si>
  <si>
    <t>sauter, tobias/0000-0002-2232-8096; sauter, tobias/0000-0002-2232-8096; Langhamer, Lukas/0000-0002-5020-5966</t>
  </si>
  <si>
    <t>Deutsche Forschungsgemeinschaft (DFG) [SA 2339/4-1]; University of Innsbruck</t>
  </si>
  <si>
    <t>Deutsche Forschungsgemeinschaft (DFG)(German Research Foundation (DFG)); University of Innsbruck</t>
  </si>
  <si>
    <t>We have to acknowledge the support of Michael Sprenger. His fundamental knowledge of technical details and willingness to help contributed to a successful application of LAGRANTO. We gratefully acknowledge financial support by the Deutsche Forschungsgemeinschaft (DFG), no. SA 2339/4-1. The study was conducted in the frame of the research area Alpiner Raum of the University of Innsbruck. The publication fund of the University of Innsbruck supported its publication.</t>
  </si>
  <si>
    <t>NOV 30</t>
  </si>
  <si>
    <t>10.3389/feart.2018.00219</t>
  </si>
  <si>
    <t>HF2XA</t>
  </si>
  <si>
    <t>WOS:000454098800001</t>
  </si>
  <si>
    <t>Beck, J; Bock, M; Schmitt, J; Seth, B; Blunier, T; Fischer, H</t>
  </si>
  <si>
    <t>Beck, Jonas; Bock, Michael; Schmitt, Jochen; Seth, Barbara; Blunier, Thomas; Fischer, Hubertus</t>
  </si>
  <si>
    <t>Bipolar carbon and hydrogen isotope constraints on the Holocene methane budget</t>
  </si>
  <si>
    <t>BIOGEOSCIENCES</t>
  </si>
  <si>
    <t>DELTA-D MEASUREMENTS; ATMOSPHERIC METHANE; ICE-CORE; CHRONOLOGY AICC2012; CLIMATE-CHANGE; ANTARCTIC ICE; CH4; EMISSIONS; GREENLAND; FIRN</t>
  </si>
  <si>
    <t>Atmospheric methane concentration shows a wellknown decrease over the first half of the Holocene following the Northern Hemisphere summer insolation before it started to increase again to preindustrial values. There is a debate about what caused this change in the methane concentration evolution, in particular, whether an early anthropogenic influence or natural emissions led to the reversal of the atmospheric CH4 concentration evolution. Here, we present new methane concentration and stable hydrogen and carbon isotope data measured on ice core samples from both Greenland and Antarctica over the Holocene. With the help of a two-box model and the full suite of CH4 parameters, the new data allow us to quantify the total methane emissions in the Northern Hemisphere and Southern Hemisphere separately as well as their stable isotopic signatures, while interpretation of isotopic records of only one hemisphere may lead to erroneous conclusions. For the first half of the Holocene our results indicate an asynchronous decrease in Northern Hemisphere and Southern Hemisphere CH4 emissions by more than 30 Tg CH4 yr(-1) in total, accompanied by a drop in the northern carbon isotopic source signature of about 3 parts per thousand. This cannot be explained by a change in the source mix alone but requires shifts in the isotopic signature of the sources themselves caused by changes in the precursor material for the methane production. In the second half of the Holocene, global CH4 emissions increased by about 30 Tg CH4 yr(-1), while preindustrial isotopic emission signatures remained more or less constant. However, our results show that this early increase in methane emissions took place in the Southern Hemisphere, while Northern Hemisphere emissions started to increase only about 2000 years ago. Accordingly, natural emissions in the southern tropics appear to be the main cause of the CH4 increase starting 5000 years before present, not supporting an early anthropogenic influence on the global methane budget by East Asian land use changes.</t>
  </si>
  <si>
    <t>[Beck, Jonas; Bock, Michael; Schmitt, Jochen; Seth, Barbara; Fischer, Hubertus] Univ Bern, Inst Phys, Climate &amp; Environm Phys, Sidlerstr 5, CH-3012 Bern, Switzerland; [Beck, Jonas; Bock, Michael; Schmitt, Jochen; Seth, Barbara; Fischer, Hubertus] Univ Bern, Oeschger Ctr Climate Change Res, CH-3012 Bern, Switzerland; [Blunier, Thomas] Univ Copenhagen, Niels Bohr Inst, Ctr Ice &amp; Climate, Juliane Maries Vej 30, DK-2100 Copenhagen, Denmark</t>
  </si>
  <si>
    <t>University of Bern; University of Bern; University of Copenhagen; Niels Bohr Institute</t>
  </si>
  <si>
    <t>Beck, J (corresponding author), Univ Bern, Inst Phys, Climate &amp; Environm Phys, Sidlerstr 5, CH-3012 Bern, Switzerland.;Beck, J (corresponding author), Univ Bern, Oeschger Ctr Climate Change Res, CH-3012 Bern, Switzerland.</t>
  </si>
  <si>
    <t>beck@climate.unibe.ch</t>
  </si>
  <si>
    <t>Schmitt, Jochen/B-7893-2009; Fischer, Hubertus/A-1211-2014; Blunier, Thomas/M-4609-2014</t>
  </si>
  <si>
    <t>Schmitt, Jochen/0000-0003-4695-3029; Fischer, Hubertus/0000-0002-2787-4221; Blunier, Thomas/0000-0002-6065-7747; Bock, Michael/0000-0001-5744-3169</t>
  </si>
  <si>
    <t>European Research Council (ERC) under the European Union's Seventh Framework Programme FP7/2007-2013 ERC grant [226172]; Swiss National Science Foundation; Denmark (SNF); Belgium (FNRS-CFB); France (IFRTP); France (NSU/CNRS); Germany (AWI); Iceland (RannIs); Japan (MEXT); Sweden (SPRS); Switzerland (SNF); United States (NSF); European Union</t>
  </si>
  <si>
    <t>European Research Council (ERC) under the European Union's Seventh Framework Programme FP7/2007-2013 ERC grant(European Research Council (ERC)); Swiss National Science Foundation(Swiss National Science Foundation (SNSF)); Denmark (SNF); Belgium (FNRS-CFB)(Fonds de la Recherche Scientifique - FNRS); France (IFRTP); France (NSU/CNRS); Germany (AWI); Iceland (RannIs); Japan (MEXT)(Ministry of Education, Culture, Sports, Science and Technology, Japan (MEXT)); Sweden (SPRS); Switzerland (SNF); United States (NSF); European Union(European Union (EU))</t>
  </si>
  <si>
    <t>The research leading to these results has received funding from the European Research Council (ERC) under the European Union's Seventh Framework Programme FP7/2007-2013 ERC grant 226172 (ERC Advanced Grant Modern Approaches to Temperature Reconstructions in Polar Ice Cores (MATRICs)) and the Swiss National Science Foundation. This work is a contribution to the NorthGRIP ice core project, which is directed and organised by the Department of Geophysics at the Niels Bohr Institute for Astronomy, Physics and Geophysics, University of Copenhagen. It is supported by funding agencies in Denmark (SNF), Belgium (FNRS-CFB), France (IFRTP and NSU/CNRS), Germany (AWI), Iceland (RannIs), Japan (MEXT), Sweden (SPRS), Switzerland (SNF), and the United States (NSF). Furthermore, this work is a contribution to the European Project for Ice Coring in Antarctica (EPICA), a joint European Science Foundation-European Commission scientific program funded by the European Union and national contributions from Belgium, Denmark, France, Germany, Italy, the Netherlands, Norway, Sweden, Switzerland, and the United Kingdom. The main logistic support was provided by Institut Polaire Francais Paul-Emile Victor (IPEV) and PNRA (at Dome C) and AWI (at Dronning Maud Land). The TALos Dome Ice CorE (TALDICE) project, a joint European program led by Italy, is funded by national contributions from Italy, France, Germany, Switzerland, and the United Kingdom. The main logistical support was provided by Programma Nazionale di Ricerche in Antartide (PNRA) at Talos Dome. This work is EPICA publication no. 309 and TALDICE publication no. 51.</t>
  </si>
  <si>
    <t>1726-4170</t>
  </si>
  <si>
    <t>1726-4189</t>
  </si>
  <si>
    <t>Biogeosciences</t>
  </si>
  <si>
    <t>10.5194/bg-15-7155-2018</t>
  </si>
  <si>
    <t>HC3WD</t>
  </si>
  <si>
    <t>WOS:000451732700003</t>
  </si>
  <si>
    <t>Dolman, AM; Laepple, T</t>
  </si>
  <si>
    <t>Dolman, Andrew M.; Laepple, Thomas</t>
  </si>
  <si>
    <t>Sedproxy: a forward model for sediment-archived climate proxies</t>
  </si>
  <si>
    <t>SURFACE-TEMPERATURE VARIABILITY; PLANKTONIC FORAMINIFERAL MG/CA; LAST DEGLACIATION; SOUTH ATLANTIC; ANTARCTIC FIRN; MIXED DEPTH; SEA; CALIBRATION; BIOTURBATION; ALKENONE</t>
  </si>
  <si>
    <t>Climate reconstructions based on proxy records recovered from marine sediments, such as alkenone records or geochemical parameters measured on foraminifera, play an important role in our understanding of the climate system. They provide information about the state of the ocean ranging back hundreds to millions of years and form the backbone of paleo-oceanography. However, there are many sources of uncertainty associated with the signal recovered from sediment-archived proxies. These include seasonal or depth-habitat biases in the recorded signal; a frequency-dependent reduction in the amplitude of the recorded signal due to bioturbation of the sediment; aliasing of high-frequency climate variation onto a nominally annual, decadal, or centennial resolution signal; and additional sample processing and measurement error introduced when the proxy signal is recovered. Here we present a forward model for sediment-archived proxies that jointly models the above processes so that the magnitude of their separate and combined effects can be investigated. Applications include the interpretation and analysis of uncertainty in existing proxy records, parameter sensitivity analysis to optimize future studies, and the generation of pseudo-proxy records that can be used to test reconstruction methods. We provide examples, such as the simulation of individual foraminifera records, that demonstrate the usefulness of the forward model for paleoclimate studies. The model is implemented as an open-source R package, sedproxy, to which we welcome collaborative contributions. We hope that use of sedproxy will contribute to a better understanding of both the limitations and potential of marine sediment proxies to inform researchers about earth's past climate.</t>
  </si>
  <si>
    <t>[Dolman, Andrew M.; Laepple, Thomas] Alfred Wegener Inst, Helmholtz Zentrum Polar &amp; Meeresforsch, Res Unit Potsdam, Telegrafenberg A45, D-14473 Potsdam, Germany</t>
  </si>
  <si>
    <t>Dolman, AM (corresponding author), Alfred Wegener Inst, Helmholtz Zentrum Polar &amp; Meeresforsch, Res Unit Potsdam, Telegrafenberg A45, D-14473 Potsdam, Germany.</t>
  </si>
  <si>
    <t>andrew.dolman@awi.de</t>
  </si>
  <si>
    <t>Dolman, Andrew/G-2399-2011; Laepple, Thomas/M-8783-2015</t>
  </si>
  <si>
    <t>Dolman, Andrew/0000-0002-6481-966X; Laepple, Thomas/0000-0001-8108-7520</t>
  </si>
  <si>
    <t>German Federal Ministry of Education and Research (BMBF) as a Research for Sustainability initiative (FONA) through the PalMod project [FKZ: 01LP1509C]; European Research Council (ERC) under the European Union's Horizon 2020 research and innovation programme [716092]; Initiative and Networking Fund of the Helmholtz Association [VG-NH900]</t>
  </si>
  <si>
    <t>German Federal Ministry of Education and Research (BMBF) as a Research for Sustainability initiative (FONA) through the PalMod project(Federal Ministry of Education &amp; Research (BMBF)); European Research Council (ERC) under the European Union's Horizon 2020 research and innovation programme(European Research Council (ERC)); Initiative and Networking Fund of the Helmholtz Association</t>
  </si>
  <si>
    <t>This work was supported by the German Federal Ministry of Education and Research (BMBF) as a Research for Sustainability initiative (FONA) through the PalMod project (FKZ: 01LP1509C). Thomas Laepple was supported from the European Research Council (ERC) under the European Union's Horizon 2020 research and innovation programme (grant agreement no. 716092) and the Initiative and Networking Fund of the Helmholtz Association grant VG-NH900. We thank Guillaume Leduc for suggesting example uses of the forward model and Jeroen Groeneveld, Michal Kucera, and Lukas Jonkers for helpful comments on the manuscript and advice during development of the ideas. We also thank Brett Metcalfe and one anonymous referee for their suggestions which significantly improved this work.</t>
  </si>
  <si>
    <t>10.5194/cp-14-1851-2018</t>
  </si>
  <si>
    <t>HC3WP</t>
  </si>
  <si>
    <t>WOS:000451733900001</t>
  </si>
  <si>
    <t>Souverijns, N; Gossart, A; Lhermitte, S; Gorodetskaya, IV; Grazioli, J; Berne, A; Duran-Alarcon, C; Boudevillain, B; Genthon, C; Scarchilli, C; van Lipzig, NPM</t>
  </si>
  <si>
    <t>Souverijns, Niels; Gossart, Alexandra; Lhermitte, Stef; Gorodetskaya, Irina V.; Grazioli, Jacopo; Berne, Alexis; Duran-Alarcon, Claudio; Boudevillain, Brice; Genthon, Christophe; Scarchilli, Claudio; van Lipzig, Nicole P. M.</t>
  </si>
  <si>
    <t>Evaluation of the CloudSat surface snowfall product over Antarctica using ground-based precipitation radars</t>
  </si>
  <si>
    <t>DRONNING MAUD LAND; MASS-BALANCE; ICE-SHEET; WEST ANTARCTICA; EAST ANTARCTICA; CLIMATE MODELS; BLOWING SNOW; ROSS SEA; ACCUMULATION; VARIABILITY</t>
  </si>
  <si>
    <t>In situ observations of snowfall over the Antarctic Ice Sheet are scarce. Currently, continent-wide assessments of snowfall are limited to information from the Cloud Profiling Radar on board the CloudSat satellite, which has not been evaluated up to now. In this study, snowfall derived from CloudSat is evaluated using three ground-based vertically profiling 24 GHz precipitation radars (Micro Rain Radars: MRRs). Firstly, using the MRR long-term measurement records, an assessment of the uncertainty caused by the low temporal sampling rate of CloudSat (one revisit per 2.1 to 4.5 days) is performed. The 10-90th-percentile temporal sampling uncertainty in the snowfall climatology varies between 30 % and 40 % depending on the latitudinal location and revisit time of CloudSat. Secondly, an evaluation of the snowfall climatology indicates that the CloudSat product, derived at a resolution of 1 degrees latitude by 2 degrees longitude, is able to accurately represent the snowfall climatology at the three MRR sites (biases &lt; 15 %), outperforming ERA-Interim. For coarser and finer resolutions, the performance drops as a result of higher omission errors by CloudSat. Moreover, the CloudSat product does not perform well in simulating individual snowfall events. Since the difference between the MRRs and the CloudSat climatology are limited and the temporal uncertainty is lower than current Climate Model Intercomparison Project Phase 5 (CMIP5) snowfall variability, our results imply that the CloudSat product is valuable for climate model evaluation purposes.</t>
  </si>
  <si>
    <t>[Souverijns, Niels; Gossart, Alexandra; van Lipzig, Nicole P. M.] Katholieke Univ Leuven, Dept Earth &amp; Environm Sci, Leuven, Belgium; [Lhermitte, Stef] Delft Univ Technol, Dept Geosci &amp; Remote Sensing, Delft, Netherlands; [Gorodetskaya, Irina V.] Univ Aveiro, Dept Phys, CESAM Ctr Environm &amp; Marine Studies, Aveiro, Portugal; [Grazioli, Jacopo; Berne, Alexis] Ecole Polytech Fed Lausanne, Environm Remote Sensing Lab, Lausanne, Switzerland; [Grazioli, Jacopo] MeteoSwiss, Fed Off Meteorol &amp; Climatol, Locarno, Switzerland; [Duran-Alarcon, Claudio; Boudevillain, Brice; Genthon, Christophe] Univ Grenoble Alpes, CNRS, IRD, Grenoble INP,IGE, Grenoble, France; [Scarchilli, Claudio] UTMEA, ENEA, Tech Unit Energy &amp; Environm Modeling, Rome, Italy</t>
  </si>
  <si>
    <t>KU Leuven; Delft University of Technology; Universidade de Aveiro; Swiss Federal Institutes of Technology Domain; Ecole Polytechnique Federale de Lausanne; Federal Office of Meteorology &amp; Climatology (MeteoSwiss); Centre National de la Recherche Scientifique (CNRS); Communaute Universite Grenoble Alpes; Universite Grenoble Alpes (UGA); Institut National Polytechnique de Grenoble; Institut de Recherche pour le Developpement (IRD); Italian National Agency New Technical Energy &amp; Sustainable Economics Development</t>
  </si>
  <si>
    <t>Souverijns, N (corresponding author), Katholieke Univ Leuven, Dept Earth &amp; Environm Sci, Leuven, Belgium.</t>
  </si>
  <si>
    <t>niels.souverijns@kuleuven.be</t>
  </si>
  <si>
    <t>van Lipzig, Nicole/ABF-2964-2021; Lhermitte, Stef (Stefaan)/A-3385-2013; Gossart, Alexandra/AAK-8903-2020; Souverijns, Niels/AAB-2142-2019; Durán-Alarcón, Claudio/AAU-3888-2020; Boudevillain, Brice/P-2457-2014; Gorodetskaya, Irina/K-1987-2015</t>
  </si>
  <si>
    <t>van Lipzig, Nicole/0000-0003-2899-4046; Lhermitte, Stef (Stefaan)/0000-0002-1622-0177; Gossart, Alexandra/0000-0002-1927-2685; Souverijns, Niels/0000-0003-4695-9754; Grazioli, Jacopo/0000-0002-7097-3946; Duran-Alarcon, Claudio/0000-0001-9559-8161; Berne, Alexis/0000-0003-4977-1204; Scarchilli, Claudio/0000-0002-2414-2439; Boudevillain, Brice/0000-0002-1771-4953; Gorodetskaya, Irina/0000-0002-2294-7823</t>
  </si>
  <si>
    <t>Belgian Science Policy Office (BELSPO) [BR/143/A2/AEROCLOUD]; Research Foundation Flanders (FWO) [G0C2215N]</t>
  </si>
  <si>
    <t>Belgian Science Policy Office (BELSPO)(Belgian Federal Science Policy Office); Research Foundation Flanders (FWO)(FWO)</t>
  </si>
  <si>
    <t>We thank the two reviewers for their comments, which substantially improved the quality of this paper. This work was supported by the Belgian Science Policy Office (BELSPO; grant number BR/143/A2/AEROCLOUD) and the Research Foundation Flanders (FWO; grant number G0C2215N).</t>
  </si>
  <si>
    <t>10.5194/tc-12-3775-2018</t>
  </si>
  <si>
    <t>HD4PI</t>
  </si>
  <si>
    <t>Green Published, Green Submitted, Green Accepted, gold</t>
  </si>
  <si>
    <t>WOS:000452509500003</t>
  </si>
  <si>
    <t>Frugone, MJ; Lowther, A; Noll, D; Ramos, B; Pistorius, P; Dantas, GPM; Petry, MV; Bonadonna, F; Steinfurth, A; Polanowski, A; Rey, AR; Lois, NA; Pütz, K; Trathan, P; Wienecke, B; Poulin, E; Vianna, JA</t>
  </si>
  <si>
    <t>Frugone, M. J.; Lowther, A.; Noll, D.; Ramos, B.; Pistorius, P.; Dantas, G. P. M.; Petry, M. V.; Bonadonna, F.; Steinfurth, A.; Polanowski, A.; Raya Rey, A.; Lois, N. A.; Puetz, K.; Trathan, P.; Wienecke, B.; Poulin, E.; Vianna, J. A.</t>
  </si>
  <si>
    <t>Contrasting phylogeographic pattern among Eudyptes penguins around the Southern Ocean</t>
  </si>
  <si>
    <t>LAST GLACIAL MAXIMUM; ROCKHOPPER PENGUINS; GENETIC DIFFERENTIATION; POPULATION-STRUCTURE; EXTANT PENGUINS; SCOTIA ARC; DIVERGENCE; GENTOO; DNA; COLONIES</t>
  </si>
  <si>
    <t>Since at least the middle-Miocene, the Antarctic Polar Front (APF) and the Subtropical Front (STF) appear to have been the main drivers of diversification of marine biota in the Southern Ocean. However, highly migratory marine birds and mammals challenge this paradigm and the importance of oceanographic barriers. Eudyptes penguins range from the Antarctic Peninsula to subantarctic islands and some of the southernmost subtropical islands. Because of recent diversification, the number of species remains uncertain. Here we analyze two mtDNA (HVRI, COI) and two nuclear (ODC, AK1) markers from 13 locations of five putative Eudyptes species: rockhopper (E. filholi, E. chrysocome, and E. moseleyi), macaroni (E. chrysolophus) and royal penguins (E. schlegeli). Our results show a strong phylogeographic structure among rockhopper penguins from South America, subantarctic and subtropical islands supporting the recognition of three separated species of rockhopper penguins. Although genetic divergence was neither observed among macaroni penguins from the Antarctic Peninsula and sub-Antarctic islands nor between macaroni and royal penguins, population genetic analyses revealed population genetic structure in both cases. We suggest that the APF and STF can act as barriers for these species. While the geographic distance between colonies might play a role, their impact/incidence on gene flow may vary between species and colonies.</t>
  </si>
  <si>
    <t>[Frugone, M. J.; Noll, D.; Ramos, B.; Vianna, J. A.] Pontificia Univ Catolica Chile, Fac Agron &amp; Ingn Forestal, Dept Ecosistemas &amp; Medio Ambiente, Vicuna Mackenna 4860, Santiago 7820436, Chile; [Frugone, M. J.; Noll, D.; Poulin, E.] Univ Chile, Dept Ciencias Ecol, Inst Ecol &amp; Biodiversidad, Santiago, Chile; [Lowther, A.] Norwegian Polar Res Inst, N-9297 Tromso, Norway; [Pistorius, P.] Nelson Mandela Univ, Percy Fitzpatrick Inst African Ornithol, Dept Zool, DST NRF Ctr Excellence, ZA-6031 Port Elizabeth, South Africa; [Dantas, G. P. M.] Pontificia Univ Catolica Minas Gerais, PPG Vertebrate Zool, Belo Horizonte, MG, Brazil; [Petry, M. V.] Univ Vale Rio dos Sinos, Lab Ornitol &amp; Anim Marinhos, Av Unisinos 950, Sao Leopoldo, RS, Brazil; [Bonadonna, F.] Univ Paul Valery Montpellier, Univ Montpellier, EPHE, CNRS,CEFE,UMR 5175, 1919 Route Mende, F-34293 Montpellier 5, France; [Steinfurth, A.] Univ Cape Town, DST NRF Ctr Excellence, FitzPatrick Inst African Ornithol, ZA-7700 Rondebosch, South Africa; [Steinfurth, A.] Royal Soc Protect Birds, RSPB Ctr Conservat Sci, David Attenborough Bldg,Pembroke St, Cambridge CB2 3QZ, Cambs, England; [Polanowski, A.; Wienecke, B.] Australian Antarctic Div, 203 Channel Highway, Kingston, Tas 7050, Australia; [Raya Rey, A.; Lois, N. A.] Consejo Nacl Invest Cient &amp; Tecn, CADIC, Consejo Nacl Invest Cient &amp; Tecn, Ctr Austral Invest Cient, Bernardo Houssay 200, Ushuaia, Tierra Del Fueg, Argentina; [Raya Rey, A.] Univ Nacl Tierra Del Fuego, Inst Ciencias Polares Ambiente &amp; Recursos Nat, Yrigoyen 879, Ushuaia, Argentina; [Lois, N. A.] Univ Buenos Aires, Consejo Nacl Invest Cient &amp; Tecn, CONICET,Lab Ecol &amp; Comportamiento Anim, Inst Ecol Genet &amp; Evoluc Buenos Aires,IEGEBA, Buenos Aires, DF, Argentina; [Puetz, K.] Antarctic Res Trust, Oste Hamme Kanal 10, D-27432 Bremervorde, Germany; [Trathan, P.] British Antarctic Survey, High Cross,Madingley Rd, Cambridge CB3 0ET, England</t>
  </si>
  <si>
    <t>Pontificia Universidad Catolica de Chile; Universidad de Chile; Norwegian Polar Institute; Nelson Mandela University; National Research Foundation - South Africa; Pontificia Universidade Catolica de Minas Gerais; Universidade do Vale do Rio dos Sinos (Unisinos); Universite PSL; Ecole Pratique des Hautes Etudes (EPHE); Institut Agro; Montpellier SupAgro; CIRAD; Centre National de la Recherche Scientifique (CNRS); Institut de Recherche pour le Developpement (IRD); Universite Paul-Valery; Universite de Montpellier; National Research Foundation - South Africa; University of Cape Town; Royal Society for Protection of Birds; Australian Antarctic Division; Consejo Nacional de Investigaciones Cientificas y Tecnicas (CONICET); University of Buenos Aires; Consejo Nacional de Investigaciones Cientificas y Tecnicas (CONICET); UK Research &amp; Innovation (UKRI); Natural Environment Research Council (NERC); NERC British Antarctic Survey</t>
  </si>
  <si>
    <t>Vianna, JA (corresponding author), Pontificia Univ Catolica Chile, Fac Agron &amp; Ingn Forestal, Dept Ecosistemas &amp; Medio Ambiente, Vicuna Mackenna 4860, Santiago 7820436, Chile.</t>
  </si>
  <si>
    <t>jvianna@uc.cl</t>
  </si>
  <si>
    <t>Petry, Maria Virginia/AAG-5333-2021; Dantas, Gisele PM/T-6782-2019; Poulin, Elie/C-2654-2012; Lowther, Andrew/T-2511-2019; Frugone, María José/AAH-2930-2019; Bonadonna, Francesco/A-7456-2008; Chaves Ramos, Barbara Ruanne/KHE-4980-2024; petry, maria/K-8410-2013; Vianna, Juliana/E-9847-2015</t>
  </si>
  <si>
    <t>Dantas, Gisele PM/0000-0001-5282-7577; Poulin, Elie/0000-0001-7736-0969; Lowther, Andrew/0000-0003-4294-3157; Frugone, María José/0000-0002-8302-0386; Bonadonna, Francesco/0000-0002-2702-5801; Raya Rey, Andrea/0000-0003-0127-6650; Polanowski, Andrea/0000-0002-9612-220X; Puetz, Klemens/0000-0003-1375-2669; petry, maria/0000-0002-7870-7394; Vianna, Juliana/0000-0003-2330-7825; Pistorius, Pierre/0000-0001-6561-7069; Lois, Nicolas A./0000-0001-5664-0486; Noll, Daly/0000-0003-3733-8817</t>
  </si>
  <si>
    <t>INACH [RT_12-14]; Fondecyt [1150517]; PIA CONICYT [ACT172065]; National Science and Technology Institute on Antarctic Environmental Research (INCT-APA) - Brazilian Antarctic Program (PROANTAR) [CNPq 574018/2008-5, FAPERJ-16/170023/2008]; IPEV prog [354 ETHOTAAF]; CNPq [482501/2013-8]; Tristan da Cunha Conservation Department; NERC [bas0100035] Funding Source: UKRI</t>
  </si>
  <si>
    <t>INACH; Fondecyt(Comision Nacional de Investigacion Cientifica y Tecnologica (CONICYT)CONICYT FONDECYT); PIA CONICYT(Comision Nacional de Investigacion Cientifica y Tecnologica (CONICYT)); National Science and Technology Institute on Antarctic Environmental Research (INCT-APA) - Brazilian Antarctic Program (PROANTAR); IPEV prog; CNPq(Conselho Nacional de Desenvolvimento Cientifico e Tecnologico (CNPQ)); Tristan da Cunha Conservation Department; NERC(UK Research &amp; Innovation (UKRI)Natural Environment Research Council (NERC))</t>
  </si>
  <si>
    <t>Financial support for this study was provided by INACH RT_12-14, Fondecyt Project 1150517, PIA CONICYT ACT172065, the National Science and Technology Institute on Antarctic Environmental Research (INCT-APA - CNPq 574018/2008-5 and FAPERJ-16/170023/2008) funded by the Brazilian Antarctic Program (PROANTAR) and IPEV prog 354 ETHOTAAF. Logistical support was provided by the Brazilian Secretary of the Inter-Ministry on Marine Resources (SECIRM) and CNPq Process no 482501/2013-8. We thank Armada de Chile for logistical support and special thanks to the Halleff and Alacalufe crew. We also thank Department of Environmental Affairs in South Africa, Newi Makhado, Ralf Vanstreels, Betsy Pincheira, Marcelo Fuentes-Hurtado and Isidora Mura for field work support and Tristan da Cunha Conservation Department for their logistical, financial and invaluable help in the field; and Christian Ibanez and Maria Cecilia Pardo for data analysis support. We also thank Juan Pablo Bravo for the design and drawing of Figure 1.</t>
  </si>
  <si>
    <t>10.1038/s41598-018-35975-3</t>
  </si>
  <si>
    <t>HC4BY</t>
  </si>
  <si>
    <t>WOS:000451748700003</t>
  </si>
  <si>
    <t>Perwitasari, S; Nakamura, T; Kogure, M; Tomikawa, Y; Ejiri, MK; Shiokawa, K</t>
  </si>
  <si>
    <t>Perwitasari, Septi; Nakamura, Takuji; Kogure, Masaru; Tomikawa, Yoshihiro; Ejiri, Mitsumu K.; Shiokawa, Kazuo</t>
  </si>
  <si>
    <t>Comparison of gravity wave propagation directions observed by mesospheric airglow imaging at three different latitudes using the M-transform</t>
  </si>
  <si>
    <t>ANNALES GEOPHYSICAE</t>
  </si>
  <si>
    <t>PHASE-VELOCITY DISTRIBUTION; OH AIRGLOW; STATISTICAL-ANALYSIS; MIDDLE ATMOSPHERE; IMAGERS</t>
  </si>
  <si>
    <t>We developed user-friendly software based on Matsuda et al.'s (2014) 3D-FFT method (Matsuda-transform, M-transform) for airglow imaging data analysis as a function of Interactive Data Language (IDL). Users can customize the range of wave parameters to process when executing the program. The input for this function is a 3-D array of a time series of a 2-D airglow image in geographical coordinates. We applied this new function to mesospheric airglow imaging data with slightly different observation parameters obtained for the period of April-May at three different latitudes: Syowa Station, the Antarctic (69 degrees S, 40 degrees E); Shigaraki, Japan (35 degrees N, 136 degrees E); and Tomohon, Indonesia (1 degrees N, 122 degrees E). The day-to-day variation of the phase velocity spectrum at the Syowa Station is smaller and the propagation direction is mainly westward. In Shigaraki, the day-to-day variation of the horizontal propagation direction is larger than that at the Syowa Station; the variation in Tomohon is even larger. In Tomohon, the variation of the nightly power spectrum magnitude is remarkable, which indicates the intermittency of atmospheric gravity waves (AGWs). The average nightly spectrum obtained from April-May shows that the dominant propagation is westward with a phase speed &lt; 50 m s(-1) at the Syowa Station and east-southeastward with a phase speed of up to similar to 80 m s(-1) in Shigaraki. The day-to-day variation in Tomohon is too strong to discuss average characteristics; however, a phase speed of up to similar to 100 m s(-1) and faster is observed. The corresponding background wind profiles derived from MERRA-2 indicate that wind filtering plays a significant role in filtering out waves that propagate eastward at the Syowa Station. On the other hand, the background wind is not strong enough to filter out relatively high-speed AGWs in Shigaraki and Tomohon and the dominant propagation direction is likely related to the distribution and characteristics of the source region, at least in April and May.</t>
  </si>
  <si>
    <t>[Perwitasari, Septi; Nakamura, Takuji; Kogure, Masaru; Tomikawa, Yoshihiro; Ejiri, Mitsumu K.] Natl Inst Polar Res, Tokyo 1908518, Japan; [Nakamura, Takuji; Kogure, Masaru; Tomikawa, Yoshihiro; Ejiri, Mitsumu K.] SOKENDAI Grad Univ Adv Studies, Dept Polar Sci, Tokyo 1908518, Japan; [Perwitasari, Septi] Natl Inst Aeronaut &amp; Space LAPAN Indonesia, Bandung 40173, Indonesia; [Shiokawa, Kazuo] Nagoya Univ, Inst Space Earth Environm Res, Nagoya, Aichi 4648601, Japan</t>
  </si>
  <si>
    <t>Research Organization of Information &amp; Systems (ROIS); National Institute of Polar Research (NIPR) - Japan; Graduate University for Advanced Studies - Japan; National Research &amp; Innovation Agency of Indonesia (BRIN); National Institute of Aeronautics &amp; Space of Indonesia (LAPAN); Nagoya University</t>
  </si>
  <si>
    <t>Perwitasari, S (corresponding author), Natl Inst Polar Res, Tokyo 1908518, Japan.;Perwitasari, S (corresponding author), Natl Inst Aeronaut &amp; Space LAPAN Indonesia, Bandung 40173, Indonesia.</t>
  </si>
  <si>
    <t>septi.perwitasari@gmail.com</t>
  </si>
  <si>
    <t>Kogure, Masaru/IUP-8537-2023; Tomikawa, Yoshihiro/D-5304-2012</t>
  </si>
  <si>
    <t>Kogure, Masaru/0000-0003-0774-8647; Tomikawa, Yoshihiro/0000-0002-5652-3017; Nakamura, Takuji/0000-0002-3876-2946</t>
  </si>
  <si>
    <t>JSPS KAKENHI [JP 15H02137, JP 15H05815, JP 16H06286]; National Institute of Polar Research (NIPR); JSPS Core-to-Core Program, B. Asia-Africa Science Platforms; National Institute of Information and Communications Technology (NICT) Foreign Researcher Invitation Program; NIPR</t>
  </si>
  <si>
    <t>JSPS KAKENHI(Ministry of Education, Culture, Sports, Science and Technology, Japan (MEXT)Japan Society for the Promotion of ScienceGrants-in-Aid for Scientific Research (KAKENHI)); National Institute of Polar Research (NIPR)(National Institute of Polar Research (NIPR) - Japan); JSPS Core-to-Core Program, B. Asia-Africa Science Platforms; National Institute of Information and Communications Technology (NICT) Foreign Researcher Invitation Program; NIPR(National Institute of Polar Research (NIPR) - Japan)</t>
  </si>
  <si>
    <t>The airglow imaging at Syowa was carried out by the Japanese Antarctic Research Expedition (JARE) of the Ministry of Education, Culture, Sports, Science and Technology (MEXT). The airglow imager in Tomohon is operated by the National Institute of Aeronautics and Space (LAPAN), Indonesia. The airglow imager in Shigaraki is operated by Institute for Space-Earth Environmental Research (ISEE), Nagoya University, in collaboration with the Research Institute for Sustainable Humanosphere, Kyoto University. This research was supported by JSPS KAKENHI grants (JP 15H02137, JP 15H05815, and JP 16H06286), projects KP-1 and KP-301 of the National Institute of Polar Research (NIPR), and by the JSPS Core-to-Core Program, B. Asia-Africa Science Platforms. This research was supported by the National Institute of Information and Communications Technology (NICT) Foreign Researcher Invitation Program. The MERRA-2 data used in this study have been provided by the Global Modeling and Assimilation Office (GMAO) at NASA Goddard Space Flight Center. This publication was supported by an NIPR publication subsidy.</t>
  </si>
  <si>
    <t>0992-7689</t>
  </si>
  <si>
    <t>1432-0576</t>
  </si>
  <si>
    <t>ANN GEOPHYS-GERMANY</t>
  </si>
  <si>
    <t>10.5194/angeo-36-1597-2018</t>
  </si>
  <si>
    <t>Astronomy &amp; Astrophysics; Geosciences, Multidisciplinary; Meteorology &amp; Atmospheric Sciences</t>
  </si>
  <si>
    <t>Astronomy &amp; Astrophysics; Geology; Meteorology &amp; Atmospheric Sciences</t>
  </si>
  <si>
    <t>HC3VM</t>
  </si>
  <si>
    <t>WOS:000451730900001</t>
  </si>
  <si>
    <t>Neumann, FH; Scott, L</t>
  </si>
  <si>
    <t>Neumann, Frank H.; Scott, Louis</t>
  </si>
  <si>
    <t>EM van Zinderen Bakker (1907-2002) and the study of African Quaternary palaeoenvironments</t>
  </si>
  <si>
    <t>QUATERNARY INTERNATIONAL</t>
  </si>
  <si>
    <t>Africa; Palynology; Quaternary vegetation history; Pioneering research; Conceptual climate models</t>
  </si>
  <si>
    <t>LAST GLACIAL MAXIMUM; SOUTH-AFRICA; LATE PLEISTOCENE; MARION-ISLAND; PALYNOLOGICAL EVIDENCE; SOUTHWESTERN AFRICA; VEGETATION HISTORY; POLLEN EVIDENCE; TSWAING CRATER; SAVANNA BIOME</t>
  </si>
  <si>
    <t>The scientific contributions of E.M. van Zinderen Bakker (1907-2002) included the introduction of pollen analysis to Quaternary studies in South Africa. His palaeoecological theories evolved while performing palynological research in Southern Africa (the Maluti Mountains, Florisbad, Aliwal North, the Namib Desert), East Africa (Kalambo Falls, Mount Kenya, Cherangani Hills) and on the subantarctic islands (Marion and Prince Edward Islands). He was involved in the first radiocarbon dating from South Africa at Florisbad. Due to quantitative palynological studies he abandoned Wayland's (1929) Pluvial Theory that was generally accepted in the 1960s. He correlated observations of climate changes in Africa to data from marine borehole-cores and climatic fluctuations in the Northern Hemisphere. His observations led to the proposal that global temperature fluctuations are the primary cause of palaeoenvironmental changes. His studies culminated in a conceptual paleoecological model for the Last Glacial Maximum (LGM). Initially he based the model on symmetrical contraction of climatic belts about the equator that shifted the mid-latitude westerly wind system northward to increase the area receiving winter rainfall but later adjusted this by proposing a mechanism of westerly wind system intensification. He suggested that at this time grasslands had spread over wider areas in Southern Africa and that the tropical rain forests in the equatorial region fragmented. For interglacial periods he suggested that a southward shift of the Intertropical Convergence Zone (ITCZ) resulted in widespread humidity in the Congo Basin while large areas of the interior of Southern Africa became arid. Some of his ideas, especially his conceptual models of Quaternary vegetation and climate, are still relevant to the explanation of recent discoveries.</t>
  </si>
  <si>
    <t>[Neumann, Frank H.] Univ KwaZulu Natal, Sch Agr Earth &amp; Environm Sci, Carbis Rd, ZA-3201 Pietermaritzburg, South Africa; [Neumann, Frank H.; Scott, Louis] Univ Free State, Dept Plant Sci, Nelson Mandela Dr, ZA-9301 Bloemfontein, South Africa</t>
  </si>
  <si>
    <t>University of Kwazulu Natal</t>
  </si>
  <si>
    <t>Neumann, FH (corresponding author), Univ Witwatersrand, Evolutionary Studies Inst, Private Bag 3, ZA-2050 Johannesburg, South Africa.</t>
  </si>
  <si>
    <t>frank.neumann@wits.ac.za; scottl@ufs.ac.za</t>
  </si>
  <si>
    <t>Neumann, Frank H./0000-0002-3620-2742</t>
  </si>
  <si>
    <t>NRF [85903]</t>
  </si>
  <si>
    <t>NRF</t>
  </si>
  <si>
    <t>We declare that we have no significant competing financial, professional or personal interests that might have influenced the performance or presentation of the work described in this manuscript. This research did not receive any specific grant from funding agencies in the public, commercial, or not-for-profit sectors. F.N. was funded by a postdoctoral fellowship at UKZN/UFS and L.S. by the NRF (Grant no. 85903). Any opinion, finding, and conclusion or recommendation expressed in this material is that of the authors, and the NRF does not accept any liability in this regard. We are very grateful to the editors of Quaternary International, as well as J. Runge and two anonymous reviewers for their useful suggestions and comments. We thank Eduard van Zinderen Bakker Jr. for reading the manuscript and for the photograph of his father at Mount Kenya. We thank the archive of the Antarctic Legacy of South Africa (http://alp.lib.sun.ac.za) for the use of the photographs in Fig. 2 (B, F).</t>
  </si>
  <si>
    <t>1040-6182</t>
  </si>
  <si>
    <t>1873-4553</t>
  </si>
  <si>
    <t>QUATERN INT</t>
  </si>
  <si>
    <t>Quat. Int.</t>
  </si>
  <si>
    <t>10.1016/j.quaint.2018.04.017</t>
  </si>
  <si>
    <t>GZ6NV</t>
  </si>
  <si>
    <t>WOS:000449555500013</t>
  </si>
  <si>
    <t>Sarthou, G; Lherminier, P; Achterberg, EP; Alonso-Pérez, F; Bucciarelli, E; Boutorh, J; Bouvier, V; Boyle, EA; Branellec, P; Carracedo, LI; Casacuberta, N; Castrillejo, M; Cheize, M; Pereira, LC; Cossa, D; Daniault, N; De Saint-Legér, E; Dehairs, F; Deng, FF; de Gésincourt, FD; Devesa, J; Foliot, L; Fonseca-Batista, D; Gallinari, M; García-Ibáñez, MI; Gourain, A; Grossteffan, E; Hamon, M; Heimburger, LE; Henderson, GM; Jeandel, C; Kermabon, C; Lacan, F; Le Bot, P; Le Goff, M; Le Roy, E; Lefèbvre, A; Leizour, S; Lemaitre, N; Masqué, P; Ménage, O; Barraqueta, JLM; Mercier, H; Perault, F; Pérez, FF; Planquette, HF; Planchon, F; Roukaerts, A; Sanial, V; Sauzède, R; Schmechtig, C; Shelley, RU; Stewart, G; Sutton, JN; Tang, Y; Tisnérat-Laborde, N; Tonnard, M; Tréguer, P; van Beek, P; Zurbrick, CM; Zunino, P</t>
  </si>
  <si>
    <t>Sarthou, Geraldine; Lherminier, Pascale; Achterberg, Eric P.; Alonso-Perez, Fernando; Bucciarelli, Eva; Boutorh, Julia; Bouvier, Vincent; Boyle, Edward A.; Branellec, Pierre; Carracedo, Lidia I.; Casacuberta, Nuria; Castrillejo, Maxi; Cheize, Marie; Pereira, Leonardo Contreira; Cossa, Daniel; Daniault, Nathalie; De Saint-Leger, Emmanuel; Dehairs, Frank; Deng, Feifei; de Gesincourt, Floriane Desprez; Devesa, Jeremy; Foliot, Lorna; Fonseca-Batista, Debany; Gallinari, Morgane; Garcia-Ibanez, Maribel I.; Gourain, Arthur; Grossteffan, Emilie; Hamon, Michel; Heimburger, Lars Eric; Henderson, Gideon M.; Jeandel, Catherine; Kermabon, Catherine; Lacan, Francois; Le Bot, Philippe; Le Goff, Manon; Le Roy, Emilie; Lefebvre, Alison; Leizour, Stephane; Lemaitre, Nolwenn; Masque, Pere; Menage, Olivier; Barraqueta, Jan-Lukas Menzel; Mercier, Herle; Perault, Fabien; Perez, Fiz F.; Planquette, Helene F.; Planchon, Frederic; Roukaerts, Arnout; Sanial, Virginie; Sauzede, Raphaelle; Schmechtig, Catherine; Shelley, Rachel U.; Stewart, Gillian; Sutton, Jill N.; Tang, Yi; Tisnerat-Laborde, Nadine; Tonnard, Manon; Treguer, Paul; van Beek, Pieter; Zurbrick, Cheryl M.; Zunino, Patricia</t>
  </si>
  <si>
    <t>Introduction to the French GEOTRACES North Atlantic Transect (GA01): GEOVIDE cruise</t>
  </si>
  <si>
    <t>MERIDIONAL OVERTURNING CIRCULATION; CARBON EXPORT; ISOTOPIC COMPOSITION; IRON FERTILIZATION; WATER MASSES; OCEAN; SEA; FLUXES; DISTRIBUTIONS; CONSTRAINTS</t>
  </si>
  <si>
    <t>The GEOVIDE cruise, a collaborative project within the framework of the international GEOTRACES programme, was conducted along the French-led section in the North Atlantic Ocean (Section GA01), between 15 May and 30 June 2014. In this special issue (https://www.biogeosciences.net/special_ issue900.html), results from GEOVIDE, including physical oceanography and trace element and isotope cyclings, are presented among 18 articles. Here, the scientific context, project objectives, and scientific strategy of GEOVIDE are provided, along with an overview of the main results from the articles published in the special issue.</t>
  </si>
  <si>
    <t>[Sarthou, Geraldine; Bucciarelli, Eva; Boutorh, Julia; Cheize, Marie; de Gesincourt, Floriane Desprez; Devesa, Jeremy; Gallinari, Morgane; Gourain, Arthur; Le Goff, Manon; Lemaitre, Nolwenn; Planquette, Helene F.; Planchon, Frederic; Shelley, Rachel U.; Sutton, Jill N.; Tonnard, Manon; Treguer, Paul] Univ Brest, LEMAR Lab Sci Environm Marin, CNRS, IRD,Ifremer, Technopole Brest Iroise, F-29280 Plouzane, France; [Lherminier, Pascale; Branellec, Pierre; Daniault, Nathalie; de Gesincourt, Floriane Desprez; Hamon, Michel; Kermabon, Catherine; Le Bot, Philippe; Lefebvre, Alison; Leizour, Stephane; Menage, Olivier; Mercier, Herle; Zunino, Patricia] Univ Brest, IFREMER, CNRS, IRD,LOPS,IUEM, Plouzane, France; [Achterberg, Eric P.; Barraqueta, Jan-Lukas Menzel] GEOMAR Helmholtz Ctr Ocean Res Kiel, D-24148 Kiel, Germany; [Alonso-Perez, Fernando; Carracedo, Lidia I.; Garcia-Ibanez, Maribel I.; Perez, Fiz F.] CSIC, IIM, Eduardo Cabello 6, Vigo 36208, Spain; [Bouvier, Vincent; Jeandel, Catherine; Lacan, Francois; Le Roy, Emilie; Sanial, Virginie; van Beek, Pieter] Univ Toulouse, LEGOS, CNES, CNRS,IRD,UPS, 14 Ave Edouard Belin, F-31400 Toulouse, France; [Boyle, Edward A.; Zurbrick, Cheryl M.] MIT, Earth Atmospher &amp; Planetary Sci, 77 Massachusetts Ave, Cambridge, MA 02139 USA; [Casacuberta, Nuria; Castrillejo, Maxi] Swiss Fed Inst Technol, Inst Geochem &amp; Petrol, Dept Earth Sci, Lab Ion Beam Phys, Otto Stern Weg 5, CH-8093 Zurich, Switzerland; [Castrillejo, Maxi; Masque, Pere] Univ Autonoma Barcelona, Inst Ciencia &amp; Tecnol Ambientals, Bellaterra 08193, Spain; [Castrillejo, Maxi; Masque, Pere] Univ Autonoma Barcelona, Dept Fis, Bellaterra 08193, Spain; [Pereira, Leonardo Contreira] Fundacao Univ Fed Rio Grande, IO, Lab Hidroquim, Rio Grande, Brazil; [Cossa, Daniel] Univ Grenoble Alpes, ISTerre, CS 40700, F-38058 Grenoble 9, France; [De Saint-Leger, Emmanuel; Perault, Fabien] Div Tech Batiment IPEV Ctr Ifremer, CNRS, INSU, Technopole Brest Iroise,CS 50074, F-29280 Plouzane, France; [Dehairs, Frank; Fonseca-Batista, Debany; Lemaitre, Nolwenn; Roukaerts, Arnout] Vrije Univ Brussel, Analyt Environm &amp; Geochem, Pl Laan 2, B-1050 Brussels, Belgium; [Deng, Feifei; Henderson, Gideon M.] Univ Oxford, Dept Earth Sci, South Parks Rd, Oxford OX1 3AN, England; [Foliot, Lorna; Tisnerat-Laborde, Nadine] Univ Paris Saclay, UVSQ, CNRS, LSCE,IPSL,CEA, F-91198 Gif Sur Yvette, France; [Fonseca-Batista, Debany] Dalhousie Univ, Dept Biol, Halifax, NS B3H 4R2, Canada; [Garcia-Ibanez, Maribel I.] Bjerknes Ctr Climate Res, Uni Res Climate, N-5008 Bergen, Norway; [Gourain, Arthur] Univ Liverpool, Sch Environm Sci, Ocean Sci Dept, Liverpool L69 3GP, Merseyside, England; [Grossteffan, Emilie] Univ Brest, CNRS, IUEM, UMS 3113,IRD,Ifremer, Technopole Brest Iroise,Rue Dumont dUrville, F-29280 Plouzane, France; [Heimburger, Lars Eric] Univ Toulon &amp; Var, Aix Marseille Univ, CNRS, IRD,INSU,Mediterranean Inst Oceanog UM 110, Marseille, France; [Masque, Pere] Edith Cowan Univ, Sch Sci, 270 Joondalup Dr, Joondalup, WA 6027, Australia; [Masque, Pere] Univ Western Australia, Sch Phys Math &amp; Comp, Oceans Inst, Crawley, WA 6009, Australia; [Masque, Pere] Univ Western Australia, Sch Phys Math &amp; Comp, Dept Phys, Crawley, WA 6009, Australia; [Sauzede, Raphaelle] UPMC Univ Paris 06, Sorbonne Univ, CNRS, LOV, F-06230 Villefranche Sur Mer, France; [Schmechtig, Catherine] Sorbonne Univ, CNRS, UMS 3455, OSU Ecce Terra, Paris 5, France; [Stewart, Gillian; Tang, Yi] CUNY Queens Coll, Sch Earth &amp; Environm Sci, Flushing, NY 11367 USA; [Stewart, Gillian; Tang, Yi] CUNY, Grad Ctr, Earth &amp; Environm Sci, New York, NY USA; [Tonnard, Manon] Univ Tasmania, ACE CRC, Private Bag 80, Hobart, Tas 7001, Australia; [Tonnard, Manon] Univ Tasmania, Inst Marine &amp; Antarctic Studies, Hobart, Tas 7001, Australia; [Cheize, Marie] Ctr Ifremer Bretagne, Lab Cycles Geochim, Geosci Marines, Plouzane, France; [Lemaitre, Nolwenn] Swiss Fed Inst Technol, Inst Geochem &amp; Petr, Dept Earth Sci, Zurich, Switzerland; [Barraqueta, Jan-Lukas Menzel] Stellenbosch Univ, Dept Earth Sci, ZA-7600 Stellenbosch, South Africa; [Sanial, Virginie] Univ Southern Mississippi, Div Marine Sci, 1020 Balch Blvd, Stennis Space Ctr, MS 39529 USA; [Shelley, Rachel U.] Florida State Univ, Earth Ocean &amp; Atmospher Sci, Tallahassee, FL 32306 USA</t>
  </si>
  <si>
    <t>Centre National de la Recherche Scientifique (CNRS); Ifremer; Institut de Recherche pour le Developpement (IRD); Universite de Bretagne Occidentale; Universite de Bretagne Occidentale; Institut Universitaire Europeen de la Mer (IUEM); Centre National de la Recherche Scientifique (CNRS); Institut de Recherche pour le Developpement (IRD); Ifremer; Helmholtz Association; GEOMAR Helmholtz Center for Ocean Research Kiel; Consejo Superior de Investigaciones Cientificas (CSIC); CSIC - Instituto de Investigaciones Marinas (IIM); Universite de Toulouse; Universite Toulouse III - Paul Sabatier; Centre National de la Recherche Scientifique (CNRS); Institut de Recherche pour le Developpement (IRD); Laboratoire d'Etudes en Geophysique et oceanographie spatiales; Massachusetts Institute of Technology (MIT); Swiss Federal Institutes of Technology Domain; ETH Zurich; Autonomous University of Barcelona; Autonomous University of Barcelona; Universidade Federal do Rio Grande; Communaute Universite Grenoble Alpes; Universite Grenoble Alpes (UGA); Centre National de la Recherche Scientifique (CNRS); Institut de Recherche pour le Developpement (IRD); Universite Gustave-Eiffel; Universite Savoie Mont Blanc; Centre National de la Recherche Scientifique (CNRS); CNRS - National Institute for Earth Sciences &amp; Astronomy (INSU); Vrije Universiteit Brussel; University of Oxford; Universite Paris Saclay; Universite Paris Cite; CEA; Centre National de la Recherche Scientifique (CNRS); Dalhousie University; Bjerknes Centre for Climate Research; University of Liverpool; Institut de Recherche pour le Developpement (IRD); Universite de Bretagne Occidentale; Institut Universitaire Europeen de la Mer (IUEM); Centre National de la Recherche Scientifique (CNRS); CNRS - National Institute for Earth Sciences &amp; Astronomy (INSU); Ifremer; Universite de Toulon; Aix-Marseille Universite; Institut de Recherche pour le Developpement (IRD); Centre National de la Recherche Scientifique (CNRS); CNRS - National Institute for Earth Sciences &amp; Astronomy (INSU); Edith Cowan University; University of Western Australia; University of Western Australia; Sorbonne Universite; Centre National de la Recherche Scientifique (CNRS); Centre National de la Recherche Scientifique (CNRS); Sorbonne Universite; City University of New York (CUNY) System; Queens College NY (CUNY); City University of New York (CUNY) System; University of Tasmania; Antarctic Climate &amp; Ecosystems Cooperative Research Centre (ACE CRC); University of Tasmania; Ifremer; Universite Paris Cite; Swiss Federal Institutes of Technology Domain; ETH Zurich; Stellenbosch University; University of Southern Mississippi; State University System of Florida; Florida State University</t>
  </si>
  <si>
    <t>Sarthou, G (corresponding author), Univ Brest, LEMAR Lab Sci Environm Marin, CNRS, IRD,Ifremer, Technopole Brest Iroise, F-29280 Plouzane, France.</t>
  </si>
  <si>
    <t>geraldine.sarthou@univ-brest.fr</t>
  </si>
  <si>
    <t>Casacuberta, Nuria/AAS-2189-2020; Le Roy, Emilie/HHN-0611-2022; Achterberg, Eric P/C-5820-2009; Fernandez Perez, Fiz/B-9001-2011; Heimbürger-Boavida, Lars-Eric/AAF-6856-2021; Masque, Pere/B-7379-2008; Masque, Pere/AAC-9349-2022; Lacan, Francois/B-8032-2009; Barraqueta, Jan-Lukas Menzel/AAI-2093-2019; Lherminier, Pascale/L-3181-2014; García-Ibáñez, Maribel I./AAE-1798-2019; Carracedo, Lidia/AAT-5505-2021; Alonso-Pérez, Fernando/P-8679-2014; Sauzède, Raphaëlle/AAJ-8122-2021; Sanial, Virginie/D-6160-2019; MERCIER, Herle/L-4161-2015; GALLINARI, Morgane/V-8099-2017</t>
  </si>
  <si>
    <t>Casacuberta, Nuria/0000-0001-7316-1655; Le Roy, Emilie/0000-0001-6292-3618; Fernandez Perez, Fiz/0000-0003-4836-8974; Heimbürger-Boavida, Lars-Eric/0000-0003-0632-5183; Masque, Pere/0000-0002-1789-320X; Masque, Pere/0000-0002-1789-320X; Lacan, Francois/0000-0001-6794-2279; Lherminier, Pascale/0000-0001-9007-2160; García-Ibáñez, Maribel I./0000-0001-5218-0064; Carracedo, Lidia/0000-0003-3316-7651; Alonso-Pérez, Fernando/0000-0002-4434-0360; Sauzède, Raphaëlle/0000-0001-9992-5334; Sanial, Virginie/0000-0002-0800-5127; Menzel Barraqueta, Jan Lukas/0000-0002-9735-1231; MERCIER, Herle/0000-0002-1940-617X; Sarthou, Geraldine/0000-0001-6560-6669; Boyle, Edward/0000-0002-6394-1866; van Beek, Pieter/0000-0002-3872-8916; Le Roy, Emilie/0000-0001-5698-0077; CASTRILLEJO, MAXI/0000-0001-5149-2218; Fonseca Pereira Batista, Debany/0000-0002-0785-5269; Deng, Feifei/0000-0002-5139-4631; Henderson, Gideon/0000-0002-6279-7137; Zunino, Patricia/0000-0001-7057-7049; GALLINARI, Morgane/0000-0002-2274-8162</t>
  </si>
  <si>
    <t>French National Research Agency [ANR-13-BS06-0014, ANR-12-PDOC-0025-01]; French National Centre for Scientific Research (CNRS-LEFE-CYBER); LabexMER [ANR-10-LABX-19]; Ifremer; GENAVIR; DT-INSU; Agence Nationale de la Recherche (ANR) [ANR-12-PDOC-0025, ANR-13-BS06-0014] Funding Source: Agence Nationale de la Recherche (ANR)</t>
  </si>
  <si>
    <t>French National Research Agency(Agence Nationale de la Recherche (ANR)); French National Centre for Scientific Research (CNRS-LEFE-CYBER); LabexMER; Ifremer; GENAVIR; DT-INSU; Agence Nationale de la Recherche (ANR)(Agence Nationale de la Recherche (ANR))</t>
  </si>
  <si>
    <t>We are greatly thankful to the captain, Gilles Ferrand, and crew of the N/O Pourquoi Pas? for their help during the GEOVIDE mission. This work was supported by the French National Research Agency (ANR-13-BS06-0014, ANR-12-PDOC-0025-01), the French National Centre for Scientific Research (CNRS-LEFE-CYBER), the LabexMER (ANR-10-LABX-19), and Ifremer. Logistics were supported by DT-INSU and GENAVIR.</t>
  </si>
  <si>
    <t>NOV 29</t>
  </si>
  <si>
    <t>10.5194/bg-15-7097-2018</t>
  </si>
  <si>
    <t>HC1AT</t>
  </si>
  <si>
    <t>WOS:000451532000001</t>
  </si>
  <si>
    <t>Nicholson, LI; McCarthy, M; Pritchard, HD; Willis, I</t>
  </si>
  <si>
    <t>Nicholson, Lindsey I.; McCarthy, Michael; Pritchard, Hamish D.; Willis, Ian</t>
  </si>
  <si>
    <t>Supraglacial debris thickness variability: impact on ablation and relation to terrain properties</t>
  </si>
  <si>
    <t>COVERED GLACIERS; NEPAL HIMALAYA; NGOZUMPA GLACIER; BALTORO GLACIER; EVEREST REGION; KHUMBU GLACIER; ICE CLIFFS; MODEL; MELT; SATELLITE</t>
  </si>
  <si>
    <t>Shallow ground-penetrating radar (GPR) surveys are used to characterize the small-scale spatial variability of supraglacial debris thickness on a Himalayan glacier. Debris thickness varies widely over short spatial scales. Comparison across sites and glaciers suggests that the skewness and kurtosis of the debris thickness frequency distribution decrease with increasing mean debris thickness, and we hypothesize that this is related to the degree of gravitational reworking the debris cover has undergone and is therefore a proxy for the maturity of surface debris covers. In the cases tested here, using a single mean debris thickness value instead of accounting for the observed small-scale debris thickness variability underestimates modelled midsummer sub-debris ablation rates by 11 %-30 %. While no simple relationship is found between measured debris thickness and morphometric terrain parameters, analysis of the GPR data in conjunction with high-resolution terrain models provides some insight into the processes of debris gravitational reworking. Periodic sliding failure of the debris, rather than progressive mass diffusion, appears to be the main process redistributing supraglacial debris. The incidence of sliding is controlled by slope, aspect, upstream catchment area and debris thickness via their impacts on predisposition to slope failure and meltwater availability at the debris-ice interface. Slope stability modelling suggests that the percentage of the debris-covered glacier surface area subject to debris instability can be considerable at glacier scale, indicating that up to 32% of the debris-covered area is susceptible to developing ablation hotspots associated with patches of thinner debris.</t>
  </si>
  <si>
    <t>[Nicholson, Lindsey I.] Univ Innsbruck, Dept Atmospher &amp; Cryospher Sci, Innsbruck, Austria; [McCarthy, Michael; Pritchard, Hamish D.] NERC, British Antarctic Survey, Madingley Rd, Cambridge, England; [McCarthy, Michael; Willis, Ian] Univ Cambridge, Scott Polar Res Inst, Cambridge, England</t>
  </si>
  <si>
    <t>University of Innsbruck; UK Research &amp; Innovation (UKRI); Natural Environment Research Council (NERC); NERC British Antarctic Survey; University of Cambridge</t>
  </si>
  <si>
    <t>Nicholson, LI (corresponding author), Univ Innsbruck, Dept Atmospher &amp; Cryospher Sci, Innsbruck, Austria.</t>
  </si>
  <si>
    <t>lindsey.nicholson@uibk.ac.at</t>
  </si>
  <si>
    <t>Pritchard, Hamish Daniel/AAU-4696-2021</t>
  </si>
  <si>
    <t>Austrian Science Fund (FWF) [V309, P28521]; Austrian Space Applications Program of the Austrian Research promotion agency (FFG) [847999]; NERC DTP [NE/L002507/1]; Reynolds International Ltd.; British Antarctic Survey collaboration grant; Austrian Science Fund (FWF) [P28521, V309] Funding Source: Austrian Science Fund (FWF); NERC [bas0100034, NE/R000107/1] Funding Source: UKRI</t>
  </si>
  <si>
    <t>Austrian Science Fund (FWF)(Austrian Science Fund (FWF)); Austrian Space Applications Program of the Austrian Research promotion agency (FFG); NERC DTP; Reynolds International Ltd.; British Antarctic Survey collaboration grant; Austrian Science Fund (FWF)(Austrian Science Fund (FWF)); NERC(UK Research &amp; Innovation (UKRI)Natural Environment Research Council (NERC))</t>
  </si>
  <si>
    <t>This research is supported by the Austrian Science Fund (FWF) projects V309 and P28521 and the Austrian Space Applications Program of the Austrian Research promotion agency (FFG) project 847999. Michael McCarthy is funded by NERC DTP grant number NE/L002507/1 and receives CASE funding from Reynolds International Ltd. Hamish Pritchard was funded by a British Antarctic Survey collaboration grant. The field team in Nepal was Ursula Blumthaler, Mohan Chand, Costanza del Gobbo, Alexander Groos, Astrid Lambrecht, Christoph Mayer, Hamish Pritchard, Lorenzo Rieg, Anna Wirbel. Christoph Klug generated the DEM. Debris thicknesses data on Haut Glacier d'Arolla were collected by Marco Carenzo, Francesca Pelliciotti and Lene Peterson and provided by Tim Reid.</t>
  </si>
  <si>
    <t>10.5194/tc-12-3719-2018</t>
  </si>
  <si>
    <t>HC1CZ</t>
  </si>
  <si>
    <t>Green Submitted, gold, Green Accepted</t>
  </si>
  <si>
    <t>WOS:000451538300001</t>
  </si>
  <si>
    <t>Buizert, C; Sigl, M; Severi, M; Markle, BR; Wettstein, JJ; McConnell, JR; Pedro, JB; Sodemann, H; Goto-Azuma, K; Kawamura, K; Fujita, S; Motoyama, H; Hirabayashi, M; Uemura, R; Stenni, B; Parrenin, F; He, F; Fudge, TJ; Steig, EJ</t>
  </si>
  <si>
    <t>Buizert, Christo; Sigl, Michael; Severi, Mirko; Markle, Bradley R.; Wettstein, Justin J.; McConnell, Joseph R.; Pedro, Joel B.; Sodemann, Harald; Goto-Azuma, Kumiko; Kawamura, Kenji; Fujita, Shuji; Motoyama, Hideaki; Hirabayashi, Motohiro; Uemura, Ryu; Stenni, Barbara; Parrenin, Frederic; He, Feng; Fudge, T. J.; Steig, Eric J.</t>
  </si>
  <si>
    <t>Abrupt ice-age shifts in southern westerly winds and Antarctic climate forced from the north</t>
  </si>
  <si>
    <t>STABLE-ISOTOPE RECORDS; CORE WD2014 CHRONOLOGY; BIPOLAR SEE-SAW; EPICA DOME C; VOLCANIC SYNCHRONIZATION; TEMPERATURE RECONSTRUCTION; GREENLAND; OCEAN; KYR; VARIABILITY</t>
  </si>
  <si>
    <t>The mid-latitude westerly winds of the Southern Hemisphere play a central role in the global climate system via Southern Ocean upwelling(1), carbon exchange with the deep ocean(2), Agulhas leakage (transport of Indian Ocean waters into the Atlantic)(3) and possibly Antarctic ice-sheet stability(4). Meridional shifts of the Southern Hemisphere westerly winds have been hypothesized to occur(5,6) in parallel with the well-documented shifts of the intertropical convergence zone(7) in response to Dansgaard-Oeschger (DO) events-abrupt North Atlantic climate change events of the last ice age. Shifting moisture pathways to West Antarctica(8) are consistent with this view but may represent a Pacific teleconnection pattern forced from the tropics(9). The full response of the Southern Hemisphere atmospheric circulation to the DO cycle and its impact on Antarctic temperature remain unclear(10). Here we use five ice cores synchronized via volcanic markers to show that the Antarctic temperature response to the DO cycle can be understood as the superposition of two modes: a spatially homogeneous oceanic 'bipolar seesaw' mode that lags behind Northern Hemisphere climate by about 200 years, and a spatially heterogeneous atmospheric mode that is synchronous with abrupt events in the Northern Hemisphere. Temperature anomalies of the atmospheric mode are similar to those associated with present-day Southern Annular Mode variability, rather than the Pacific-South American pattern. Moreover, deuterium-excess records suggest a zonally coherent migration of the Southern Hemisphere westerly winds over all ocean basins in phase with Northern Hemisphere climate. Our work provides a simple conceptual framework for understanding circum-Antarctic temperature variations forced by abrupt Northern Hemisphere climate change. We provide observational evidence of abrupt shifts in the Southern Hemisphere westerly winds, which have previously documented(1-3) ramifications for global ocean circulation and atmospheric carbon dioxide. These coupled changes highlight the necessity of a global, rather than a purely North Atlantic, perspective on the DO cycle.</t>
  </si>
  <si>
    <t>[Buizert, Christo; Wettstein, Justin J.; He, Feng] Oregon State Univ, Coll Earth Ocean &amp; Atmospher Sci, Corvallis, OR 97331 USA; [Sigl, Michael] Paul Scherrer Inst, Lab Environm Chem, Villigen, Switzerland; [Severi, Mirko] Univ Florence, Dept Chem Ugo Schiff, Florence, Italy; [Markle, Bradley R.; Fudge, T. J.; Steig, Eric J.] Univ Washington, Dept Earth &amp; Space Sci, Seattle, WA 98195 USA; [Wettstein, Justin J.; Sodemann, Harald] Univ Bergen, Geophys Inst, Bergen, Norway; [Wettstein, Justin J.; Sodemann, Harald] Univ Bergen, Bjerknes Ctr Climate Res, Bergen, Norway; [McConnell, Joseph R.] Desert Res Inst, Nevada Syst Higher Educ, Reno, NV USA; [Pedro, Joel B.] Univ Copenhagen, Niels Bohr Inst, Ctr Ice &amp; Climate, Copenhagen, Denmark; [Pedro, Joel B.] Univ Tasmania, Antarctic Climate &amp; Ecosyst Cooperat Res Ctr, Hobart, Tas, Australia; [Goto-Azuma, Kumiko; Kawamura, Kenji; Fujita, Shuji; Motoyama, Hideaki; Hirabayashi, Motohiro] Natl Inst Polar Res, Tachikawa, Tokyo, Japan; [Uemura, Ryu] Univ Ryukyus, Dept Chem Biol &amp; Marine Sci, Nishihara, Okinawa, Japan; [Stenni, Barbara] Ca Foscari Univ Venice, Dept Environm Sci Informat &amp; Stat, Venice, Italy; [Parrenin, Frederic] Univ Grenoble Alpes, CNRS, IRD, IGE, Grenoble, France; [He, Feng] Univ Wisconsin, Nelson Inst Environm Studies, Ctr Climat Res, Madison, WI USA; [Sigl, Michael] Univ Bern, Oeschger Ctr Climate Change Res, Bern, Switzerland</t>
  </si>
  <si>
    <t>Oregon State University; Swiss Federal Institutes of Technology Domain; Paul Scherrer Institute; University of Florence; University of Washington; University of Washington Seattle; University of Bergen; Bjerknes Centre for Climate Research; University of Bergen; Nevada System of Higher Education (NSHE); Desert Research Institute NSHE; University of Copenhagen; Niels Bohr Institute; University of Tasmania; Antarctic Climate &amp; Ecosystems Cooperative Research Centre (ACE CRC); Research Organization of Information &amp; Systems (ROIS); National Institute of Polar Research (NIPR) - Japan; University of the Ryukyus; Universita Ca Foscari Venezia; Centre National de la Recherche Scientifique (CNRS); Communaute Universite Grenoble Alpes; Universite Grenoble Alpes (UGA); Institut de Recherche pour le Developpement (IRD); University of Wisconsin System; University of Wisconsin Madison; University of Bern</t>
  </si>
  <si>
    <t>Buizert, C (corresponding author), Oregon State Univ, Coll Earth Ocean &amp; Atmospher Sci, Corvallis, OR 97331 USA.</t>
  </si>
  <si>
    <t>buizertc@oregonstate.edu</t>
  </si>
  <si>
    <t>Pedro, Joel Benjamin/L-8918-2019; Uemura, Ryu/C-9793-2012; Steig, Eric J/G-9088-2015; Severi, Mirko/J-2508-2012; Sodemann, Harald/ABG-5304-2021; he, feng/HOF-1989-2023; Parrenin, Frédéric/H-3054-2014; Pedro, Joel/M-5632-2014; He, Feng/B-3583-2008; Fujita, Shuji/A-7884-2016; Uemura, Ryu/AGR-0677-2022; Kawamura, Kenji/C-7660-2011</t>
  </si>
  <si>
    <t>Pedro, Joel Benjamin/0000-0002-0728-2712; Uemura, Ryu/0000-0002-4236-0085; Sodemann, Harald/0000-0002-8167-0860; Parrenin, Frédéric/0000-0002-9489-3991; Pedro, Joel/0000-0002-0728-2712; Uemura, Ryu/0000-0002-4236-0085; He, Feng/0000-0002-3355-6406; Sigl, Michael/0000-0002-9028-9703; Stenni, Barbara/0000-0003-4950-3664; Markle, Bradley/0000-0002-2282-6546; Kawamura, Kenji/0000-0003-1163-700X; Fudge, Tyler/0000-0002-6818-7479</t>
  </si>
  <si>
    <t>US National Science Foundation (NSF) [ANT-1643394, ANT-1643355, AGS-1502990]; Swiss National Science Foundation [200021_ 143436]; CNRS/INSU/LEFE project IceChrono; JSPS KAKENHI [15H01731, 15KK0027, 26241011]; MEXT KAKENHI [17H06320]; European Research Council under the European Community's Seventh Framework Programme (FP7/2007-2013)/ERC [610055]; NOAA Climate and Global Change Postdoctoral Fellowship programme; NSF; Office of Science of the US Department of Energy [DE-AC05-00OR22725]; CNRS/INSU/LEFE project CO2Role; Swiss National Science Foundation (SNF) [200021_143436] Funding Source: Swiss National Science Foundation (SNF); Grants-in-Aid for Scientific Research [26241011, 15H01731, 15KK0027] Funding Source: KAKEN</t>
  </si>
  <si>
    <t>US National Science Foundation (NSF)(National Science Foundation (NSF)); Swiss National Science Foundation(Swiss National Science Foundation (SNSF)); CNRS/INSU/LEFE project IceChrono; JSPS KAKENHI(Ministry of Education, Culture, Sports, Science and Technology, Japan (MEXT)Japan Society for the Promotion of ScienceGrants-in-Aid for Scientific Research (KAKENHI)); MEXT KAKENHI(Ministry of Education, Culture, Sports, Science and Technology, Japan (MEXT)Japan Society for the Promotion of ScienceGrants-in-Aid for Scientific Research (KAKENHI)); European Research Council under the European Community's Seventh Framework Programme (FP7/2007-2013)/ERC(European Research Council (ERC)); NOAA Climate and Global Change Postdoctoral Fellowship programme(National Oceanic Atmospheric Admin (NOAA) - USA); NSF(National Science Foundation (NSF)); Office of Science of the US Department of Energy(United States Department of Energy (DOE)); CNRS/INSU/LEFE project CO2Role; Swiss National Science Foundation (SNF)(Swiss National Science Foundation (SNSF)); Grants-in-Aid for Scientific Research(Ministry of Education, Culture, Sports, Science and Technology, Japan (MEXT)Japan Society for the Promotion of ScienceGrants-in-Aid for Scientific Research (KAKENHI))</t>
  </si>
  <si>
    <t>This work is funded by the US National Science Foundation (NSF), through grants ANT-1643394 (to C.B. and J.J.W.), ANT-1643355 (to T.J.F. and E.J.S) and AGS-1502990 (to F.H.); the Swiss National Science Foundation through grant 200021_ 143436 (to H.S.); the CNRS/INSU/LEFE projects IceChrono and CO2Role (to F.P.); JSPS KAKENHI grants 15H01731 (to K.G.-A., H.M. and M.H.), 15KK0027 (to K.K.) and 26241011 (to K.K., S.F. and H.M.); MEXT KAKENHI grant 17H06320 (to K.K., H.M. and R.U.); the European Research Council under the European Community's Seventh Framework Programme (FP7/2007-2013)/ERC grant agreement 610055 (to J.B.P.); and the NOAA Climate and Global Change Postdoctoral Fellowship programme, administered by the University Corporation for Atmospheric Research (F.H.). We acknowledge high-performance computing support from Yellowstone (ark:/85065/d7wd3xhc) provided by NCAR's Computational and Information Systems Laboratory, sponsored by the NSF. This research used resources of the Oak Ridge Leadership Computing Facility at the Oak Ridge National Laboratory, which is supported by the Office of Science of the US Department of Energy under contract number DE-AC05-00OR22725. This is TALDICE publication number 52.</t>
  </si>
  <si>
    <t>10.1038/s41586-018-0727-5</t>
  </si>
  <si>
    <t>HC1YT</t>
  </si>
  <si>
    <t>WOS:000451599900053</t>
  </si>
  <si>
    <t>Woodfield, EE; Horne, RB; Glauert, SA; Menietti, JD; Shprits, YY; Kurth, WS</t>
  </si>
  <si>
    <t>Woodfield, E. E.; Horne, R. B.; Glauert, S. A.; Menietti, J. D.; Shprits, Y. Y.; Kurth, W. S.</t>
  </si>
  <si>
    <t>Formation of electron radiation belts at Saturn by Z-mode wave acceleration</t>
  </si>
  <si>
    <t>PITCH-ANGLE; PLASMA; DIFFUSION; REGION; RADIO</t>
  </si>
  <si>
    <t>At Saturn electrons are trapped in the planet's magnetic field and accelerated to relativistic energies to form the radiation belts, but how this dramatic increase in electron energy occurs is still unknown. Until now the mechanism of radial diffusion has been assumed but we show here that in-situ acceleration through wave particle interactions, which initial studies dismissed as ineffectual at Saturn, is in fact a vital part of the energetic particle dynamics there. We present evidence from numerical simulations based on Cassini spacecraft data that a particular plasma wave, known as Z-mode, accelerates electrons to MeV energies inside 4 R-S (1 R-S = 60,330 km) through a Doppler shifted cyclotron resonant interaction. Our results show that the Z-mode waves observed are not oblique as previously assumed and are much better accelerators than O-mode waves, resulting in an electron energy spectrum that closely approaches observed values without any transport effects included.</t>
  </si>
  <si>
    <t>[Woodfield, E. E.; Horne, R. B.; Glauert, S. A.] British Antarctic Survey, Madingley Rd, Cambridge CB3 0ET, England; [Menietti, J. D.; Kurth, W. S.] Univ Iowa, Dept Phys &amp; Astron, Iowa City, IA 52242 USA; [Shprits, Y. Y.] GFZ German Res Ctr Geosci, Helmholtz Ctr Potsdam, D-14473 Potsdam, Germany; [Shprits, Y. Y.] Univ Potsdam, Inst Phys &amp; Astron, D-14469 Potsdam, Germany; [Shprits, Y. Y.] Univ Calif Los Angeles, Dept Earth Planetary &amp; Space Sci, Los Angeles, CA 90095 USA</t>
  </si>
  <si>
    <t>UK Research &amp; Innovation (UKRI); Natural Environment Research Council (NERC); NERC British Antarctic Survey; University of Iowa; Helmholtz Association; Helmholtz-Center Potsdam GFZ German Research Center for Geosciences; University of Potsdam; University of California System; University of California Los Angeles</t>
  </si>
  <si>
    <t>Woodfield, EE (corresponding author), British Antarctic Survey, Madingley Rd, Cambridge CB3 0ET, England.</t>
  </si>
  <si>
    <t>emmwoo@bas.ac.uk</t>
  </si>
  <si>
    <t>Horne, Richard B/U-3764-2019; Kurth, William/AAA-7334-2019; Shprits, Yuri Y/I-2174-2014; Woodfield, Emma/B-5313-2014</t>
  </si>
  <si>
    <t>Horne, Richard B/0000-0002-0412-6407; Kurth, William/0000-0002-5471-6202; Woodfield, Emma/0000-0002-0531-8814</t>
  </si>
  <si>
    <t>STFC in the UK [ST/I001727/1, ST/M00130X/1]; UK Natural Environment Research Council [NE/R016038/1, NE/R016445/1]; NASA [NNX11AM36G, NNX16AI47G, 1415150]; EC [H2020 637302]; NERC [NE/R016445/1, NE/R016038/1, bas0100031] Funding Source: UKRI; STFC [ST/M00130X/1] Funding Source: UKRI; NASA [NNX16AI47G, 903205] Funding Source: Federal RePORTER</t>
  </si>
  <si>
    <t>STFC in the UK(UK Research &amp; Innovation (UKRI)Science &amp; Technology Facilities Council (STFC)); UK Natural Environment Research Council(UK Research &amp; Innovation (UKRI)Natural Environment Research Council (NERC)); NASA(National Aeronautics &amp; Space Administration (NASA)); EC(European Union (EU)European Commission Joint Research Centre); NERC(UK Research &amp; Innovation (UKRI)Natural Environment Research Council (NERC)); STFC(UK Research &amp; Innovation (UKRI)Science &amp; Technology Facilities Council (STFC)); NASA(National Aeronautics &amp; Space Administration (NASA))</t>
  </si>
  <si>
    <t>E.E.W., R.B.H., and S.A.G. are funded by STFC grants ST/I001727/1 and ST/M00130X/1 in the UK, R.B.H. and S.A.G. are also funded by the UK Natural Environment Research Council grants NE/R016038/1 and NE/R016445/1. J.D.M. and Y.Y.S. acknowledge support from NASA grants NNX11AM36G and NNX16AI47G. The research at the University of Iowa (J.D.M. and W.S.K.) was supported by NASA through Contract 1415150 with the Jet Propulsion Laboratory. Y.Y.S. was supported by EC grant H2020 637302. E.E.W. thanks Jonathan Lansey for creating and sharing the linspecer MATLAB tool based on color schemes set up by Cynthia Brewer.</t>
  </si>
  <si>
    <t>10.1038/s41467-018-07549-4</t>
  </si>
  <si>
    <t>HC2HA</t>
  </si>
  <si>
    <t>WOS:000451621700010</t>
  </si>
  <si>
    <t>Engels, O; Gunter, B; Riva, R; Klees, R</t>
  </si>
  <si>
    <t>Engels, Olga; Gunter, Brian; Riva, Riccardo; Klees, Roland</t>
  </si>
  <si>
    <t>Separating Geophysical Signals Using GRACE and High-Resolution Data: A Case Study in Antarctica</t>
  </si>
  <si>
    <t>GRACE post-processing; high spatial resolution; data-driven approach; GIA; ice mass changes; Antarctica</t>
  </si>
  <si>
    <t>GLACIAL ISOSTATIC-ADJUSTMENT; RAPID BEDROCK UPLIFT; GRAVITY-FIELD; MASS-BALANCE; ICE; MODEL; REPRESENTATION; GREENLAND</t>
  </si>
  <si>
    <t>To fully exploit data from the Gravity Recovery and Climate Experiment (GRACE), we separate geophysical signals observed by GRACE in Antarctica by deriving high-spatial resolution maps for present-day glacial isostatic adjustment (GIA) and ice-mass changes with the least possible noise level. For this, we simultaneously (i) improve the postprocessing of gravity data and (ii) consistently combine them with high-resolution data from Ice Cloud and land Elevation Satellite altimeter (ICESat) and Regional Atmospheric Climate Model 2.3 (RACMO). We use GPS observations to discriminate between various candidate spatial patterns of vertical motions caused by GIA. The ICESat-RACMO combination determines the spatial resolution of estimated ice-mass changes. The results suggest the capability of the developed approach to retrieve the complex spatial pattern of present-day GIA, such as a pronounced subsidence in the proximity of the Kamb Ice Stream and pronounced uplift in the Amundsen Sea Sector. Plain Language Summary The Gravity Recovery and Climate Experiment (GRACE) satellite mission has become an indispensable tool in monitoring global mass variations. However, the limited horizontal and lacking vertical resolution of the gravity satellite data is still a major challenge. We develop an approach that allows gravity satellite data to be consistently combined with other complementary data that feature higher spatial resolution (e.g., altimetry and climate data). The consistent combination in terms of horizontal resolution allows the different signals contributing to the total GRACE signal to be accurately separated. We demonstrate the utility of the developed approach by separating present-day ice-mass changes and glacial isostatic adjustment (GIA) in Antarctica using gravimetry, altimetry, climate, and GPS data. For the first time, our data-driven approach allows the statistically significant small-scale GIA features to be retrieved, such as a pronounced subsidence in the proximity of the Kamb Ice Stream. The estimated GIA is important to validate geophysical GIA models, while accurately estimated Antarctic ice-mass changes are important for sea-level projections. Moreover, the developed method can be applied on data derived from, for example, the upcoming satellite altimetry and gravity missions and in any other application which involves GRACE data and any other geodetic data.</t>
  </si>
  <si>
    <t>[Engels, Olga; Riva, Riccardo; Klees, Roland] Univ Bonn, Inst Geodesy &amp; Geoinformat, Bonn, Germany; [Engels, Olga] Delft Univ Technol, Dept Geosci &amp; Remote Sensing, Delft, Netherlands; [Gunter, Brian] Georgia Inst Technol, Daniel Guggenheim Sch Aerosp Engn, Atlanta, GA 30332 USA</t>
  </si>
  <si>
    <t>University of Bonn; Delft University of Technology; University System of Georgia; Georgia Institute of Technology</t>
  </si>
  <si>
    <t>Engels, O (corresponding author), Univ Bonn, Inst Geodesy &amp; Geoinformat, Bonn, Germany.;Engels, O (corresponding author), Delft Univ Technol, Dept Geosci &amp; Remote Sensing, Delft, Netherlands.</t>
  </si>
  <si>
    <t>engels@geod.uni-bonn.de</t>
  </si>
  <si>
    <t>Gunter, Brian C/C-7841-2014; Klees, Roland/I-3574-2013</t>
  </si>
  <si>
    <t>Gunter, Brian/0000-0002-4743-6173; Riva, Riccardo/0000-0002-2042-5669; Klees, Roland/0000-0002-0670-2607</t>
  </si>
  <si>
    <t>Netherlands Organization for Scientific Research as part of the New Netherlands Polar Programme</t>
  </si>
  <si>
    <t>RACMO data were provided by J. Lenarts, S. Ligtenberg, and M. van den Broeke from Utrecht University. P. Ditmar and H. Hashemi Farahani, from Delft University of Technology, provided DMT2 solutions with full noise covariance matrices. ICESat trends were provided by B. Gunter. This research was financially supported by the Netherlands Organization for Scientific Research as part of the New Netherlands Polar Programme. The estimated GIA and ice-mass change rates with corresponding uncertainties are available at https://doi.org/10.4121/uuid:2b189219-5597-4c87-8d910cbf43d43325.</t>
  </si>
  <si>
    <t>NOV 28</t>
  </si>
  <si>
    <t>10.1029/2018GL079670</t>
  </si>
  <si>
    <t>HE3JI</t>
  </si>
  <si>
    <t>WOS:000453250000027</t>
  </si>
  <si>
    <t>Newsom, ER; Thompson, AF</t>
  </si>
  <si>
    <t>Newsom, Emily R.; Thompson, Andrew F.</t>
  </si>
  <si>
    <t>Reassessing the Role of the Indo-Pacific in the Ocean's Global Overturning Circulation</t>
  </si>
  <si>
    <t>global ocean overturning circulation; ocean-atmosphere interactions; ocean thermodynamics; climate modeling; global oceanic teleconnections</t>
  </si>
  <si>
    <t>ANTARCTIC CIRCUMPOLAR CURRENT; WATER MASS FORMATION; SOUTHERN-OCEAN; DEEP STRATIFICATION; MODEL; ATLANTIC; HEAT; CLIMATOLOGY; EXCHANGE; FLUX</t>
  </si>
  <si>
    <t>Surface buoyancy fluxes in the Southern and North Atlantic Oceans are presumed to disproportionately influence the ocean's residual global overturning circulation (GOC) with respect to those in the Indo-Pacific. Here, this assumption is challenged through an assessment of global buoyancy transport in the Community Earth System Model 1.0, which reveals that the steady state GOC is equally constrained by surface buoyancy flux everywhere. Further, an unacknowledged aspect of the GOC is demonstrated: it transports buoyancy from where it is gained at the surface, predominately in the Indo-Pacific, to where it is lost, predominately in the Atlantic and Southern Oceans. This global buoyancy transport requires zonal structure in the GOC, linking the Atlantic and Indo-Pacific within the Southern Ocean, asymmetry and interbasin coupling absent from many conceptual descriptions of overturning dynamics. These results compel a more nuanced appreciation for an Indo-Pacific influence in GOC evolution. Plain Language Summary The great conveyor belt of global currents that transit the global oceanthe global overturning circulationcarry with them heat, freshwater, and dissolved gases that are essential to Earth's climate. Changes in heating and cooling of the ocean surface, or changes to patterns of precipitation, are known to influence this global-scale circulation, but a full understanding of the response remains incomplete. In this study, we develop a new technique to study the global overturning circulation. Our methods use the spatial patterns of ocean surface processes, for example, heating and cooling, precipitation and evaporation, to infer circulation behaviors deep in the ocean's interior. Historically, deep ocean behaviors were thought to be influenced by surface processes occurring at the high latitudes. Here, using this new technique, we find that surface processes at the low latitudes of the Indo-Pacific Oceans are equally essential in determining the strength and structure of the global overturning circulation. As a consequence, the climate that we experience at Earth's surface may depend far more heavily on the processes occurring at the equatorial Indo-Pacific Ocean surface than often assumed.</t>
  </si>
  <si>
    <t>[Newsom, Emily R.; Thompson, Andrew F.] CALTECH, Environm Sci &amp; Engn, Pasadena, CA 91125 USA</t>
  </si>
  <si>
    <t>California Institute of Technology</t>
  </si>
  <si>
    <t>Newsom, ER (corresponding author), CALTECH, Environm Sci &amp; Engn, Pasadena, CA 91125 USA.</t>
  </si>
  <si>
    <t>enewsom@caltech.edu</t>
  </si>
  <si>
    <t>Newsom, Emily/0000-0002-3436-3833</t>
  </si>
  <si>
    <t>National Oceanic and Atmospheric Administration (NOAA) CGC Fellowship; National Science Foundation (NSF) [OCE-1235488]</t>
  </si>
  <si>
    <t>National Oceanic and Atmospheric Administration (NOAA) CGC Fellowship; National Science Foundation (NSF)(National Science Foundation (NSF))</t>
  </si>
  <si>
    <t>We thank Igor Kamenkovich, an anonymous reviewer, and the Editor for constructive suggestions, and Cecilia Bitz, Jess Adkins, Frank Bryan, and Lynne Talley for helpful discussions. This work was funded by the National Oceanic and Atmospheric Administration (NOAA) CGC Fellowship (E. R. N.) and by the National Science Foundation (NSF) grant OCE-1235488 (A. F. T.). Output from the simulation used is available for download at http://www.cesm.ucar.edu/experiments/cesm1.0/.</t>
  </si>
  <si>
    <t>10.1029/2018GL080350</t>
  </si>
  <si>
    <t>WOS:000453250000036</t>
  </si>
  <si>
    <t>Ade, PAR; Ahmed, Z; Aikin, RW; Alexander, KD; Barkats, D; Benton, SJ; Bischoff, CA; Bock, JJ; Bowens-Rubin, R; Brevik, JA; Buder, I; Bullock, E; Buza, V; Connors, J; Cornelison, J; Crill, BP; Crumrine, M; Dierickx, M; Duband, L; Dvorkin, C; Filippini, JP; Fliescher, S; Grayson, J; Hall, G; Halpern, M; Harrison, S; Hildebrandt, SR; Hilton, GC; Hui, H; Irwin, KD; Kang, J; Karkare, KS; Karpel, E; Kaufman, JP; Keating, BG; Kefeli, S; Kernasovskiy, SA; Kovac, JM; Kuo, CL; Larsen, NA; Lau, K; Leitch, EM; Lueker, M; Megerian, KG; Moncelsi, L; Namikawa, T; Netterfield, CB; Nguyen, HT; O'Brient, R; Ogburn, RW; Palladino, S; Pryke, C; Racine, B; Richter, S; Schillaci, A; Schwarz, R; Sheehy, CD; Soliman, A; St Germaine, T; Staniszewski, ZK; Steinbach, B; Sudiwala, RV; Teply, GP; Thompson, KL; Tolan, JE; Tucker, C; Turner, AD; Umiltà, C; Vieregg, AG; Wandui, A; Weber, AC; Wiebe, DV; Willmert, J; Wong, CL; Wu, WLK; Yang, H; Yoon, KW; Zhang, C</t>
  </si>
  <si>
    <t>Ade, P. A. R.; Ahmed, Z.; Aikin, R. W.; Alexander, K. D.; Barkats, D.; Benton, S. J.; Bischoff, C. A.; Bock, J. J.; Bowens-Rubin, R.; Brevik, J. A.; Buder, I.; Bullock, E.; Buza, V.; Connors, J.; Cornelison, J.; Crill, B. P.; Crumrine, M.; Dierickx, M.; Duband, L.; Dvorkin, C.; Filippini, J. P.; Fliescher, S.; Grayson, J.; Hall, G.; Halpern, M.; Harrison, S.; Hildebrandt, S. R.; Hilton, G. C.; Hui, H.; Irwin, K. D.; Kang, J.; Karkare, K. S.; Karpel, E.; Kaufman, J. P.; Keating, B. G.; Kefeli, S.; Kernasovskiy, S. A.; Kovac, J. M.; Kuo, C. L.; Larsen, N. A.; Lau, K.; Leitch, E. M.; Lueker, M.; Megerian, K. G.; Moncelsi, L.; Namikawa, T.; Netterfield, C. B.; Nguyen, H. T.; O'Brient, R.; Ogburn, R. W.; Palladino, S.; Pryke, C.; Racine, B.; Richter, S.; Schillaci, A.; Schwarz, R.; Sheehy, C. D.; Soliman, A.; St Germaine, T.; Staniszewski, Z. K.; Steinbach, B.; Sudiwala, R. V.; Teply, G. P.; Thompson, K. L.; Tolan, J. E.; Tucker, C.; Turner, A. D.; Umilta, C.; Vieregg, A. G.; Wandui, A.; Weber, A. C.; Wiebe, D. V.; Willmert, J.; Wong, C. L.; Wu, W. L. K.; Yang, H.; Yoon, K. W.; Zhang, C.</t>
  </si>
  <si>
    <t>Keck Array Collaboration; BICEP2 Collaboration</t>
  </si>
  <si>
    <t>Constraints on Primordial Gravitational Waves Using Planck, WMAP, and New BICEP2/Keck Observations through the 2015 Season</t>
  </si>
  <si>
    <t>PHYSICAL REVIEW LETTERS</t>
  </si>
  <si>
    <t>GRAVITY-WAVES; MICROWAVE; POLARIZATION</t>
  </si>
  <si>
    <t>We present results from an analysis of all data taken by the BICEP2/Keck CMB polarization experiments up to and including the 2015 observing season. This includes the first Keck Array observations at 220 GHz and additional observations at 95 and 150 GHz. The Q and U maps reach depths of 5.2, 2.9, and 26 mu K-CMB arcmin at 95, 150, and 220 GHz, respectively, over an effective area of approximate to 400 square degrees. The 220 GHz maps achieve a signal to noise on polarized dust emission approximately equal to that of Planck at 353 GHz. We take auto and cross spectra between these maps and publicly available WMAP and Planck maps at frequencies from 23 to 353 GHz. We evaluate the joint likelihood of the spectra versus a multicomponent model of lensed-Lambda CDM + r + dust + synchrotron thorn noise. The foreground model has seven parameters, and we impose priors on some of these using external information from Planck and WMAP derived from larger regions of sky. The model is shown to be an adequate description of the data at the current noise levels. The likelihood analysis yields the constraint r(0.05) &lt; 0.07 at 95% confidence, which tightens to r(0.05) &lt; 0.06 in conjunction with Planck temperature measurements and other data. The lensing signal is detected at 8.8 sigma significance. Running a maximum likelihood search on simulations we obtain unbiased results and find that sigma(r) = 0.020. These are the strongest constraints to date on primordial gravitational waves.</t>
  </si>
  <si>
    <t>[Ade, P. A. R.; Sudiwala, R. V.; Tucker, C.] Cardiff Univ, Sch Phys &amp; Astron, Cardiff CF24 3AA, S Glam, Wales; [Ahmed, Z.; Irwin, K. D.; Kuo, C. L.; Ogburn, R. W.; Thompson, K. L.; Yoon, K. W.] SLAC Natl Accelerator Lab, Kavli Inst Particle Astrophys &amp; Cosmol, 2575 Sand Hill Rd, Menlo Pk, CA 94025 USA; [Aikin, R. W.; Bock, J. J.; Brevik, J. A.; Hildebrandt, S. R.; Hui, H.; Kefeli, S.; Lueker, M.; Moncelsi, L.; O'Brient, R.; Schillaci, A.; Soliman, A.; Staniszewski, Z. K.; Steinbach, B.; Teply, G. P.; Wandui, A.; Zhang, C.] CALTECH, Dept Phys, Pasadena, CA 91125 USA; [Alexander, K. D.; Barkats, D.; Bowens-Rubin, R.; Buder, I.; Buza, V.; Connors, J.; Cornelison, J.; Dierickx, M.; Harrison, S.; Karkare, K. S.; Kovac, J. M.; Racine, B.; Richter, S.; St Germaine, T.; Wong, C. L.] Harvard Smithsonian Ctr Astrophys, 60 Garden St MS 42, Cambridge, MA 02138 USA; [Benton, S. J.] Princeton Univ, Dept Phys, Princeton, NJ 08544 USA; [Bischoff, C. A.; Palladino, S.; Umilta, C.] Univ Cincinnati, Dept Phys, Cincinnati, OH 45221 USA; [Bock, J. J.; Crill, B. P.; Hildebrandt, S. R.; Megerian, K. G.; Nguyen, H. T.; O'Brient, R.; Staniszewski, Z. K.; Turner, A. D.; Weber, A. C.] Jet Prop Lab, Pasadena, CA 91109 USA; [Bullock, E.; Pryke, C.] Univ Minnesota, Minnesota Inst Astrophys, Minneapolis, MN 55455 USA; [Buza, V.; Dvorkin, C.; Kovac, J. M.; Wong, C. L.] Harvard Univ, Dept Phys, Cambridge, MA 02138 USA; [Crumrine, M.; Fliescher, S.; Hall, G.; Lau, K.; Pryke, C.; Schwarz, R.; Willmert, J.] Univ Minnesota, Sch Phys &amp; Astron, Minneapolis, MN 55455 USA; [Duband, L.] CEA, Serv Basses Temp, F-38054 Grenoble, France; [Filippini, J. P.] Univ Illinois, Dept Phys, Urbana, IL 61801 USA; [Filippini, J. P.] Univ Illinois, Dept Astron, Urbana, IL 61801 USA; [Grayson, J.; Irwin, K. D.; Kang, J.; Karpel, E.; Kernasovskiy, S. A.; Kuo, C. L.; Ogburn, R. W.; Thompson, K. L.; Tolan, J. E.; Yang, H.; Yoon, K. W.] Stanford Univ, Dept Phys, Stanford, CA 94305 USA; [Halpern, M.; Wiebe, D. V.] Univ British Columbia, Dept Phys &amp; Astron, Vancouver, BC V6T 1Z1, Canada; [Hilton, G. C.; Irwin, K. D.] NIST, Boulder, CO 80305 USA; [Karkare, K. S.; Larsen, N. A.; Leitch, E. M.; Vieregg, A. G.; Wu, W. L. K.] Univ Chicago, Kavli Inst Cosmol Phys, Chicago, IL 60637 USA; [Kaufman, J. P.; Keating, B. G.; Teply, G. P.] Univ Calif San Diego, Dept Phys, La Jolla, CA 92093 USA; [Namikawa, T.] Natl Taiwan Univ, Leung Ctr Cosmol &amp; Particle Astrophys, Taipei 10617, Taiwan; [Netterfield, C. B.] Univ Toronto, Dept Phys, Toronto, ON M5S 1A7, Canada; [Netterfield, C. B.] Canadian Inst Adv Res, Toronto, ON M5G 1Z8, Canada; [Sheehy, C. D.] Brookhaven Natl Lab, Dept Phys, Upton, NY 11973 USA; [Vieregg, A. G.] Univ Chicago, Enrico Fermi Inst, Dept Phys, Chicago, IL 60637 USA</t>
  </si>
  <si>
    <t>Cardiff University; Stanford University; United States Department of Energy (DOE); SLAC National Accelerator Laboratory; California Institute of Technology; Smithsonian Institution; Smithsonian Astrophysical Observatory; Harvard University; Princeton University; University System of Ohio; University of Cincinnati; National Aeronautics &amp; Space Administration (NASA); NASA Jet Propulsion Laboratory (JPL); University of Minnesota System; University of Minnesota Twin Cities; Harvard University; University of Minnesota System; University of Minnesota Twin Cities; CEA; University of Illinois System; University of Illinois Urbana-Champaign; University of Illinois System; University of Illinois Urbana-Champaign; Stanford University; University of British Columbia; National Institute of Standards &amp; Technology (NIST) - USA; University of Chicago; University of California System; University of California San Diego; National Taiwan University; University of Toronto; Canadian Institute for Advanced Research (CIFAR); United States Department of Energy (DOE); Brookhaven National Laboratory; University of Chicago</t>
  </si>
  <si>
    <t>Pryke, C (corresponding author), Univ Minnesota, Minnesota Inst Astrophys, Minneapolis, MN 55455 USA.;Pryke, C (corresponding author), Univ Minnesota, Sch Phys &amp; Astron, Minneapolis, MN 55455 USA.</t>
  </si>
  <si>
    <t>pryke@physics.umn.edu</t>
  </si>
  <si>
    <t>Moncelsi, Lorenzo/AAU-1009-2020; sun, huan/JEO-7152-2023; Nguyen, H.T/AAG-1974-2021; Nguyễn, Hương/JUV-6128-2023; kaufman, jarrod/GXV-3683-2022; Keating, Brian G/J-6063-2017</t>
  </si>
  <si>
    <t>Moncelsi, Lorenzo/0000-0002-4242-3015; Nguyen, H.T/0000-0001-5580-2877; Zhang, Cheng/0000-0001-8288-5823; Alexander, Kate/0000-0002-8297-2473; Hildebrandt, Sergi/0000-0003-0220-0009; Hui, Howard/0000-0001-5812-1903; Wu, Kimmy/0000-0001-5411-6920; /0000-0002-5215-6993; Irwin, Kent/0000-0002-2998-9743; Bowens-Rubin, Rachel/0000-0001-5831-9530; Namikawa, Toshiya/0000-0003-3070-9240; Pryke, Clement/0000-0003-3983-6668; Willmert, Justin/0000-0002-6452-4693; Bischoff, Colin/0000-0001-9185-6514; Tucker, Carole/0000-0002-1851-3918; Schillaci, Alessandro/0000-0002-0512-1042; Kovac, John/0009-0003-5432-7180; Dierickx, Marion/0000-0002-3519-8593; Lau, King/0000-0002-6445-2407; Crill, Brendan/0000-0002-4650-8518; Kang, Jae Hwan/0000-0002-3470-2954; Barkats, Denis/0000-0002-8971-1954</t>
  </si>
  <si>
    <t>National Science Foundation [0742818, 0742592, 1044978, 1110087, 1145172, 1145143, 1145248, 1639040, 1638957, 1638978, 1638970]; JPL Research and Technology Development Fund; NASA [06-ARPA206-0040, 10-SAT10-0017, 12-SAT12-0031, 14-SAT14-0009, 16-SAT-16-0002]; Gordon and Betty Moore Foundation at Caltech; Canada Foundation for Innovation grant; UK STFC Grant [ST/N000706/1]; U.S. DOE Office of Science; STFC [ST/N000706/1] Funding Source: UKRI; Office of Polar Programs (OPP); Directorate For Geosciences [1145172] Funding Source: National Science Foundation</t>
  </si>
  <si>
    <t>National Science Foundation(National Science Foundation (NSF)); JPL Research and Technology Development Fund; NASA(National Aeronautics &amp; Space Administration (NASA)); Gordon and Betty Moore Foundation at Caltech(Gordon and Betty Moore Foundation); Canada Foundation for Innovation grant(Canada Foundation for Innovation); UK STFC Grant(UK Research &amp; Innovation (UKRI)Science &amp; Technology Facilities Council (STFC)); U.S. DOE Office of Science(United States Department of Energy (DOE)); STFC(UK Research &amp; Innovation (UKRI)Science &amp; Technology Facilities Council (STFC)); Office of Polar Programs (OPP); Directorate For Geosciences(National Science Foundation (NSF)NSF - Directorate for Geosciences (GEO))</t>
  </si>
  <si>
    <t>The BICEP2/Keck Array projects have been made possible through a series of grants from the National Science Foundation including No. 0742818, No. 0742592, No. 1044978, No. 1110087, No. 1145172, No. 1145143, No. 1145248, No. 1639040, No. 1638957, No. 1638978, and No. 1638970, and by the Keck Foundation. The development of antenna-coupled detector technology was supported by the JPL Research and Technology Development Fund, and by NASA Grants No. 06-ARPA206-0040, No. 10-SAT10-0017, No. 12-SAT12-0031, No. 14-SAT14-0009, No. 16-SAT-16-0002. The development and testing of focal planes were supported by the Gordon and Betty Moore Foundation at Caltech. Readout electronics were supported by a Canada Foundation for Innovation grant to UBC. Support for quasi-optical filtering was provided by UK STFC Grant No. ST/N000706/1. The computations in this Letter were run on the Odyssey cluster supported by the FAS Science Division Research Computing Group at Harvard University. The analysis effort at Stanford and S. L. A. C. is partially supported by the U.S. DOE Office of Science. We thank the staff of the U.S. Antarctic Program and in particular the South Pole Station without whose help this research would not have been possible. Most special thanks go to our heroic winter overs Robert Schwarz and Steffen Richter. We thank all those who have contributed past efforts to the BICEP-Keck Array series of experiments, including the BICEP1 team. We also thank the Planck and WMAP teams for the use of their data, and are grateful to the Planck team for helpful discussions including on the use of the tau prior in Fig. 5.</t>
  </si>
  <si>
    <t>AMER PHYSICAL SOC</t>
  </si>
  <si>
    <t>COLLEGE PK</t>
  </si>
  <si>
    <t>ONE PHYSICS ELLIPSE, COLLEGE PK, MD 20740-3844 USA</t>
  </si>
  <si>
    <t>0031-9007</t>
  </si>
  <si>
    <t>1079-7114</t>
  </si>
  <si>
    <t>PHYS REV LETT</t>
  </si>
  <si>
    <t>Phys. Rev. Lett.</t>
  </si>
  <si>
    <t>NOV 27</t>
  </si>
  <si>
    <t>10.1103/PhysRevLett.121.221301</t>
  </si>
  <si>
    <t>HC1RT</t>
  </si>
  <si>
    <t>hybrid, Green Accepted, Green Submitted</t>
  </si>
  <si>
    <t>WOS:000451580700006</t>
  </si>
  <si>
    <t>Feige, J; Wallner, A; Altmeyer, R; Fifield, LK; Golser, R; Merchel, S; Rugel, G; Steier, P; Tims, SG; Winkler, SR</t>
  </si>
  <si>
    <t>Feige, Jenny; Wallner, Anton; Altmeyer, Randolf; Fifield, L. Keith; Golser, Robin; Merchel, Silke; Rugel, Georg; Steier, Peter; Tims, Stephen G.; Winkler, Stephan R.</t>
  </si>
  <si>
    <t>Limits on Supernova- Associated 60Fe/26Al Nucleosynthesis Ratios from Accelerator Mass Spectrometry Measurements of Deep-Sea Sediments</t>
  </si>
  <si>
    <t>FE-60; AL-26; STARS; YIELDS; BE-10</t>
  </si>
  <si>
    <t>We searched for the presence of Al-26 in deep-sea sediments as a signature of supernova influx. Our data show an exponential dependence of Al-26 with the sample age that is fully compatible with radioactive decay of terrigenic Al-26. The same set of samples demonstrated a clear supernova Fe-60 signal between 1.7 and 3.2 Myr ago. Combining our Al-26 data with the recently reported Fe-60 data results in a lower limit of 0.18(-0.08)(+0.15) for the local interstellar Fe-60/Al-26 isotope ratio. It compares to most of the ratios deduced from nucleosynthesis models and is within the range of the observed average galactic Fe-60/Al-26 flux ratio of (0.15 +/- 0.05).</t>
  </si>
  <si>
    <t>[Feige, Jenny] Tech Univ Berlin, Dept Astron &amp; Astrophys, Hardenbergstr 36, D-10623 Berlin, Germany; [Feige, Jenny; Golser, Robin; Steier, Peter; Winkler, Stephan R.] Univ Vienna, Fac Phys Isotope Res &amp; Nucl Phys, VERA Lab, Wahringerstr 17, A-1090 Vienna, Austria; [Wallner, Anton; Fifield, L. Keith; Tims, Stephen G.] Australian Natl Univ, Dept Nucl Phys, Canberra, ACT 2601, Australia; [Altmeyer, Randolf] Humboldt Univ, Dept Math, Unter Linden 6, D-10099 Berlin, Germany; [Merchel, Silke; Rugel, Georg] Helmholtz Zentrum Dresden Rossendorf, Helmholtz Inst Freiberg Resource Technol, Bautzner Landstr 400, D-01328 Dresden, Germany; [Winkler, Stephan R.] iThemba LABS Lab Accelerator Based Sci, ZA-7129 Somerset West, South Africa</t>
  </si>
  <si>
    <t>Technical University of Berlin; University of Vienna; Australian National University; Humboldt University of Berlin; Helmholtz Association; Helmholtz-Zentrum Dresden-Rossendorf (HZDR)</t>
  </si>
  <si>
    <t>Feige, J (corresponding author), Tech Univ Berlin, Dept Astron &amp; Astrophys, Hardenbergstr 36, D-10623 Berlin, Germany.;Feige, J (corresponding author), Univ Vienna, Fac Phys Isotope Res &amp; Nucl Phys, VERA Lab, Wahringerstr 17, A-1090 Vienna, Austria.</t>
  </si>
  <si>
    <t>feige@astro.physik.tu-berlin.de</t>
  </si>
  <si>
    <t>Golser, Robin/D-7908-2019; Steier, Peter/AAZ-6043-2020; Wallner, Anton/G-1480-2011; Tims, Stephen/P-6505-2015</t>
  </si>
  <si>
    <t>Golser, Robin/0000-0002-4934-6278; Wallner, Anton/0000-0003-2804-3670; Fifield, Leslie/0000-0003-2866-4944; Tims, Stephen/0000-0001-6014-0126; Steier, Peter/0000-0002-6144-2449; Winkler, Stephan/0000-0001-8348-3260; Feige, Jenny/0000-0002-3187-7898; Rugel, Georg/0000-0002-0176-8842; Merchel, Silke/0000-0002-8755-3980</t>
  </si>
  <si>
    <t>Austrian Science Fund (FWF) [P20434, I428]; BMBF Project [05K2016]; DAAD [56266169]; University of Vienna; U.S. National Science Foundation; Austrian Science Fund (FWF) [I428, P20434] Funding Source: Austrian Science Fund (FWF)</t>
  </si>
  <si>
    <t>Austrian Science Fund (FWF)(Austrian Science Fund (FWF)); BMBF Project(Federal Ministry of Education &amp; Research (BMBF)); DAAD(Deutscher Akademischer Austausch Dienst (DAAD)); University of Vienna; U.S. National Science Foundation(National Science Foundation (NSF)); Austrian Science Fund (FWF)(Austrian Science Fund (FWF))</t>
  </si>
  <si>
    <t>This work was funded in part by the Austrian Science Fund (FWF), Projects No. P20434 and No. I428 (EUROCORES project EuroGENESIS, subproject CoDustMas), by BMBF Project No. 05K2016, DAAD (56266169), and by the University of Vienna. This research used samples and data provided by the Antarctic Marine Geology Research Facility (AMGRF) at Florida State University. The AMGRF is sponsored by the U.S. National Science Foundation. Furthermore, we thank Aline Ritter and Sabrina Gurlit (HZDR) for stable isotope measurements. For helpful comments and discussion we gratefully acknowledge Alessandro Airo, Didier Bourles, Patrick DeDeckker, Roland Diehl, Maria Lugaro, Beate Patzer, Markus Reiss, Joachim Stock, and Shinya Wanajo.</t>
  </si>
  <si>
    <t>10.1103/PhysRevLett.121.221103</t>
  </si>
  <si>
    <t>WOS:000451580700005</t>
  </si>
  <si>
    <t>Giordano, MR; Kalnajs, LE; Goetz, JD; Avery, AM; Katz, E; May, NW; Leemon, A; Mattson, C; Pratt, KA; DeCarlo, PF</t>
  </si>
  <si>
    <t>Giordano, Michael R.; Kalnajs, Lars E.; Goetz, J. Douglas; Avery, Anita M.; Katz, Erin; May, Nathaniel W.; Leemon, Anna; Mattson, Claire; Pratt, Kerri A.; DeCarlo, Peter F.</t>
  </si>
  <si>
    <t>The importance of blowing snow to halogen-containing aerosol in coastal Antarctica: influence of source region versus wind speed</t>
  </si>
  <si>
    <t>SEA-SALT AEROSOL; BOUNDARY-LAYER AEROSOL; OZONE DEPLETION EVENTS; ROSS ISLAND REGION; SOUTH-POLE; ATMOSPHERIC CHEMISTRY; PARTICLE FORMATION; MOLECULAR BROMINE; INORGANIC BROMINE; MASS-SPECTROMETER</t>
  </si>
  <si>
    <t>A fundamental understanding of the processes that control Antarctic aerosols is necessary in determining the aerosol impacts on climate-relevant processes from Antarctic ice cores to clouds. The first in situ observational online composition measurements by an aerosol mass spectrometer (AMS) of Antarctic aerosols were only recently performed during the Two-Season Ozone Depletion and Interaction with Aerosols Campaign (2ODIAC). 2ODIAC was deployed to sea ice on the Ross Sea near McMurdo Station over two field seasons: austral spring-summer 2014 and winter-spring 2015. The results presented here focus on the overall trends in aerosol composition primarily as functions of air masses and local meteorological conditions. The results suggest that the impact of long-range air mass back trajectories on either the absolute or relative concentrations of the aerosol constituents measured by (and inferred from) an AMS at a coastal location is small relative to the impact of local meteorology. However, when the data are parsed by wind speed, two observations become clear. First, a critical wind speed is required to loft snow from the surface, which, in turn, increases particle counts in all measured size bins. Second, elevated wind speeds showed increased aerosol chloride and sodium. Further inspection of the AMS data shows that the increased chloride concentrations have more of a fast-vaporizing nature than chloride measured at low wind speed. Also presented are the Cl : Na ratios of snow samples and aerosol filter samples, as measured by ion chromatography, as well as non-chloride aerosol constituents measured by the AMS. Additionally, submicron aerosol iodine and bromine concentrations as functions of wind speed are also presented. The results presented here suggest that aerosol composition in coastal Antarctica is a strong function of wind speed and that the mechanisms determining aerosol composition are likely linked to blowing snow.</t>
  </si>
  <si>
    <t>[Giordano, Michael R.; Goetz, J. Douglas; Avery, Anita M.; DeCarlo, Peter F.] Drexel Univ, Dept Civil Architectural &amp; Environm Engn, Philadelphia, PA 19104 USA; [Katz, Erin; DeCarlo, Peter F.] Drexel Univ, Dept Chem, Philadelphia, PA 19104 USA; [Kalnajs, Lars E.] Univ Colorado, Atmospher &amp; Space Phys Lab, Campus Box 392, Boulder, CO 80309 USA; [May, Nathaniel W.; Leemon, Anna; Mattson, Claire; Pratt, Kerri A.] Univ Michigan, Dept Chem, Ann Arbor, MI 48109 USA; [Goetz, J. Douglas] Univ Colorado, Lab Atmospher &amp; Space Phys, Boulder, CO 80309 USA; [Avery, Anita M.] Aerodyne Res Inc, Billerica, MA USA</t>
  </si>
  <si>
    <t>Drexel University; Drexel University; University of Colorado System; University of Colorado Boulder; University of Michigan System; University of Michigan; University of Colorado System; University of Colorado Boulder; Aerodyne Research</t>
  </si>
  <si>
    <t>DeCarlo, PF (corresponding author), Drexel Univ, Dept Civil Architectural &amp; Environm Engn, Philadelphia, PA 19104 USA.;DeCarlo, PF (corresponding author), Drexel Univ, Dept Chem, Philadelphia, PA 19104 USA.</t>
  </si>
  <si>
    <t>pfd33@drexel.edu</t>
  </si>
  <si>
    <t>DeCarlo, Peter F/AAA-8561-2019; Pratt, Kerri/F-8025-2010</t>
  </si>
  <si>
    <t>DeCarlo, Peter F/0000-0001-6385-7149; KALNAJS, LARS/0000-0003-2301-2461; Katz, Erin/0000-0002-3726-1808; Pratt, Kerri/0000-0003-4707-2290; May, Nathaniel William/0000-0002-8913-4827; Giordano, Michael/0000-0002-6820-6668; Avery, Anita/0000-0002-6130-9664; Goetz, James/0000-0003-0824-1215</t>
  </si>
  <si>
    <t>National Science Foundation [1341628, 1341492]</t>
  </si>
  <si>
    <t>The authors of this paper would like to thank the National Science Foundation for funding this work through grant numbers 1341628 and 1341492. Additionally, the authors extend many thanks to all of the support staff at McMurdo Station, especially Tony Buchanan; without their support none of this work would have been possible. The authors would also like to thank Terry Deshler, Andrew Slater, and Anondo Mukherjee for their direct help with measurements in the field and Erin Frolli for her assistance in satellite image retrieval and creation. Any opinions, findings, and conclusions expressed in this material are those of the authors and do not necessarily reflect the views of the NSF.</t>
  </si>
  <si>
    <t>NOV 26</t>
  </si>
  <si>
    <t>10.5194/acp-18-16689-2018</t>
  </si>
  <si>
    <t>HB6YB</t>
  </si>
  <si>
    <t>WOS:000451218800003</t>
  </si>
  <si>
    <t>Crane, SL; van Dorst, J; Hose, GC; King, CK; Ferrari, BC</t>
  </si>
  <si>
    <t>Crane, Sally L.; van Dorst, Josie; Hose, Grant C.; King, Catherine K.; Ferrari, Belinda C.</t>
  </si>
  <si>
    <t>Micro fluidic qPCR Enables High Throughput Quantification of Microbial Functional Genes but Requires Strict Curation of Primers</t>
  </si>
  <si>
    <t>FRONTIERS IN ENVIRONMENTAL SCIENCE</t>
  </si>
  <si>
    <t>micro fluidic qPCR; quantitative PCR; functional genes; nitrogen cycle; hydrocarbon degradation; microbial community; terrestrial ecology; biogeochemical cycles</t>
  </si>
  <si>
    <t>REAL-TIME PCR; 16S RIBOSOMAL-RNA; GUIDELINES MINIMUM INFORMATION; NITRITE REDUCTASE GENES; QUANTITATIVE PCR; DENITRIFYING BACTERIA; DIOXYGENASE GENES; OLIGONUCLEOTIDE PRIMERS; OXIDE REDUCTASE; NOSZ GENES</t>
  </si>
  <si>
    <t>Quantification of microbial functional genes enhances predictions of soil biogeochemical process rates, but reliance on low-throughput quantitative PCR (qPCR) limits the scope of ecological studies to a handful of targets. Here, we explore whether microfluidic qPCR (MFQPCR) is a viable high-throughput alternative for functional gene quantification, by evaluating the efficiency, specificity and sensitivity of 29 established and 12 newly designed primer pairs targeting taxonomic, nitrogen-cycling, and hydrocarbon degradation genes in genomic DNA soil extracts, under three different sets of MFQPCR assay conditions. Without curation, commonly-used qPCR primer pairs yielded an extreme range of reaction efficiencies (25.9-100.1%), but when conditions were optimized, MFQPCR produced copy-number estimates comparable to traditional qPCR. To guide microbial soil ecologists considering adoption of MFQPCR, we present suggestions for primer selection, including omission of inosines, degeneracy scores of &lt; 9, amplicon sizes of &lt;= 211 bp, and GC content of 32-61%. We conclude that, while the nanoliter reaction volumes, rapid thermocycling and one-size-fits-all reaction conditions of MFQPCR necessitates more stringent primer selection criteria than is commonly applied in soil microbial ecology, the ability to quantify up to 96 targets in 96 samples makes MFQPCR a valuable tool for monitoring shifts in functional community abundances. MFQPCR will particularly suit studies targeting multiple clade-specific functional genes, or when primer design is informed by previous knowledge of the environment.</t>
  </si>
  <si>
    <t>[Crane, Sally L.; van Dorst, Josie; Ferrari, Belinda C.] UNSW Sydney, Sch Biotechnol &amp; Biomol Sci, Randwick, NSW, Australia; [Hose, Grant C.] Macquarie Univ, Dept Biol Sci, Sydney, NSW, Australia; [King, Catherine K.] Australian Antarctic Div, Antarctic Conservat &amp; Management, Kingston, Tas, Australia</t>
  </si>
  <si>
    <t>University of New South Wales Sydney; Macquarie University; Australian Antarctic Division</t>
  </si>
  <si>
    <t>Ferrari, BC (corresponding author), UNSW Sydney, Sch Biotechnol &amp; Biomol Sci, Randwick, NSW, Australia.</t>
  </si>
  <si>
    <t>b.ferrari@unsw.edu.au</t>
  </si>
  <si>
    <t>King, Catherine K/G-7059-2017; Ferrari, Belinda/AAI-3022-2020</t>
  </si>
  <si>
    <t>King, Catherine K/0000-0003-3356-0381; Ferrari, Belinda/0000-0001-5043-3726; Hose, Grant/0000-0003-2106-5543; van Dorst, Josie/0000-0002-9353-8787</t>
  </si>
  <si>
    <t>Australian Antarctic Science Grants [AAS-4135, AAS-4036]; UNSW; Australian Government Research Training Program Scholarship</t>
  </si>
  <si>
    <t>Australian Antarctic Science Grants; UNSW; Australian Government Research Training Program Scholarship(Australian GovernmentDepartment of Industry, Innovation and Science)</t>
  </si>
  <si>
    <t>Australian Antarctic Science Grants (AAS-4135 and AAS-4036) and UNSW internal funding supported this research. SC was supported by an Australian Government Research Training Program Scholarship.</t>
  </si>
  <si>
    <t>2296-665X</t>
  </si>
  <si>
    <t>FRONT ENV SCI-SWITZ</t>
  </si>
  <si>
    <t>Front. Environ. Sci.</t>
  </si>
  <si>
    <t>10.3389/fenvs.2018.00145</t>
  </si>
  <si>
    <t>HD0VJ</t>
  </si>
  <si>
    <t>WOS:000452226800001</t>
  </si>
  <si>
    <t>Matul, A; Spielhagen, RF; Kazarina, G; Kruglikova, S; Dmitrenko, O; Mohan, R</t>
  </si>
  <si>
    <t>Matul, Alexander; Spielhagen, Robert F.; Kazarina, Galina; Kruglikova, Svetlana; Dmitrenko, Olga; Mohan, Rahul</t>
  </si>
  <si>
    <t>Warm-water events in the eastern Fram Strait during the last 2000 years as revealed by different microfossil groups</t>
  </si>
  <si>
    <t>Arctic warming; late Holocene; micropalaeontology; sea surface; subsurface palaeoenvironments</t>
  </si>
  <si>
    <t>DIATOM NEODENTICULA-SEMINAE; AMPHIMELISSA-SETOSA CLEVE; SEA-SURFACE TEMPERATURES; NORDIC SEAS; NORTH-ATLANTIC; HOLOCENE CLIMATE; PHYTOPLANKTON BLOOMS; ARCTIC-OCEAN; 2 MILLENNIA; ICE-AGE</t>
  </si>
  <si>
    <t>The environmental system of the northern Nordic Seas is very sensitive to oceanographic and climatic changes at the contact of cold Arctic and warmer North Atlantic waters. These contrasts are reflected in the associations of marine microorganisms and archived in the bottom sediments. A microfossil study (diatoms, coccoliths) of late Holocene sediments in core MSM5/5-712-1 from the eastern Fram Strait provides a better understanding of marine ecosystems and palaeoenvironments during Arctic warming events of the last two millennia. Indicative diatom species and groups of species revealed a high variability of sea-surface conditions. Based on the diatom distribution, three warming periods could be detected, corresponding to the time intervals of 0 to 440 CE (the later part of the Roman Warm Period), 1200 to1420 CE (the final part of the Medieval Climate Anomaly) and 1730 CE to present (including the Recent Warming). The various micropalaeontological proxies used in this study and other publications describe the Roman Warm Period and, especially, the Recent Warming as the most pronounced warm events in the area during the last 2000years. A comparison of data from the different microfossil groups, indicators of sea-surface and subsurface conditions, reveals variable, complicated and non-simultaneous palaeoenvironmental signals within the warm periods. This can potentially be explained by changes in the surface/subsurface water structure during the events (variations in the cold/warm water advection, stratification, availability of nutrients, seasonal succession of bioproductivity, etc.), which are reflected by changes in the microplankton communities.</t>
  </si>
  <si>
    <t>[Matul, Alexander; Kazarina, Galina; Kruglikova, Svetlana; Dmitrenko, Olga] Shirshov Inst Oceanol, Marine Geol Dept, Nahimovskiy Prospekt 36, Moscow 117997, Russia; [Spielhagen, Robert F.] GEOMAR Helmholtz Ctr Ocean Res, Ocean Circulat &amp; Climate Dynam Div, Kiel, Germany; [Mohan, Rahul] Natl Ctr Polar &amp; Ocean Res, Antarctic Sci Dept, Vasco Da Gama, India</t>
  </si>
  <si>
    <t>Russian Academy of Sciences; Shirshov Institute of Oceanology; Helmholtz Association; GEOMAR Helmholtz Center for Ocean Research Kiel; Ministry of Earth Sciences (MoES) - India; National Centre for Polar and Ocean Research (NCPOR)</t>
  </si>
  <si>
    <t>Matul, A (corresponding author), Shirshov Inst Oceanol, Marine Geol Dept, Nahimovskiy Prospekt 36, Moscow 117997, Russia.</t>
  </si>
  <si>
    <t>amatul@mail.ru</t>
  </si>
  <si>
    <t>Spielhagen, Robert F./HMD-2002-2023; Matul, Alexander/O-9399-2015</t>
  </si>
  <si>
    <t>Matul, Alexander/0000-0002-4321-5891; Kruglikova, Svetlana/0000-0002-6528-1056</t>
  </si>
  <si>
    <t>Russian Science Foundation; Department of Science and Technology of the Ministry of Science and Technology of India [16-47-02009]; National Centre for Polar and Ocean Research, Goa, Ministry of Earth Sciences; Shirshov Institute of Oceanology project - Russian Federal Agency of Scientific Organizations [0149-2018-0016]; Deutsche Forschungsgemeinschaft; Russian Science Foundation [16-47-02009] Funding Source: Russian Science Foundation</t>
  </si>
  <si>
    <t>Russian Science Foundation(Russian Science Foundation (RSF)); Department of Science and Technology of the Ministry of Science and Technology of India; National Centre for Polar and Ocean Research, Goa, Ministry of Earth Sciences; Shirshov Institute of Oceanology project - Russian Federal Agency of Scientific Organizations; Deutsche Forschungsgemeinschaft(German Research Foundation (DFG)); Russian Science Foundation(Russian Science Foundation (RSF))</t>
  </si>
  <si>
    <t>This work was supported primarily by the Russian Science Foundation and Department of Science and Technology of the Ministry of Science and Technology of India under grant no. 16-47-02009. The funds for the same were extended by the National Centre for Polar and Ocean Research, Goa, Ministry of Earth Sciences; RM would like to thank the director of that institution for extending support to this project. Micropalaeontological work was supported by Shirshov Institute of Oceanology project no. 0149-2018-0016, granted by the Russian Federal Agency of Scientific Organizations. The expedition of RV Maria S. Merian during which the investigated sediment core was retrieved was funded by the Deutsche Forschungsgemeinschaft. This is National Centre for Polar and Ocean Research contribution no. 62/2018.</t>
  </si>
  <si>
    <t>10.1080/17518369.2018.1540243</t>
  </si>
  <si>
    <t>HC8FR</t>
  </si>
  <si>
    <t>WOS:000452037900001</t>
  </si>
  <si>
    <t>Strewe, C; Thieme, D; Dangoisse, C; Fiedel, B; van den Berg, F; Bauer, H; Salam, AP; Gössmann-Lang, P; Campolongo, P; Moser, D; Quintens, R; Moreels, M; Baatout, S; Kohlberg, E; Schelling, G; Chouker, A; Feuerecker, M</t>
  </si>
  <si>
    <t>Strewe, Claudia; Thieme, Detlef; Dangoisse, Carole; Fiedel, Barbara; van den Berg, Floris; Bauer, Holger; Salam, Alex P.; Goessmann-Lang, Petra; Campolongo, Patrizia; Moser, Dominique; Quintens, Roel; Moreels, Marjan; Baatout, Sarah; Kohlberg, Eberhard; Schelling, Gustav; Chouker, Alexander; Feuerecker, Matthias</t>
  </si>
  <si>
    <t>Modulations of Neuroendocrine Stress Responses During Confinement in Antarctica and the Role of Hypobaric Hypoxia</t>
  </si>
  <si>
    <t>endocannabinoids; catecholamines; glucocorticoids; hypobaric hypoxia; high altitude; Antarctica</t>
  </si>
  <si>
    <t>SYMPATHETIC-NERVOUS-SYSTEM; HIGH-ALTITUDE; PHYSIOLOGICAL-RESPONSES; ENDOCANNABINOID SYSTEM; NORMOBARIC HYPOXIA; GENE-EXPRESSION; BLOOD-PRESSURE; ADAPTATION; RELEASE; ANANDAMIDE</t>
  </si>
  <si>
    <t>The Antarctic continent is an environment of extreme conditions. Only few research stations exist that are occupied throughout the year. The German station Neumayer III and the French-Italian Concordia station are such research platforms and human outposts. The seasonal shifts of complete daylight (summer) to complete darkness (winter) as well as massive changes in outside temperatures (down to -80 degrees C at Concordia) during winter result in complete confinement of the crews from the outside world. In addition, the crew at Concordia is subjected to hypobaric hypoxia of similar to 650 hPa as the station is situated at high altitude (3,233 m). We studied three expedition crews at Neumayer Ill (sea level) (n = 16) and two at Concordia (high altitude) (n = 15) to determine the effects of hypobaric hypoxia on hormonal/metabolic stress parameters [endocannabinoids (ECs), catecholamines, and glucocorticoids] and evaluated the psychological stress over a period of 11 months including winter confinement. In the Neumayer III (sea level) crew, EC and n-acylethanolamide (NAE) concentrations increased significantly already at the beginning of the deployment (p &lt; 0.001) whereas catecholamines and cortisol remained unaffected. Over the year, ECs and NAEs stayed elevated and fluctuated before slowly decreasing till the end of the deployment. The classical stress hormones showed small increases in the last third of deployment. By contrast, at Concordia (high altitude), norepinephrine concentrations increased significantly at the beginning (p &lt; 0.001) which was paralleled by low EC levels. Prior to the second half of deployment, norepinephrine declined constantly to end on a low plateau level, whereas then the EC concentrations increased significantly in this second period during the overwintering (p &lt; 0.001). Psychometric data showed no significant changes in the crews at either station. These findings demonstrate that exposition of healthy humans to the physically challenging extreme environment of Antarctica (i) has a distinct modulating effect on stress responses. Additionally, (ii) acute high altitude/hypobaric hypoxia at the beginning seem to trigger catecholamine release that downregulates the EC response. These results (iii) are not associated with psychological stress.</t>
  </si>
  <si>
    <t>[Strewe, Claudia; Moser, Dominique; Schelling, Gustav; Chouker, Alexander; Feuerecker, Matthias] Ludwig Maximilians Univ Munchen, Univ Hosp, Dept Anaesthesiol, Lab Translat Res Stress &amp; Immun, Munich, Germany; [Thieme, Detlef] Inst Doping Anal &amp; Sports Biochem, Dresden, Germany; [Dangoisse, Carole; van den Berg, Floris; Salam, Alex P.] IPEV PNRA ESA Antarctic Program, Brest, France; [Fiedel, Barbara; Bauer, Holger; Goessmann-Lang, Petra; Kohlberg, Eberhard] Helmholtz Zentrum Polar &amp; Meeresforsch, Alfred Wegener Inst, Bremerhaven, Germany; [Campolongo, Patrizia] Sapienza Univ Rome, Dept Physiol &amp; Pharmacol, Rome, Italy; [Quintens, Roel; Moreels, Marjan; Baatout, Sarah] Belgian Nucl Res Ctr SCKCEN, Radiobiol Unit, Mol, Belgium; [Baatout, Sarah] Univ Ghent, Dept Mol Biotechnol, Ghent, Belgium</t>
  </si>
  <si>
    <t>University of Munich; Helmholtz Association; Alfred Wegener Institute, Helmholtz Centre for Polar &amp; Marine Research; Sapienza University Rome; Belgian Nuclear Research Centre (SCK CEN); Ghent University</t>
  </si>
  <si>
    <t>Schelling, G; Chouker, A (corresponding author), Ludwig Maximilians Univ Munchen, Univ Hosp, Dept Anaesthesiol, Lab Translat Res Stress &amp; Immun, Munich, Germany.</t>
  </si>
  <si>
    <t>gustav.schelling@meduni-muenchen.de; alexander.chouker@med.uni-muenchen.de</t>
  </si>
  <si>
    <t>Quintens, Roel/G-5339-2017; Campolongo, Patrizia/D-4628-2009</t>
  </si>
  <si>
    <t>Quintens, Roel/0000-0002-4359-3403; Campolongo, Patrizia/0000-0002-2827-8755; Baatout, Sarah/0000-0001-8110-751X</t>
  </si>
  <si>
    <t>German National Space Program [50WB1317, 50WB1622]; Belgian Science Policy Office [42-000-90-380]</t>
  </si>
  <si>
    <t>German National Space Program; Belgian Science Policy Office(Belgian Federal Science Policy Office)</t>
  </si>
  <si>
    <t>This study was financially supported by the German National Space Program (Funding No. DLR, 50WB1317 and 50WB1622) and by the Belgian Science Policy Office (Grant No. 42-000-90-380).</t>
  </si>
  <si>
    <t>10.3389/fphys.2018.01647</t>
  </si>
  <si>
    <t>HB8NQ</t>
  </si>
  <si>
    <t>WOS:000451347600001</t>
  </si>
  <si>
    <t>Christner, BC; Lavender, HF; Davis, CL; Oliver, EE; Neuhaus, SU; Myers, KF; Hagedorn, B; Tulaczyk, SM; Doran, PT; Stone, WC</t>
  </si>
  <si>
    <t>Christner, Brent C.; Lavender, Heather F.; Davis, Christina L.; Oliver, Erin E.; Neuhaus, Sarah U.; Myers, Krista F.; Hagedorn, Birgit; Tulaczyk, Slawek M.; Doran, Peter T.; Stone, William C.</t>
  </si>
  <si>
    <t>Microbial processes in the weathering crust aquifer of a temperate glacier</t>
  </si>
  <si>
    <t>COVERED ANTARCTIC LAKES; MATANUSKA GLACIER; SEA-ICE; SURFACE; FLOW; BIOGEOCHEMISTRY; RESOLUTION; COMMUNITY; ECOSYSTEM; DYNAMICS</t>
  </si>
  <si>
    <t>Incident solar radiation absorbed within the ablation zone of glaciers generates a shallow perched aquifer and seasonal icebound microbial habitat. During the melt seasons of 2014 and 2015, borehole investigations were used to examine the physical, geochemical, and microbiological properties in the near-surface ice and aquifer of the temperate Matanuska Glacier (south-central Alaska). Based on temperature, solar forcing, and ice optical properties, the dissipation of shortwave radiation promoted internal melting and the formation of a weathering crust with a maximum depth of similar to 2 m. Boreholes into the weathering crust provided access to water percolating through the porous ice. The water had low ion concentrations (4-12 mu S cm 1), was aerobic (12 mg O-2 L-1), contained 200 to 8300 cells mL(-1), and harbored growing populations with estimated in situ generation times of 11 to 14 days. During the melt season, the upper 2 m of ice experienced at least 3% of the surface photosynthetically active radiation flux and possessed a fractional water content as high as 10 %. Photosynthetic subsistence of biogeochemical reactions in the weathering crust ecosystem was supported by ex situ metabolic experiments and the presence of phototrophic taxa (cyanobacteria, golden and green algae) in the aquifer samples. Meltwater durations of similar to 7.5 months coupled with the growth estimates imply biomass may increase by 4 orders of magnitude each year. Our results provide insight into how seasonal dynamics affect habitability of near-surface ice and microbial processes in a portion of the glacial biome poised to expand in extent with increasing global temperature and ablation season duration.</t>
  </si>
  <si>
    <t>[Christner, Brent C.; Davis, Christina L.] Univ Florida, Dept Microbiol &amp; Cell Sci, Biodivers Inst, Gainesville, FL 32611 USA; [Christner, Brent C.; Lavender, Heather F.; Oliver, Erin E.] Louisiana State Univ, Dept Biol Sci, Baton Rouge, LA 70803 USA; [Neuhaus, Sarah U.; Tulaczyk, Slawek M.] Univ Calif Santa Cruz, Dept Earth &amp; Planetary Sci, Santa Cruz, CA 95064 USA; [Myers, Krista F.; Doran, Peter T.] Louisiana State Univ, Dept Geol &amp; Geophys, Baton Rouge, LA 70803 USA; [Hagedorn, Birgit] Sustainable Earth Res LLC, Anchorage, AK 99508 USA; [Stone, William C.] Stone Aerosp, Del Valle, DE 78617 USA; [Oliver, Erin E.] San Diego State Univ, Dept Biol, San Diego, CA 92182 USA</t>
  </si>
  <si>
    <t>State University System of Florida; University of Florida; Louisiana State University System; Louisiana State University; University of California System; University of California Santa Cruz; Louisiana State University System; Louisiana State University; California State University System; San Diego State University</t>
  </si>
  <si>
    <t>Christner, BC (corresponding author), Univ Florida, Dept Microbiol &amp; Cell Sci, Biodivers Inst, Gainesville, FL 32611 USA.;Christner, BC (corresponding author), Louisiana State Univ, Dept Biol Sci, Baton Rouge, LA 70803 USA.</t>
  </si>
  <si>
    <t>xner@ufl.edu</t>
  </si>
  <si>
    <t>Tulaczyk, Slawek/O-7375-2018</t>
  </si>
  <si>
    <t>Tulaczyk, Slawek/0000-0002-9711-4332</t>
  </si>
  <si>
    <t>NASA ASTEP program [NNX11AJ89G]; Institute of Food and Agricultural Sciences at the University of Florida; NASA [140942, NNX11AJ89G] Funding Source: Federal RePORTER</t>
  </si>
  <si>
    <t>NASA ASTEP program(National Aeronautics &amp; Space Administration (NASA)); Institute of Food and Agricultural Sciences at the University of Florida(University of Florida); NASA(National Aeronautics &amp; Space Administration (NASA))</t>
  </si>
  <si>
    <t>This research was supported by a grant from the NASA ASTEP program (NNX11AJ89G). Partial support was also provided by the Institute of Food and Agricultural Sciences at the University of Florida. We thank Jennifer Farrar for assistance with extracting samples for nucleic acid analysis; Joseph Cook, Andrew Hodson, and John Priscu for discussion; and the two anonymous reviewers for valuable input that improved this paper. Support and assistance provided by the following 2014 and 2015 VALKYRIE field team members were crucial to the success of this research: Nathan Bramall, Evan Clark, Chris Flesher, John Harman, Bart Hogan, Josh Moor, David Rickel, Dan Sampson, Vickie Siegel, and Vicky Yuan.</t>
  </si>
  <si>
    <t>10.5194/tc-12-3653-2018</t>
  </si>
  <si>
    <t>HB5TG</t>
  </si>
  <si>
    <t>WOS:000451124900001</t>
  </si>
  <si>
    <t>Alurralde, G; de Aranzamendi, MC; Taverna, A; Maggioni, T; Tatián, M</t>
  </si>
  <si>
    <t>Alurralde, Gaston; Carla de Aranzamendi, Maria; Taverna, Anabela; Maggioni, Tamara; Tatian, Marcos</t>
  </si>
  <si>
    <t>Not as clear as expected: what genetic data tell about Southern Hemisphere corellids (Ascidiacea: Phlebobranchia)</t>
  </si>
  <si>
    <t>JOURNAL OF NATURAL HISTORY</t>
  </si>
  <si>
    <t>Ascidians; Corella; COI gene; Phylogeny; Taxonomy; Antarctic Peninsula; South America</t>
  </si>
  <si>
    <t>DEEP-WATER ASCIDIANS; TUNICATA; TEMPERATE; NORTH; EUMYOTA</t>
  </si>
  <si>
    <t>The morphology of corellids (Ascidiacea) has led to numerous misidentifications and wrong taxonomic decisions over the last century. Paradoxically, the morphology has also enabled new species to be identified and ancient entities to be re-established in the Southern Hemisphere. There are many examples of the integration of morphological and molecular data leading to the same taxonomic conclusions, and therefore we aimed to analyse DNA sequences of the gene cytochrome oxidase subunit I of currently accepted species within Corellidae occurring in the Southern Hemisphere. Haplotype networks along with phylogenetic trees and genetic distances not only corroborate the distinction between Corella eumyota and Corella antarctica, but also separate the latter into two potential groups, one located in Terre Adelie and the other in the Antarctic Peninsula (AP). Furthermore, the C. antarctica group from the AP was closely related to the allied abyssal species, Corynascidia suhmi from Terre Adelie. Although the number of new sequences is reduced, our results are congruent with a long record of suspicion on the matter and stress the need for deeper and more extensive investigation of this ascidian family.</t>
  </si>
  <si>
    <t>[Alurralde, Gaston; Carla de Aranzamendi, Maria; Taverna, Anabela; Maggioni, Tamara; Tatian, Marcos] Univ Nacl Cordoba, Fac Ciencias Exactas Fis &amp; Nat, Ecol Marina, Cordoba, Argentina; [Alurralde, Gaston; Carla de Aranzamendi, Maria; Taverna, Anabela; Maggioni, Tamara; Tatian, Marcos] Consejo Nacl Invest Cient &amp; Tecn, IDEA, Cordoba, Argentina</t>
  </si>
  <si>
    <t>National University of Cordoba; Consejo Nacional de Investigaciones Cientificas y Tecnicas (CONICET)</t>
  </si>
  <si>
    <t>Alurralde, G (corresponding author), Univ Nacl Cordoba, Fac Ciencias Exactas Fis &amp; Nat, Ecol Marina, Cordoba, Argentina.;Alurralde, G (corresponding author), Consejo Nacl Invest Cient &amp; Tecn, IDEA, Cordoba, Argentina.</t>
  </si>
  <si>
    <t>mitocondriarevelde@gmail.com</t>
  </si>
  <si>
    <t>Alurralde, Gastón/IVV-4732-2023</t>
  </si>
  <si>
    <t>Alurralde, Gastón/0000-0002-0332-3978; Tatian, Marcos/0000-0002-9092-9184; Maggioni, Tamara/0000-0002-4936-5970; de Aranzamendi, Maria Carla/0000-0003-4442-0384</t>
  </si>
  <si>
    <t>Consejo Nacional de Investigaciones Cientificas y Tecnicas (CONICET); Universidad Nacional de Cordoba; Instituto Antartico Argentino; Secretaria de Ciencia y Tecnica - Universidad Nacional de Cordoba (SECyT-UNC) [30720150100406CB]; Proyectos de Investigacion Plurianuales (PIP) CONICET [20130100508]; Agencia Nacional de Promocion Cientifica y Tecnologica - Direccion Nacional del Antartico (ANPCyT-DNA) Proyectos de Investigacion Cientifica y Tecnologica Orientados (PICTO) [PICTO 2010-0019]; IDEAWILD; Professional Association of Diving Instructors (PADI) Foundation [32778]</t>
  </si>
  <si>
    <t>Consejo Nacional de Investigaciones Cientificas y Tecnicas (CONICET)(Consejo Nacional de Investigaciones Cientificas y Tecnicas (CONICET)); Universidad Nacional de Cordoba; Instituto Antartico Argentino; Secretaria de Ciencia y Tecnica - Universidad Nacional de Cordoba (SECyT-UNC)(Secretaria de Ciencia y Tecnologia (SECYT)); Proyectos de Investigacion Plurianuales (PIP) CONICET; Agencia Nacional de Promocion Cientifica y Tecnologica - Direccion Nacional del Antartico (ANPCyT-DNA) Proyectos de Investigacion Cientifica y Tecnologica Orientados (PICTO); IDEAWILD; Professional Association of Diving Instructors (PADI) Foundation</t>
  </si>
  <si>
    <t>This work was supported by Consejo Nacional de Investigaciones Cientificas y Tecnicas (CONICET), Universidad Nacional de Cordoba and Instituto Antartico Argentino, and partially funded by Secretaria de Ciencia y Tecnica -Universidad Nacional de Cordoba (SECyT-UNC) [30720150100406CB]; Proyectos de Investigacion Plurianuales (PIP) CONICET [20130100508]; Agencia Nacional de Promocion Cientifica y Tecnologica -Direccion Nacional del Antartico (ANPCyT-DNA) Proyectos de Investigacion Cientifica y Tecnologica Orientados (PICTO) [PICTO 2010-0019]; IDEAWILD and Professional Association of Diving Instructors (PADI) Foundation [#32778].</t>
  </si>
  <si>
    <t>0022-2933</t>
  </si>
  <si>
    <t>1464-5262</t>
  </si>
  <si>
    <t>J NAT HIST</t>
  </si>
  <si>
    <t>J. Nat. Hist.</t>
  </si>
  <si>
    <t>NOV 25</t>
  </si>
  <si>
    <t>43-44</t>
  </si>
  <si>
    <t>10.1080/00222933.2018.1553250</t>
  </si>
  <si>
    <t>Biodiversity Conservation; Ecology; Zoology</t>
  </si>
  <si>
    <t>Biodiversity &amp; Conservation; Environmental Sciences &amp; Ecology; Zoology</t>
  </si>
  <si>
    <t>HF2LG</t>
  </si>
  <si>
    <t>WOS:000454067400001</t>
  </si>
  <si>
    <t>Fadeev, E; Salter, I; Schourup-Kristensen, V; Nothig, EM; Metfies, K; Engels, A; Piontek, J; Boetiuso, A; Bienhold, C</t>
  </si>
  <si>
    <t>Fadeev, Eduard; Salter, Ian; Schourup-Kristensen, Vibe; Nothig, Eva-Maria; Metfies, Katja; Engels, Anja; Piontek, Judith; Boetiuso, Antje; Bienhold, Christina</t>
  </si>
  <si>
    <t>Microbial Communities in the East and West Fram Strait During Sea Ice Melting Season</t>
  </si>
  <si>
    <t>Arctic Ocean; phytoplankton bloom; microbial interactions; bacterioplankton; network analysis</t>
  </si>
  <si>
    <t>ALGAE-BACTERIA INTERACTIONS; ARCTIC-OCEAN; ORGANIC-MATTER; PHYTOPLANKTON BLOOM; ANTARCTIC PENINSULA; EURASIAN BASIN; WATER MASSES; WINTER; BACTERIOPLANKTON; DIVERSITY</t>
  </si>
  <si>
    <t>Climate models project that the Arctic Ocean may experience ice-free summers by the second half of this century. This may have severe repercussions on phytoplankton bloom dynamics and the associated cycling of carbon in surface waters. We currently lack baseline knowledge of the seasonal dynamics of Arctic microbial communities, which is needed in order to better estimate the effects of such changes on ecosystem functioning. Here we present a comparative study of polar summer microbial communities in the ice-free (eastern) and ice-covered (western) hydrographic regimes at the LTER HAUSGARTEN in Fram Strait, the main gateway between the Arctic and North Atlantic Oceans. Based on measured and modeled biogeochemical parameters, we tentatively identified two different ecosystem states (i.e., different phytoplankton bloom stages) in the distinct regions. Using lllumina tag-sequencing, we determined the community composition of both free-living and particle-associated bacteria as well as microbial eukaryotes in the photic layer. Despite substantial horizontal mixing by eddies in Fram Strait, pelagic microbial communities showed distinct differences between the two regimes, with a proposed early spring (pre-bloom) community in the ice-covered western regime (with higher representation of SAR11, SAR202, SAR406 and eukaryotic MALVs) and a community indicative of late summer conditions (post-bloom) in the icefree eastern regime (with higher representation of Flavobacteria, Gammaproteobacteria and eukaryotic heterotrophs). Co-occurrence networks revealed specific taxon-taxon associations between bacterial and eukaryotic taxa in the two regions. Our results suggest that the predicted changes in sea ice cover and phytoplankton bloom dynamics will have a strong impact on bacterial community dynamics and potentially on biogeochemical cycles in this region.</t>
  </si>
  <si>
    <t>[Fadeev, Eduard; Salter, Ian; Schourup-Kristensen, Vibe; Nothig, Eva-Maria; Metfies, Katja; Boetiuso, Antje; Bienhold, Christina] Helmholtz Ctr Polar &amp; Marine Res, Alfred Wegener Inst, Bremerhaven, Germany; [Fadeev, Eduard; Boetiuso, Antje; Bienhold, Christina] Max Planck Inst Marine Microbiol, Bremen, Germany; [Salter, Ian] Faroe Marine Res Inst, Torshavn, Faroe Islands; [Metfies, Katja] Helmholtz Inst Funct Marine Biodivers, Oldenburg, Germany; [Engels, Anja; Piontek, Judith] GEOMAR Helmholtz Ctr Ocean Res, Kiel, Germany</t>
  </si>
  <si>
    <t>Helmholtz Association; Alfred Wegener Institute, Helmholtz Centre for Polar &amp; Marine Research; Max Planck Society; Faroe Marine Research Institute (FAMRI); Helmholtz Association; GEOMAR Helmholtz Center for Ocean Research Kiel</t>
  </si>
  <si>
    <t>Fadeev, E; Bienhold, C (corresponding author), Helmholtz Ctr Polar &amp; Marine Res, Alfred Wegener Inst, Bremerhaven, Germany.;Fadeev, E; Bienhold, C (corresponding author), Max Planck Inst Marine Microbiol, Bremen, Germany.</t>
  </si>
  <si>
    <t>eduard.fadeev@awi.de; Christina.Bienhold@awi.de</t>
  </si>
  <si>
    <t>Salter, Ian/AAI-1015-2021; Nöthig, Eva-Maria/AAS-7253-2021; Fadeev, Eduard/HJI-6098-2023; Engel, Andreas/E-3100-2014; Boetius, Antje/D-5459-2013</t>
  </si>
  <si>
    <t>Fadeev, Eduard/0000-0002-2289-2949; Schourup-Kristensen, Vibe/0000-0003-0263-9046; Boetius, Antje/0000-0003-2117-4176; Engel, Anja/0000-0002-1042-1955; Nothig, Eva-Maria/0000-0002-7527-7827; Salter, Ian/0000-0002-4513-0314; Bienhold, Christina/0000-0003-2269-9468</t>
  </si>
  <si>
    <t>European Research Council (ERC) under the European Union's Seventh Framework Program (FP7/2007-2013) research project ABYSS [294757]; Helmholtz Association; Max Planck Society</t>
  </si>
  <si>
    <t>European Research Council (ERC) under the European Union's Seventh Framework Program (FP7/2007-2013) research project ABYSS(European Research Council (ERC)); Helmholtz Association(Helmholtz Association); Max Planck Society(Max Planck Society)</t>
  </si>
  <si>
    <t>This project has received funding from the European Research Council (ERC) under the European Union's Seventh Framework Program (FP7/2007-2013) research project ABYSS (Grant Agreement No. 294757) to AB. Additional funding came from the Helmholtz Association, specifically for the FRAM infrastructure, and from the Max Planck Society. This publication is Eprint ID 46861 of the AlfredWegener Institute Helmholtz Center for Polar and Marine Research, Bremerhaven, Germany.</t>
  </si>
  <si>
    <t>NOV 22</t>
  </si>
  <si>
    <t>10.3389/fmars.2018.00429</t>
  </si>
  <si>
    <t>HJ8YF</t>
  </si>
  <si>
    <t>WOS:000457485300001</t>
  </si>
  <si>
    <t>Antoniades, D; Giralt, S; Geyer, A; Alvarez-Valero, AM; Pla-Rabes, S; Granados, I; Liu, EJ; Toro, M; Smellie, JL; Oliva, M</t>
  </si>
  <si>
    <t>Antoniades, Dermot; Giralt, Santiago; Geyer, Adelina; Alvarez-Valero, Antonio M.; Pla-Rabes, Sergi; Granados, Ignacio; Liu, Emma J.; Toro, Manuel; Smellie, John L.; Oliva, Marc</t>
  </si>
  <si>
    <t>The timing and widespread effects of the largest Holocene volcanic eruption in Antarctica</t>
  </si>
  <si>
    <t>SOUTH SHETLAND ISLANDS; BYERS PENINSULA; LIVINGSTON ISLAND; ICE CORE; DECEPTION ISLAND; CHEMICAL CLASSIFICATION; EAST ANTARCTICA; TEPHRA LAYERS; RECORD; CLIMATE</t>
  </si>
  <si>
    <t>The caldera collapse of Deception Island Volcano, Antarctica, was comparable in scale to some of the largest eruptions on Earth over the last several millennia. Despite its magnitude and potential for far-reaching environmental effects, the age of this event has never been established, with estimates ranging from the late Pleistocene to 3370 years before present. Here we analyse nearby lake sediments in which we identify a singular event produced by Deception Island's caldera collapse that occurred 3980 +/- 125 calibrated years before present. The erupted tephra record the distinct geochemical composition of ejecta from the caldera-forming eruption, whilst an extreme seismic episode is recorded by lake sediments immediately overlying the collapse tephra. The newly constrained caldera collapse is now the largest volcanic eruption confirmed in Antarctica during the Holocene. An examination of palaeorecords reveals evidence in marine and lacustrine sediments for contemporaneous seismicity around the Antarctic Peninsula; synchronous glaciochemical volcanic signatures also record the eruption in ice cores spread around Antarctica, reaching &gt; 4600 km from source. The widespread footprint suggests that this eruption would have had significant climatic and ecological effects across a vast area of the south polar region.</t>
  </si>
  <si>
    <t>[Antoniades, Dermot] Univ Laval, Dept Geog, Ctr Northern Studies, Quebec City, PQ G1V 0A6, Canada; [Antoniades, Dermot] Univ Laval, Takuvik Unite Mixte Int, Quebec City, PQ G1V 0A6, Canada; [Giralt, Santiago; Geyer, Adelina] CSIC, ICTJA, Inst Earth Sci Jaume Almera, Lluis Sole &amp; Sabaris S-N, E-08028 Barcelona, Spain; [Alvarez-Valero, Antonio M.] Univ Salamanca, Dept Geol, E-37008 Salamanca, Spain; [Pla-Rabes, Sergi] CREAF, Bellaterra 08193, Cerdanyola Del, Spain; [Pla-Rabes, Sergi] Univ Autonoma Barcelona, Bellaterra 08193, Cerdanyola Del, Spain; [Granados, Ignacio] Sierra Guadarrama Natl Pk, Ctr Invest Seguimiento &amp; Evaluac, Rascafria 28740, Spain; [Liu, Emma J.] Univ Cambridge, Dept Earth Sci, Downing St, Cambridge CB2 3EQ, England; [Toro, Manuel] Ctr Hydrog Studies CEDEX, Madrid 28005, Spain; [Smellie, John L.] Univ Leicester, Dept Geol, Leicester LE1 7RH, Leics, England; [Oliva, Marc] Univ Barcelona, Dept Geog, Barcelona 08001, Spain</t>
  </si>
  <si>
    <t>Laval University; Laval University; Consejo Superior de Investigaciones Cientificas (CSIC); CSIC - Geociencias Barcelona (GEO3BCN); University of Salamanca; Centro de Investigacion Ecologica y Aplicaciones Forestales (CREAF-CERCA); Autonomous University of Barcelona; University of Cambridge; University of Leicester; University of Barcelona</t>
  </si>
  <si>
    <t>Antoniades, D (corresponding author), Univ Laval, Dept Geog, Ctr Northern Studies, Quebec City, PQ G1V 0A6, Canada.;Antoniades, D (corresponding author), Univ Laval, Takuvik Unite Mixte Int, Quebec City, PQ G1V 0A6, Canada.</t>
  </si>
  <si>
    <t>dermot.antoniades@cen.ulaval.ca</t>
  </si>
  <si>
    <t>Granados, Ignacio/A-3737-2013; Giralt, Santiago/AAA-8585-2020; Geyer, Adelina/C-9490-2011; ramon, anna/O-1249-2019; Pla-Rabes, Sergi/J-9209-2012; Oliva, Marc/K-5423-2014; Geyer, Adelina/A-6624-2012; Alvarez-Valero, Antonio M./B-2732-2015</t>
  </si>
  <si>
    <t>Granados, Ignacio/0000-0002-8669-6613; Giralt, Santiago/0000-0001-8570-7838; Pla-Rabes, Sergi/0000-0003-3532-9466; Nicholson, Emma/0000-0003-1749-9285; Oliva, Marc/0000-0001-6521-6388; Geyer, Adelina/0000-0002-8803-6504; Antoniades, Dermot/0000-0001-6629-4839; Toro Velasco, Manuel/0000-0002-4860-7229; Alvarez-Valero, Antonio M./0000-0001-9707-0168</t>
  </si>
  <si>
    <t>Spanish (MEC grant) Polar program [POL2006-06635/CGL]; Portuguese Polar program [PTDC/CTE-GIX/119582/2010]; Programa Propio I (Usal-2014); Ramon y Cajal research program [RYC-2011-07584, RYC-2012-11024, RYC-2015-17597]; MICINN [CTM2009-05919-E, CGL2010-22022-C02-02, CGL2015-72629-EXP, CTM2016-79617-P, CTM2009-07869-E/ANT]; Leverhulme Early Career Fellowship</t>
  </si>
  <si>
    <t>Spanish (MEC grant) Polar program; Portuguese Polar program; Programa Propio I (Usal-2014); Ramon y Cajal research program(Spanish Government); MICINN(Spanish Government); Leverhulme Early Career Fellowship(Leverhulme Trust)</t>
  </si>
  <si>
    <t>Field work for this study was supported by the Spanish (2007; MEC grant POL2006-06635/CGL) and Portuguese (2012; grant PTDC/CTE-GIX/119582/2010) Polar programs. D. A. thanks the Natural Sciences and Engineering Research Council of Canada's Discovery Grants program and the Instituto Antartico Uruguayo for logistical support. A. M. A-V. acknowledges funding from the Programa Propio I (Usal-2014), and the assistance of the Ramon y Cajal research program (RYC-2011-07584). A. G. thanks the MICINN grants CTM2009-05919-E, CGL2010-22022-C02-02, CGL2015-72629-EXP, CTM2016-79617-P (AEI/FEDER-UE) and the support provided by the Ramon y Cajal research program (RYC-2012-11024). MICINN grant CTM2009-07869-E/ANT supported laboratory analyses. M. O. also thanks the Ramon y Cajal research program (RYC-2015-17597) EJL acknowledges support from a Leverhulme Early Career Fellowship. This study is a contribution to ANTALP - Antarctic, Arctic, Alpine Environments (2017 SGR 1102), Generalitat de Catalunya.</t>
  </si>
  <si>
    <t>10.1038/s41598-018-35460-x</t>
  </si>
  <si>
    <t>HB2ZL</t>
  </si>
  <si>
    <t>WOS:000450915300009</t>
  </si>
  <si>
    <t>Liou, K; Sotirelis, T; Mitchell, EJ</t>
  </si>
  <si>
    <t>Liou, Kan; Sotirelis, Thomas; Mitchell, Elizabeth J.</t>
  </si>
  <si>
    <t>North-South Asymmetry in the Geographic Location of Auroral Substorms correlated with Ionospheric Effects</t>
  </si>
  <si>
    <t>INTERPLANETARY MAGNETIC-FIELD; ACCELERATION; ONSETS; FLOW</t>
  </si>
  <si>
    <t>Energetic particles of magnetospheric origin constantly strike the Earth's upper atmosphere in the polar regions, producing optical emissions known as the aurora. The most spectacular auroral displays are associated with recurrent events called magnetospheric substorms (aka auroral substorms). Substorms are initiated in the nightside magnetosphere on closed magnetic field lines. As a consequence, it is generally thought that auroral substorms should occur in both hemispheres on the same field line (i.e., magnetically conjugated). However, such a hypothesis has not been verified statistically. Here, by analyzing 2659 auroral substorms acquired by the Ultraviolet Imager on board the NASA satellite Polar, we have discovered surprising evidence that the averaged location for substorm onsets is not conjugate but shows a geographic preference that cannot be easily explained by current substorm theories. In the Northern Hemisphere (NH) the auroral substorms occur most frequently in Churchill, Canada (-90 degrees W) and Khatanga, Siberia (-100 degrees E), up to three times as often as in Iceland (-22 degrees W). In the Southern Hemisphere (SH), substorms occur more frequently over a location in the Antarctic ocean (-120 degrees E), up to -4 times more than over the Antarctic Continent. Such a large difference in the longitudinal distribution of north and south onset defies the common belief that substorms in the NH and SH should be magnetically conjugated. A further analysis indicates that these substorm events occurred more frequently when more of the ionosphere was dark. These geographic areas also coincide with regions where the Earth's magnetic field is largest. These facts suggest that auroral substorms occur more frequently, and perhaps more intensely, when the ionospheric conductivity is lower. With much of the magnetotail energy coming from the solar wind through merging of the interplanetary and Earth's magnetic field, it is generally thought that the occurrence of substorms is externally controlled by the solar wind and plasma instability in the magnetotail. The present study results provide a strong argument that the ionosphere plays a more active role in the occurrence of substorms.</t>
  </si>
  <si>
    <t>[Liou, Kan; Sotirelis, Thomas; Mitchell, Elizabeth J.] Johns Hopkins Univ, Appl Phys Lab, Johns Hopkins Rd, Laurel, MD 20723 USA</t>
  </si>
  <si>
    <t>Johns Hopkins University; Johns Hopkins University Applied Physics Laboratory</t>
  </si>
  <si>
    <t>Liou, K (corresponding author), Johns Hopkins Univ, Appl Phys Lab, Johns Hopkins Rd, Laurel, MD 20723 USA.</t>
  </si>
  <si>
    <t>kan.liou@jhuapl.edu</t>
  </si>
  <si>
    <t>NSF [1408812/121167, 1743118]; Div Atmospheric &amp; Geospace Sciences; Directorate For Geosciences [1743118] Funding Source: National Science Foundation</t>
  </si>
  <si>
    <t>NSF(National Science Foundation (NSF)); Div Atmospheric &amp; Geospace Sciences; Directorate For Geosciences(National Science Foundation (NSF)NSF - Directorate for Geosciences (GEO))</t>
  </si>
  <si>
    <t>This study was supported by NSF grants 1408812/121167 and 1743118 to the Johns Hopkins University Applied Physics Laboratory. The authors thank the International Association of Geomagnetism and Aeronomy (IAGA) for providing the International Geomagnetic Reference field (IGRF-11).</t>
  </si>
  <si>
    <t>10.1038/s41598-018-35091-2</t>
  </si>
  <si>
    <t>HB2YM</t>
  </si>
  <si>
    <t>WOS:000450911800001</t>
  </si>
  <si>
    <t>Berends, CJ; de Boer, B; van de Wal, RSW</t>
  </si>
  <si>
    <t>Berends, Constantijn J.; de Boer, Bas; van de Wal, Roderik S. W.</t>
  </si>
  <si>
    <t>Application of HadCM3@Bristolv1.0 simulations of paleoclimate as forcing for an ice-sheet model, ANICE2.1: set-up and benchmark experiments</t>
  </si>
  <si>
    <t>LAST GLACIAL MAXIMUM; SCALE FEATURES; COUPLED MODEL; PISM-PIK; PART 1; CLIMATE; GREENLAND; RECONSTRUCTION; TEMPERATURE; SENSITIVITY</t>
  </si>
  <si>
    <t>Fully coupled ice-sheet-climate modelling over 10 000-100 000-year timescales at high spatial and temporal resolution remains beyond the capability of current computational systems. Forcing an ice-sheet model with precalculated output from a general circulation model (GCM) offers a middle ground, balancing the need to accurately capture both long-term processes, in particular circulation-driven changes in precipitation, and processes requiring a high spatial resolution like ablation. Here, we present and evaluate a model set-up that forces the ANICE 3-D thermodynamic ice-sheetshelf model calculating the four large continental ice sheets (Antarctica, Greenland, North America, and Eurasia) with precalculated output from two steady-state simulations with the HadCM3 (GCM) using a so-called matrix method of coupling both components, whereby simulations with various levels of p CO2 and ice-sheet configuration are combined to form a time-continuous transient climate forcing consistent with the modelled ice sheets. We address the difficulties in downscaling low-resolution GCM output to the higherresolution grid of an ice-sheet model and account for differences between GCM and ice-sheet model surface topography ranging from interglacial to glacial conditions. Although the approach presented here can be applied to a matrix with any number of GCM snapshots, we limited our experiments to a matrix of only two snapshots. As a benchmark experiment to assess the validity of this model set-up, we perform a simulation of the entire last glacial cycle from 120 kyr ago to present day. The simulated eustatic sea-level drop at the Last Glacial Maximum (LGM) for the combined Antarctic, Greenland, Eurasian, and North American ice sheets amounts to 100 m, in line with many other studies. The simulated ice sheets at the LGM agree well with the ICE-5G reconstruction and the more recent DATED-1 reconstruction in terms of total volume and geographical location of the ice sheets. Moreover, modelled benthic oxygen isotope abundance and the relative contributions from global ice volume and deep-water temperature agree well with available data, as do surface temperature histories for the Greenland and Antarctic ice sheets. This model strategy can be used to create time-continuous ice-sheet distribution and sea-level reconstructions for geological periods up to several million years in duration, capturing climate-model-driven variations in the mass balance of the ice sheet.</t>
  </si>
  <si>
    <t>[Berends, Constantijn J.; de Boer, Bas; van de Wal, Roderik S. W.] Univ Utrecht, Inst Marine &amp; Atmospher Res Utrecht, Utrecht, Netherlands</t>
  </si>
  <si>
    <t>Utrecht University</t>
  </si>
  <si>
    <t>Berends, CJ (corresponding author), Univ Utrecht, Inst Marine &amp; Atmospher Res Utrecht, Utrecht, Netherlands.</t>
  </si>
  <si>
    <t>c.j.berends@uu.nl</t>
  </si>
  <si>
    <t>van de wal, roderik/D-1705-2011</t>
  </si>
  <si>
    <t>van de wal, roderik/0000-0003-2543-3892; Berends, Tijn/0000-0002-2961-0350; de Boer, Bas/0000-0002-3696-6654</t>
  </si>
  <si>
    <t>Ministry of Education, Culture and Science (OCW) in the Netherlands; NWO Earth and Life Sciences (ALW) [863.15.019]; NWO Exact and Natural Sciences; SurfSARA Computing and Networking Services</t>
  </si>
  <si>
    <t>Ministry of Education, Culture and Science (OCW) in the Netherlands; NWO Earth and Life Sciences (ALW); NWO Exact and Natural Sciences; SurfSARA Computing and Networking Services</t>
  </si>
  <si>
    <t>The Ministry of Education, Culture and Science (OCW) in the Netherlands provided financial support for this study via the programme of the Netherlands Earth System Science Centre (NESSC). Bas de Boer is funded by NWO Earth and Life Sciences (ALW), project 863.15.019. This work was sponsored by NWO Exact and Natural Sciences for the use of supercomputer facilities. Model runs were performed on the LISA Computer Cluster, and we would like to acknowledge SurfSARA Computing and Networking Services for their support. Special thanks go to Paul Valdes for sharing the data from his HadCM3 simulations with us.</t>
  </si>
  <si>
    <t>10.5194/gmd-11-4657-2018</t>
  </si>
  <si>
    <t>HB2QX</t>
  </si>
  <si>
    <t>WOS:000450888000002</t>
  </si>
  <si>
    <t>Nowak, A; Hodson, A; Turchyn, AV</t>
  </si>
  <si>
    <t>Nowak, Aga; Hodson, Andy; Turchyn, Alexandra, V</t>
  </si>
  <si>
    <t>Spatial and Temporal Dynamics of Dissolved Organic Carbon, Chlorophyll, Nutrients, and Trace Metals in Maritime Antarctic Snow and Snowmelt</t>
  </si>
  <si>
    <t>Antarctic DOC; Antarctic snow biogeochemistry; Antarctic snowmelt biogeochemistry; Antarctic snowmelt enrichment; iron enrichment in Antarctic meltwaters; coastal fringe of Antarctic Peninsula; nutrients in snowmelt; snowmelt DOC</t>
  </si>
  <si>
    <t>GEOCHEMISTRY; PENINSULA; NITROGEN; STREAMS; WEST</t>
  </si>
  <si>
    <t>Despite scientific interest in the investigation of biogeochemical changes in meltwaters of the Antarctic Peninsula, we still lack an understanding of the seasonal dynamics and release of dissolved and particulate carbon, nutrients, as well as trace metals from Antarctic snowpacks. Harsh conditions, lack of appreciation of the heterogeneity of the environment, as well as logistical constraints during fieldwork mean there is great demand for more detailed and comprehensive research. Therefore, a unique, comprehensive study of snowpack biogeochemistry was performed in the Ryder Bay area of the Antarctic Peninsula during the entire 2016/2017 melt season. Two-hundred snowpack and snowmelt samples were collected throughout the campaign, to quantify for the first time, seasonal dynamics and export of dissolved carbon, in-vivo chlorophyll, nutrient, and trace metals from Antarctic snowpack in various locations. Our study uncovered the importance of environmental heterogeneity with respect to the export of solutes and carbon. A distinctive split in the temporal dynamics of solute export was found, suggesting that some solutes are rapidly delivered to coastal environments early in the summer whilst others are delivered more gradually throughout it. Coastal, low elevation snowpacks were identified as power plants of microbial activity, playing an important role in the regulation of land-ocean fluxes of labile carbon and bio-limiting macro- and micro-nutrients. We also found that multiannual snow residing deep below the surface can further contribute to biogeochemical enrichment of coastal ecosystems. Additionally, inland snowpack have been identified as a store for nutrients, dissolved organic carbon and chlorophyll. Lastly, we show that a number of factors (environmental characteristics, geochemical heterogeneity, and internal biogeochemical processes in snow) make simple snowpack surveys insufficient for the prediction of biogeochemical fluxes carried by snowmelt runoff into the marine environment. A return to significant fieldwork-based research in Antarctica is therefore necessary to advance our knowledge of the complex biogeochemical processes occurring there. This study provides crucial data and process insights for more accurate predictions of how changing climate will influence the Antarctic carbon cycle and the globally important Southern Ocean ecosystem.</t>
  </si>
  <si>
    <t>[Nowak, Aga; Hodson, Andy] Univ Ctr Svalbard, Arctic Geol, Longyearbyen, Norway; [Nowak, Aga; Hodson, Andy] Western Norway Univ Appl Sci, Dept Environm Sci, Sogndal, Norway; [Turchyn, Alexandra, V] Univ Cambridge, Dept Earth Sci, Cambridge, England</t>
  </si>
  <si>
    <t>University Centre Svalbard (UNIS); Western Norway University of Applied Sciences; University of Cambridge</t>
  </si>
  <si>
    <t>Nowak, A (corresponding author), Univ Ctr Svalbard, Arctic Geol, Longyearbyen, Norway.;Nowak, A (corresponding author), Western Norway Univ Appl Sci, Dept Environm Sci, Sogndal, Norway.</t>
  </si>
  <si>
    <t>aga.nowak.09@gmail.com</t>
  </si>
  <si>
    <t>Nowak, Aga/0000-0002-7130-1383; Hodson, Andrew/0000-0002-1255-7987</t>
  </si>
  <si>
    <t>British Antarctic Survey; Natural Environmental Research Council grant Collaborative Antarctic Science Scheme [CASS-120]; Natural Environmental Research Council [NE/H014446/1]; ERC StG [307582]; NERC [NE/J017930/1, NE/H014446/1, NE/S001344/1] Funding Source: UKRI; Natural Environment Research Council [NE/S001344/1, NE/J017930/1] Funding Source: researchfish</t>
  </si>
  <si>
    <t>British Antarctic Survey; Natural Environmental Research Council grant Collaborative Antarctic Science Scheme; Natural Environmental Research Council(UK Research &amp; Innovation (UKRI)Natural Environment Research Council (NERC)); ERC StG(European Research Council (ERC)); NERC(UK Research &amp; Innovation (UKRI)Natural Environment Research Council (NERC)); Natural Environment Research Council(UK Research &amp; Innovation (UKRI)Natural Environment Research Council (NERC))</t>
  </si>
  <si>
    <t>The study was funded by British Antarctic Survey and Natural Environmental Research Council grant Collaborative Antarctic Science Scheme CASS-120 to AN. The authors also acknowledge Natural Environmental Research Council grant NE/H014446/1 to AH and ERC StG 307582 to AVT for analytical costs.</t>
  </si>
  <si>
    <t>NOV 21</t>
  </si>
  <si>
    <t>10.3389/feart.2018.00201</t>
  </si>
  <si>
    <t>HF2VH</t>
  </si>
  <si>
    <t>WOS:000454094300001</t>
  </si>
  <si>
    <t>Waterman, MJ; Bramley-Alves, J; Miller, RE; Keller, PA; Robinson, SA</t>
  </si>
  <si>
    <t>Waterman, Melinda J.; Bramley-Alves, Jessica; Miller, Rebecca E.; Keller, Paul A.; Robinson, Sharon A.</t>
  </si>
  <si>
    <t>Photoprotection enhanced by red cell wall pigments in three East Antarctic mosses</t>
  </si>
  <si>
    <t>Antarctic moss; Ceratodon purpureus; Bryum pseudotriquetrum; Schistidium antarctici; Bryophyte; UV-B-absorbing compounds; Cell wall; Anthocyanins; FT-IR</t>
  </si>
  <si>
    <t>ULTRAVIOLET-RADIATION; STRATOSPHERIC OZONE; GREEN GAMETOPHYTES; B RADIATION; LIVERWORT; ANTHOCYANINS; TOLERANCE; IDENTIFICATION; SPECTROSCOPY; ANTIOXIDANT</t>
  </si>
  <si>
    <t>Background: Antarctic bryophytes (mosses and liverworts) are resilient to physiologically extreme environmental conditions including elevated levels of ultraviolet (UV) radiation due to depletion of stratospheric ozone. Many Antarctic bryophytes synthesise UV-B-absorbing compounds (UVAC) that are localised in their cells and cell walls, a location that is rarely investigated for UVAC in plants. This study compares the concentrations and localisation of intracellular and cell wall UVAC in Antarctic Ceratodon purpureus, Bryum pseudotriquetrum and Schistidium antarctici from the Windmill Islands, East Antarctica. Results: Multiple stresses, including desiccation and naturally high UV and visible light, seemed to enhance the incorporation of total UVAC including red pigments in the cell walls of all three Antarctic species analysed. The red growth form of C. purpureus had significantly higher levels of cell wall bound and lower intracellular UVAC concentrations than its nearby green form. Microscopic and spectroscopic analyses showed that the red colouration in this species was associated with the cell wall and that these red cell walls contained less pectin and phenolic esters than the green form. All three moss species showed a natural increase in cell wall UVAC content during the growing season and a decline in these compounds in new tissue grown under less stressful conditions in the laboratory. Conclusions: UVAC and red pigments are tightly bound to the cell wall and likely have a long-term protective role in Antarctic bryophytes. Although the identity of these red pigments remains unknown, our study demonstrates the importance of investigating cell wall UVAC in plants and contributes to our current understanding of UV-protective strategies employed by particular Antarctic bryophytes. Studies such as these provide clues to how these plants survive in such extreme habitats and are helpful in predicting future survival of the species studied.</t>
  </si>
  <si>
    <t>[Waterman, Melinda J.; Bramley-Alves, Jessica; Miller, Rebecca E.; Robinson, Sharon A.] Univ Wollongong, Sch Biol Sci, Ctr Sustainable Ecosyst Solut, Northfields Ave, Wollongong, NSW 2522, Australia; [Waterman, Melinda J.; Robinson, Sharon A.] Univ Santiago, Dept Biol &amp; Chem, Santiago 3363, Chile; [Miller, Rebecca E.] Univ Melbourne, Sch Ecosyst &amp; Forest Sci, Richmond, Vic 3121, Australia; [Keller, Paul A.] Univ Wollongong, Sch Chem, Wollongong, NSW 2522, Australia</t>
  </si>
  <si>
    <t>University of Wollongong; Universidad de Santiago de Chile; University of Melbourne; University of Wollongong</t>
  </si>
  <si>
    <t>Waterman, MJ (corresponding author), Univ Wollongong, Sch Biol Sci, Ctr Sustainable Ecosyst Solut, Northfields Ave, Wollongong, NSW 2522, Australia.</t>
  </si>
  <si>
    <t>melindaw@uow.edu.au</t>
  </si>
  <si>
    <t>Waterman, Melinda/N-5880-2019; Keller, Paul/AAD-9214-2022; Robinson, Sharon/B-2683-2008</t>
  </si>
  <si>
    <t>Waterman, Melinda/0000-0001-5907-4512; Robinson, Sharon/0000-0002-7130-9617; Bramley-Alves, Jessica/0000-0003-2992-0444; Keller, Paul/0000-0003-4868-845X</t>
  </si>
  <si>
    <t>Australian Research Council [DP110101714, DP180100113]; Australian Antarctic Division [ASG3042, ASG4046]; University of Wollongong</t>
  </si>
  <si>
    <t>Australian Research Council(Australian Research Council); Australian Antarctic Division; University of Wollongong</t>
  </si>
  <si>
    <t>Funding support was provided by Australian Research Council Discovery Project (DP110101714 and DP180100113) and Australian Antarctic Division (ASG3042 and ASG4046) grants. Both sources were not involved in the design of this project. MW and JBA thank the University of Wollongong for Australian Postgraduate Awards.</t>
  </si>
  <si>
    <t>10.1186/s40659-018-0196-1</t>
  </si>
  <si>
    <t>HB0VO</t>
  </si>
  <si>
    <t>WOS:000450736800001</t>
  </si>
  <si>
    <t>Grenier, M; Garcia-Solsona, E; Lemaitre, N; Trull, TW; Bouvier, V; Nonnotte, P; van Beek, P; Souhaut, M; Lacan, F; Jeandel, C</t>
  </si>
  <si>
    <t>Grenier, Melanie; Garcia-Solsona, Ester; Lemaitre, Nolwenn; Trull, Thomas W.; Bouvier, Vincent; Nonnotte, Philippe; van Beek, Pieter; Souhaut, Marc; Lacan, Francois; Jeandel, Catherine</t>
  </si>
  <si>
    <t>Differentiating Lithogenic Supplies, Water Mass Transport, and Biological Processes On and Off the Kerguelen Plateau Using Rare Earth Element Concentrations and Neodymium Isotopic Compositions</t>
  </si>
  <si>
    <t>Southern Ocean; Kerguelen Islands; rare earth elements; fractionation; anomalies; lithogenic; biologic; GEOTRACES</t>
  </si>
  <si>
    <t>NATURAL IRON-FERTILIZATION; EQUATORIAL PACIFIC-OCEAN; SOUTHERN-OCEAN; ND ISOTOPE; SUSPENDED PARTICLES; BARITE FORMATION; DISSOLVED IRON; GEOTRACES INTERCALIBRATION; CARBON REMINERALIZATION; ARCHIPELAGO BASALTS</t>
  </si>
  <si>
    <t>Distributions of dissolved rare earth element (REE) concentrations and neodymium isotopic compositions (expressed as epsilon(Nd)) of seawater over and off the Kerguelen Plateau in the Southern Ocean are presented. The sampling took place during the austral spring bloom in October-November 2011 (KEOPS2 project, GEOTRACES process study) and aimed to further the investigations of the KEOPS1 austral summer study in terms of sources and transport of lithogenic material, and to investigate the impact of local biogeochemical cycles on the REE distributions. The REE signature of the coastal eastern Kerguelen Islands waters was characterized by negative europium anomalies (Eu/Eu*) and negative epsilon(Nd) in filtered samples. By contrast, the unfiltered sample showed a positive Eu/Eu* and more radiogenic epsilon(Nd). These distinct signatures could reflect either differential dissolution of the local flood basalt minerals or differential leaching of local trachyte veins. The dissolved Kerguelen coastal REE patterns differ from those observed close to Heard Island, these latter featuring a positive Eu/Eu* and a less radiogenic epsilon(Nd)(Zhang et al., 2008). These differences enabled us to trace the transport of waters (tagged by the Kerguelen REE signature) 200 km downstream from the coastal area, north of the Polar Front. Northward transport of the central Plateau shallow waters, enriched by both local vertical supplies and lateral advection of inputs from Heard Island, was also evident. However, the transport of Kerguelen inputs southeastward across the Polar Front could not be discerned (possibly as a result of rapid dilution or scavenging of REE signatures), although evidence for such transport was found previously using Ra isotopes (Sanial et al., 2015). Comparison of the REE patterns at stations sampled prior, during and at the demise of the bloom revealed diverse fractionations, including production of significant lanthanum and europium anomalies, which are tentatively ascribed to chemical reactions with various inorganic and biogenic phases, including surface coatings, barite crystals, and biogenic silica.</t>
  </si>
  <si>
    <t>[Grenier, Melanie; Garcia-Solsona, Ester; Lemaitre, Nolwenn; Bouvier, Vincent; van Beek, Pieter; Souhaut, Marc; Lacan, Francois; Jeandel, Catherine] Univ Toulouse, IRD, CNRS, CNES,LEGOS, Toulouse, France; [Grenier, Melanie; Trull, Thomas W.] Univ Tasmania, Antarctic Climate &amp; Ecosyst CRC, Hobart, Tas, Australia; [Garcia-Solsona, Ester] Univ Autonoma Barcelona, Inst Ciencia &amp; Tecnol Ambientals, Bellaterra, Spain; [Lemaitre, Nolwenn] Univ Bretagne Occidentale, Lab Sci Environm Marin LEMAR, Brest, France; [Trull, Thomas W.] CSIRO Oceans &amp; Atmosphere, Hobart, Tas, Australia; [Nonnotte, Philippe] Univ Bretagne Occidentale, CNRS, IRD, IUEM,Lab Geosci Ocean,UMR6539, Technopole Brest Iroise, Plouzane, France; [Garcia-Solsona, Ester] Univ Barcelona, Fac Ciencies Terra, Dept Dinam Terra &amp; Ocea, GRC Geociencies Marines, Barcelona, Spain; [Lemaitre, Nolwenn] Swiss Fed Inst Technol, Inst Geochem &amp; Petrol, Dept Earth Sci, Zurich, Switzerland; [Bouvier, Vincent] Univ Toulouse, CNRS, IRD, CNES,GET, Toulouse, France</t>
  </si>
  <si>
    <t>Universite de Toulouse; Universite Toulouse III - Paul Sabatier; Centre National de la Recherche Scientifique (CNRS); Institut de Recherche pour le Developpement (IRD); Laboratoire d'Etudes en Geophysique et oceanographie spatiales; University of Tasmania; Autonomous University of Barcelona; Universite de Bretagne Occidentale; Centre National de la Recherche Scientifique (CNRS); Ifremer; Institut de Recherche pour le Developpement (IRD); Commonwealth Scientific &amp; Industrial Research Organisation (CSIRO); Centre National de la Recherche Scientifique (CNRS); Ifremer; Institut de Recherche pour le Developpement (IRD); Universite de Bretagne Occidentale; Institut Universitaire Europeen de la Mer (IUEM); University of Barcelona; Swiss Federal Institutes of Technology Domain; ETH Zurich; Universite de Toulouse; Universite Toulouse III - Paul Sabatier; Institut de Recherche pour le Developpement (IRD); Centre National de la Recherche Scientifique (CNRS)</t>
  </si>
  <si>
    <t>Grenier, M (corresponding author), Univ Toulouse, IRD, CNRS, CNES,LEGOS, Toulouse, France.;Grenier, M (corresponding author), Univ Tasmania, Antarctic Climate &amp; Ecosyst CRC, Hobart, Tas, Australia.</t>
  </si>
  <si>
    <t>melanie.grenier@legos.obs-mip.fr</t>
  </si>
  <si>
    <t>Garcia-Solsona, Ester/AAD-4655-2021; Lacan, Francois/B-8032-2009</t>
  </si>
  <si>
    <t>Lacan, Francois/0000-0001-6794-2279; Grenier, Melanie/0000-0001-7278-6880; van Beek, Pieter/0000-0002-3872-8916</t>
  </si>
  <si>
    <t>French Research program of INSU-CNRS LEFE-CYBER (Les enveloppes fluides et l'environnement-Cycles biogeochimiques, environnement et ressources); ANR (Agence Nationale de la Recherche) [ANR-10-BLAN-0614]; CNES (Center National d'Etudes Spatiales); IPEV (Institut Polaire Paul-Emile Victor); CAMPUS FRANCE grant (FASIC) [30418QG]; European Union's Horizon 2020 research and innovation programme (Marie Sklodowska-Curie action) [657853]; conjoint LEGOS and ACE CRC postdoctoral appointment; Marie Curie Actions (MSCA) [657853] Funding Source: Marie Curie Actions (MSCA)</t>
  </si>
  <si>
    <t>French Research program of INSU-CNRS LEFE-CYBER (Les enveloppes fluides et l'environnement-Cycles biogeochimiques, environnement et ressources); ANR (Agence Nationale de la Recherche)(Agence Nationale de la Recherche (ANR)); CNES (Center National d'Etudes Spatiales); IPEV (Institut Polaire Paul-Emile Victor); CAMPUS FRANCE grant (FASIC); European Union's Horizon 2020 research and innovation programme (Marie Sklodowska-Curie action)(European Union (EU)Marie Curie Actions); conjoint LEGOS and ACE CRC postdoctoral appointment; Marie Curie Actions (MSCA)(Marie Curie Actions)</t>
  </si>
  <si>
    <t>KEOPS2 project was funded by the French Research program of INSU-CNRS LEFE-CYBER (Les enveloppes fluides et l'environnement-Cycles biogeochimiques, environnement et ressources), ANR (Agence Nationale de la Recherche, SIMI-6 program, ANR-10-BLAN-0614), CNES (Center National d'Etudes Spatiales), and IPEV (Institut Polaire Paul-Emile Victor). MG was mostly supported by a conjoint LEGOS and ACE CRC postdoctoral appointment and a CAMPUS FRANCE grant (FASIC award #30418QG; campusfrance.org), and also by a European Union's Horizon 2020 research and innovation programme (Marie Sklodowska-Curie action, grant agreement #657853) while finishing the redaction.</t>
  </si>
  <si>
    <t>NOV 20</t>
  </si>
  <si>
    <t>10.3389/fmars.2018.00426</t>
  </si>
  <si>
    <t>HJ8XQ</t>
  </si>
  <si>
    <t>WOS:000457483800001</t>
  </si>
  <si>
    <t>Boers, N; Ghil, M; Rousseau, DD</t>
  </si>
  <si>
    <t>Boers, Niklas; Ghil, Michael; Rousseau, Denis-Didier</t>
  </si>
  <si>
    <t>Ocean circulation, ice shelf, and sea ice interactions explain Dansgaard-Oeschger cycles</t>
  </si>
  <si>
    <t>PROCEEDINGS OF THE NATIONAL ACADEMY OF SCIENCES OF THE UNITED STATES OF AMERICA</t>
  </si>
  <si>
    <t>millennial climate variability; nonlinear climate modeling; north-south seesaw; Bayesian parameter estimation</t>
  </si>
  <si>
    <t>LAST GLACIAL PERIOD; APPROXIMATE BAYESIAN COMPUTATION; NORTH-ATLANTIC OCEAN; CLIMATE VARIABILITY; HEINRICH EVENTS; RAPID CHANGES; CORE RECORDS; NORDIC SEAS; GREENLAND; MODEL</t>
  </si>
  <si>
    <t>The last glacial interval experienced abrupt climatic changes called Dansgaard-Oeschger (DO) events. These events manifest themselves as rapid increases followed by slow decreases of oxygen isotope ratios in Greenland ice core records. Despite promising advances, a comprehensive theory of the DO cycles, with their repeated ups and downs of isotope ratios, is still lacking. Here, based on earlier hypotheses, we introduce a dynamical model that explains the DO variability by rapid retreat and slow regrowth of thick ice shelves and thin sea ice in conjunction with changing subsurface water temperatures due to insulation by the ice cover. Our model successfully reproduces observed features of the records, such as the sawtooth shape of the DO cycles, waiting times between DO events across the last glacial, and the shifted antiphase relationship between Greenland and Antarctic ice cores. Our results show that these features can be obtained via internal feedbacks alone. Warming subsurface waters could have also contributed to the triggering of Heinrich events. Our model thus offers a unified framework for explaining major features of multimillennial climate variability during glacial intervals.</t>
  </si>
  <si>
    <t>[Boers, Niklas; Ghil, Michael; Rousseau, Denis-Didier] CNRS, Geosci Dept, F-75005 Paris, France; [Boers, Niklas; Ghil, Michael; Rousseau, Denis-Didier] CNRS, Lab Meteorol Dynam, F-75005 Paris, France; [Boers, Niklas; Ghil, Michael; Rousseau, Denis-Didier] Ecole Normale Super, IPSL, F-75005 Paris, France; [Boers, Niklas; Ghil, Michael; Rousseau, Denis-Didier] Paris Sci &amp; Lettres PSL Res Univ, F-75005 Paris, France; [Boers, Niklas] Potsdam Inst Climate Impact Res, Res Domain Transdisciplinary Concepts &amp; Methods 4, D-14473 Potsdam, Germany; [Boers, Niklas] Imperial Coll, Grantham Inst, London SW7 2AZ, England; [Ghil, Michael] Univ Calif Los Angeles, Dept Atmospher &amp; Ocean Sci, Los Angeles, CA 90095 USA; [Rousseau, Denis-Didier] Columbia Univ, Lamont Doherty Earth Observ, Palisades, NY 10964 USA</t>
  </si>
  <si>
    <t>Centre National de la Recherche Scientifique (CNRS); Sorbonne Universite; Centre National de la Recherche Scientifique (CNRS); Universite Paris Cite; Universite PSL; Ecole Normale Superieure (ENS); Universite PSL; Potsdam Institut fur Klimafolgenforschung; Imperial College London; University of California System; University of California Los Angeles; Columbia University</t>
  </si>
  <si>
    <t>Boers, N (corresponding author), CNRS, Geosci Dept, F-75005 Paris, France.;Boers, N (corresponding author), CNRS, Lab Meteorol Dynam, F-75005 Paris, France.;Boers, N (corresponding author), Ecole Normale Super, IPSL, F-75005 Paris, France.;Boers, N (corresponding author), Paris Sci &amp; Lettres PSL Res Univ, F-75005 Paris, France.;Boers, N (corresponding author), Potsdam Inst Climate Impact Res, Res Domain Transdisciplinary Concepts &amp; Methods 4, D-14473 Potsdam, Germany.;Boers, N (corresponding author), Imperial Coll, Grantham Inst, London SW7 2AZ, England.</t>
  </si>
  <si>
    <t>boers@pik-potsdam.de</t>
  </si>
  <si>
    <t>Rousseau, Denis-Didier/I-6892-2012; Ghil, Michael/O-1433-2019; Boers, Niklas/Q-8953-2018</t>
  </si>
  <si>
    <t>Rousseau, Denis-Didier/0000-0003-2475-3405; Ghil, Michael/0000-0001-5177-7133; Boers, Niklas/0000-0002-1239-9034</t>
  </si>
  <si>
    <t>Alexander von Humboldt Foundation; German Federal Ministry for Education and Research; German Science Foundation [BO 4455/1-1]; Multidisciplinary University Research Initiative of the Office of Naval Research [N00014-16-1-2073]</t>
  </si>
  <si>
    <t>Alexander von Humboldt Foundation(Alexander von Humboldt Foundation); German Federal Ministry for Education and Research(Federal Ministry of Education &amp; Research (BMBF)); German Science Foundation(German Research Foundation (DFG)); Multidisciplinary University Research Initiative of the Office of Naval Research</t>
  </si>
  <si>
    <t>N.B. acknowledges funding from the Alexander von Humboldt Foundation, the German Federal Ministry for Education and Research, and German Science Foundation Grant BO 4455/1-1. M.G. was partially supported by Multidisciplinary University Research Initiative of the Office of Naval Research Grant N00014-16-1-2073. This is Lamont-Doherty Earth Observatory (LDEO) Contribution #8260.</t>
  </si>
  <si>
    <t>NATL ACAD SCIENCES</t>
  </si>
  <si>
    <t>2101 CONSTITUTION AVE NW, WASHINGTON, DC 20418 USA</t>
  </si>
  <si>
    <t>0027-8424</t>
  </si>
  <si>
    <t>P NATL ACAD SCI USA</t>
  </si>
  <si>
    <t>Proc. Natl. Acad. Sci. U. S. A.</t>
  </si>
  <si>
    <t>E11005</t>
  </si>
  <si>
    <t>E11014</t>
  </si>
  <si>
    <t>10.1073/pnas.1802573115</t>
  </si>
  <si>
    <t>HA9RH</t>
  </si>
  <si>
    <t>Green Published, Green Submitted, Bronze</t>
  </si>
  <si>
    <t>WOS:000450642800005</t>
  </si>
  <si>
    <t>Sandal, GM; van deVijver, FJR; Smith, N</t>
  </si>
  <si>
    <t>Sandal, Gro Mjeldheim; van deVijver, Fons J. R.; Smith, Nathan</t>
  </si>
  <si>
    <t>Psychological Hibernation in Antarctica</t>
  </si>
  <si>
    <t>FRONTIERS IN PSYCHOLOGY</t>
  </si>
  <si>
    <t>Antarctica; coping strategies; affect; psychological resilience; winter-over syndrome</t>
  </si>
  <si>
    <t>RESIDENCE; SLEEP; MISSIONS; HEALTH; WINTER; EXPEDITIONERS; ENVIRONMENTS; PERSONALITY; PERFORMANCE; DEPRESSION</t>
  </si>
  <si>
    <t>Human activity in Antarctica has increased sharply in recent years. In particular during the winter months, people are exposed to long periods of isolation and confinement and an extreme physical environment that poses risks to health, well-being and performance. The present study aimed to gain a better understanding of processes contributing to psychological resilience in this context. Specifically, the study examined how the use of coping strategies changed over time, and the extent to which changes coincided with alterations in mood and sleep. Two crews (N = 27) spending approximately 10 months at the Concordia station completed the Utrecht Coping List, the Positive and Negative Affect Schedule (PANAS), and a structured sleep diary at regular intervals (x 9). The results showed that several variables reached a minimum value during the midwinter period, which corresponded to the third quarter of the expedition. The effect was particularly noticeable for coping strategies (i.e., active problem solving, palliative reactions, avoidance, and comforting cognitions). The pattern of results could indicate that participants during Antarctic over-wintering enter a state of psychological hibernation as a stress coping mechanism.</t>
  </si>
  <si>
    <t>[Sandal, Gro Mjeldheim] Univ Bergen, Dept Psychosocial Sci, Bergen, Norway; [van deVijver, Fons J. R.] Tilburg Univ, Dept Culture Studies, Tilburg, Netherlands; [van deVijver, Fons J. R.] North West Univ, Dept Psychol, Potchefstroom, South Africa; [Smith, Nathan] Univ Manchester, Dept Polit, Manchester, Lancs, England</t>
  </si>
  <si>
    <t>University of Bergen; Tilburg University; North West University - South Africa; University of Manchester</t>
  </si>
  <si>
    <t>Sandal, GM (corresponding author), Univ Bergen, Dept Psychosocial Sci, Bergen, Norway.</t>
  </si>
  <si>
    <t>gro.sandal@uib.no</t>
  </si>
  <si>
    <t>Smith, Nathan/0000-0001-7400-8978; Sandal, Gro Mjeldheim/0000-0001-9017-9654</t>
  </si>
  <si>
    <t>European Space Agency (ESA)</t>
  </si>
  <si>
    <t>European Space Agency (ESA)(European Space Agency)</t>
  </si>
  <si>
    <t>The research was sponsored by the European Space Agency (ESA).</t>
  </si>
  <si>
    <t>1664-1078</t>
  </si>
  <si>
    <t>FRONT PSYCHOL</t>
  </si>
  <si>
    <t>Front. Psychol.</t>
  </si>
  <si>
    <t>10.3389/fpsyg.2018.02235</t>
  </si>
  <si>
    <t>Psychology, Multidisciplinary</t>
  </si>
  <si>
    <t>Psychology</t>
  </si>
  <si>
    <t>HB0CK</t>
  </si>
  <si>
    <t>WOS:000450678600001</t>
  </si>
  <si>
    <t>Abakumov, E; Alekseev, I</t>
  </si>
  <si>
    <t>Abakumov, Evgeny; Alekseev, Ivan</t>
  </si>
  <si>
    <t>Stability of soil organic matter in Cryosols of the maritime Antarctic: insights from 13C NMR and electron spin resonance spectroscopy</t>
  </si>
  <si>
    <t>SOLID EARTH</t>
  </si>
  <si>
    <t>SOUTH-SHETLAND ISLANDS; HUMIC ACIDS; MOLECULAR COMPOSITION; BYERS PENINSULA; LIVINGSTON ISLAND; PERMAFROST CARBON; WESTERN SIBERIA; CLIMATE-CHANGE; TUNDRA SOILS; RAW PEAT</t>
  </si>
  <si>
    <t>Previously, the structure and molecular composition of the Antarctic soil organic matter (SOM) has been investigated using C-13-NMR methods, which showed that in typical organo-mineral soils the aliphatic carbon prevails over the aromatic one, owing to the non-ligniferous nature of its precursor material. In this study, the SOM was analysed from different sample areas (surface level and partially isolated supra-permafrost layer) of the tundra-barren landscape of the Fildes Peninsula, King George Island, Western Antarctica. We found that the humic acids (HAs) of the cryoturbated, buried areas had lower amounts of alkyl aromatic and protonized aromatic compounds. In contrast, the HAs from the surface layers contain less alkyl carbon components. The free-radical content was higher in the surface layers than in the buried layers due to the presence of fresh organic remnants in superficial soil samples. New data on SOM quality from these two representative Cryosols will enable a more precise assessment of SOM stabilization rate in sub-Antarctic tundras. Comparison of the 13 C-NMR spectra of the HAs and the bulk SOM revealed that humification occurs in the Antarctic and results in accumulation of aromatic and carboxylic compounds and reductions in alkylic ones. This indicates that humification is one of the ways of soil organic matter stabilization.</t>
  </si>
  <si>
    <t>[Abakumov, Evgeny; Alekseev, Ivan] St Petersburg State Univ, Dept Appl Ecol, 16 Line 2, Vasilyevskiy Isl 199178, Russia; [Alekseev, Ivan] Arctic &amp; Antarctic Res Inst, Otto Schmidt Lab Polar &amp; Marine Res, Beringa Str 38, St Petersburg 199397, Russia</t>
  </si>
  <si>
    <t>Abakumov, E; Alekseev, I (corresponding author), St Petersburg State Univ, Dept Appl Ecol, 16 Line 2, Vasilyevskiy Isl 199178, Russia.;Alekseev, I (corresponding author), Arctic &amp; Antarctic Res Inst, Otto Schmidt Lab Polar &amp; Marine Res, Beringa Str 38, St Petersburg 199397, Russia.</t>
  </si>
  <si>
    <t>e_abakumov@mail.ru; alekseevivan95@gmail.com</t>
  </si>
  <si>
    <t>Abakumov, Evgeny/AAO-8580-2020; Abakumov, e_abakumov@mail.ru/ADJ-1297-2022; Alekseev, Ivan/H-5338-2016</t>
  </si>
  <si>
    <t>Abakumov, Evgeny/0000-0002-5248-9018; Abakumov, e_abakumov@mail.ru/0000-0002-5248-9018; Alekseev, Ivan/0000-0002-0512-3849</t>
  </si>
  <si>
    <t>Russian Foundation for Basic Research [16-34-60010, 18-04-00900]; Saint Petersburg State University [1.40.541.2017]</t>
  </si>
  <si>
    <t>Russian Foundation for Basic Research(Russian Foundation for Basic Research (RFBR)Spanish Government); Saint Petersburg State University</t>
  </si>
  <si>
    <t>This work was supported by the Russian Foundation for Basic Research, project nos. 16-34-60010 and 18-04-00900 and the Saint Petersburg State University Internal Grant for the Modernization of Scientific Equipment no. 1.40.541.2017. Analyses were carried out at the Magnetic Resonance Research Centre and at the Chemical Analysis and the Materials Research Centre of the Research Park of St. Petersburg State University, Russia.</t>
  </si>
  <si>
    <t>1869-9510</t>
  </si>
  <si>
    <t>1869-9529</t>
  </si>
  <si>
    <t>Solid Earth</t>
  </si>
  <si>
    <t>NOV 19</t>
  </si>
  <si>
    <t>10.5194/se-9-1329-2018</t>
  </si>
  <si>
    <t>HA6ZR</t>
  </si>
  <si>
    <t>WOS:000450430800001</t>
  </si>
  <si>
    <t>Buzzard, S; Feltham, D; Flocco, D</t>
  </si>
  <si>
    <t>Buzzard, Sammie; Feltham, Daniel; Flocco, Daniela</t>
  </si>
  <si>
    <t>Modelling the fate of surface melt on the Larsen C Ice Shelf</t>
  </si>
  <si>
    <t>ANTARCTIC PENINSULA; MASS-BALANCE; BREAK-UP; GLACIERS; PATTERN</t>
  </si>
  <si>
    <t>Surface melt lakes lower the albedo of ice shelves, leading to additional surface melting. This can substantially alter the surface energy balance and internal temperature and density profiles of the ice shelf. Evidence suggests that melt lakes also played a pivotal role in the sudden collapse of the Larsen B Ice Shelf in 2002. Here a recently developed, high-physical-fidelity model accounting for the development cycle of melt lakes is applied to the Larsen C Ice Shelf, Antarctica's most northern ice shelf and one where melt lakes have been observed. We simulate current conditions on the ice shelf using weather station and reanalysis data and investigate the impacts of potential future increases in precipitation and air temperature on melt lake formation, for which concurrent increases lead to an increase in lake depth. Finally, we assess the viability in future crevasse propagation through the ice shelf due to surface meltwater accumulation.</t>
  </si>
  <si>
    <t>[Buzzard, Sammie; Feltham, Daniel; Flocco, Daniela] Univ Reading, Dept Meteorol, Ctr Polar Observat &amp; Modelling, Reading, Berks, England; [Buzzard, Sammie] UCL, Dept Earth Sci, Ctr Polar Observat &amp; Modelling, London, England</t>
  </si>
  <si>
    <t>University of Reading; University of London; University College London</t>
  </si>
  <si>
    <t>Buzzard, S (corresponding author), Univ Reading, Dept Meteorol, Ctr Polar Observat &amp; Modelling, Reading, Berks, England.;Buzzard, S (corresponding author), UCL, Dept Earth Sci, Ctr Polar Observat &amp; Modelling, London, England.</t>
  </si>
  <si>
    <t>s.buzzard@ucl.ac.uk</t>
  </si>
  <si>
    <t>Flocco, Daniela/ISA-8644-2023; Buzzard, Sammie/IQV-2637-2023</t>
  </si>
  <si>
    <t>Flocco, Daniela/0000-0002-0025-5359; Buzzard, Sammie/0000-0003-0722-2549; Feltham, Daniel/0000-0003-2289-014X</t>
  </si>
  <si>
    <t>NERC Doctoral Training Grant [NE/J500082/1]; NERC [cpom30001] Funding Source: UKRI</t>
  </si>
  <si>
    <t>NERC Doctoral Training Grant(UK Research &amp; Innovation (UKRI)Natural Environment Research Council (NERC)); NERC(UK Research &amp; Innovation (UKRI)Natural Environment Research Council (NERC))</t>
  </si>
  <si>
    <t>Sammie Buzzard was supported by a NERC Doctoral Training Grant NE/J500082/1.</t>
  </si>
  <si>
    <t>10.5194/tc-12-3565-2018</t>
  </si>
  <si>
    <t>HA7AD</t>
  </si>
  <si>
    <t>Green Accepted, gold, Green Submitted</t>
  </si>
  <si>
    <t>WOS:000450432200001</t>
  </si>
  <si>
    <t>Bjorndal, B; Bruheim, I; Lysne, V; Ramsvik, MS; Ueland, PM; Nordrehaug, JE; Nygård, OK; Berge, RK</t>
  </si>
  <si>
    <t>Bjorndal, Bodil; Bruheim, Inge; Lysne, Vegard; Ramsvik, Marie S.; Ueland, Per M.; Nordrehaug, Jan E.; Nygard, Ottar K.; Berge, Rolf K.</t>
  </si>
  <si>
    <t>Plasma choline, homocysteine and vitamin status in healthy adults supplemented with krill oil: a pilot study</t>
  </si>
  <si>
    <t>SCANDINAVIAN JOURNAL OF CLINICAL &amp; LABORATORY INVESTIGATION</t>
  </si>
  <si>
    <t>Antarctic krill; choline oxidation pathway; dimethylglycine; Euphausiacea; fatty acids; omega-3; one-carbon metabolism; phosphatidylcholines; tryptophan-kynurenine pathway; kynurenine</t>
  </si>
  <si>
    <t>ACUTE MYOCARDIAL-INFARCTION; POLYUNSATURATED FATTY-ACIDS; TRYPTOPHAN-METABOLISM; KYNURENINE PATHWAY; CORONARY EVENTS; RISK FACTOR; FISH-OIL; HUMANS; DIMETHYLGLYCINE; PHOSPHOLIPIDS</t>
  </si>
  <si>
    <t>Plasma concentrations of metabolites along the choline oxidation and tryptophan degradation pathways have been linked to lifestyle diseases and dietary habits. This study aimed to investigate how krill oil, a source of omega-3 polyunsaturated fatty acids (PUFAs) with a high phosphatidylcholine content, affected these parameters. The pilot study was conducted as a 28 days intervention in 17 healthy volunteers (18-36 years), who received a supplement of 4.5 g krill oil per day, providing 833 mg omega-3 PUFAs, and 1750 mg phosphatidylcholine. Krill oil supplementation increased fasting plasma choline (+28.4%, p &lt; .001), betaine (+26.6%, p &lt; .001), dimethylglycine (+33.7%, p &lt; .001) and sarcosine (+16.8%, p &lt; .001), whereas no statistically significant changes were seen for plasma glycine, serine, methionine, total homocysteine, cysteine, cystathionine, methionine sulfoxide, folate, cobalamin, B-2-, B-3-, and B-6 vitamers, tryptophan, kynurenines, nicotinamide, vitamin A and vitamin E. In summary, krill oil supplementation influenced choline metabolite levels, but not plasma metabolites of the tryptophan-kynurenine-nicotinamide pathways and vitamins. These observations should be confirmed in a placebo-controlled trial, including an omega-3 PUFA supplement without phospholipids to explore the potential additive effects of the different active ingredients.</t>
  </si>
  <si>
    <t>[Bjorndal, Bodil; Lysne, Vegard; Ramsvik, Marie S.; Ueland, Per M.; Nordrehaug, Jan E.; Nygard, Ottar K.; Berge, Rolf K.] Univ Bergen, Dept Clin Sci, N-5020 Bergen, Norway; [Bruheim, Inge] Rimfrost AS, Fosnavag, Norway; [Bruheim, Inge] Moreforskning AS, Alesund, Norway; [Nygard, Ottar K.; Berge, Rolf K.] Haukeland Hosp, Dept Heart Dis, Bergen, Norway; [Nygard, Ottar K.] Univ Bergen, KG Jebsen Ctr Diabet Res, Bergen, Norway</t>
  </si>
  <si>
    <t>University of Bergen; University of Bergen; Haukeland University Hospital; University of Bergen</t>
  </si>
  <si>
    <t>Berge, RK (corresponding author), Univ Bergen, Dept Clin Sci, N-5020 Bergen, Norway.</t>
  </si>
  <si>
    <t>rolf.berge@uib.no</t>
  </si>
  <si>
    <t>Lysne, Vegard/D-8968-2016; Bjørndal, Bodil/ITT-0544-2023; Ueland, Per M/C-7340-2013; Bjørndal, Bodil/HDN-4287-2022; Bjorndal, Bodil/H-6143-2017</t>
  </si>
  <si>
    <t>Lysne, Vegard/0000-0002-0816-5075; Ueland, Per Magne/0000-0002-1903-0571; Bjorndal, Bodil/0000-0001-9718-5117</t>
  </si>
  <si>
    <t>Rimfrost AS; Bergen Research Foundation</t>
  </si>
  <si>
    <t>This work was supported by Rimfrost AS; and Bergen Research Foundation.</t>
  </si>
  <si>
    <t>0036-5513</t>
  </si>
  <si>
    <t>1502-7686</t>
  </si>
  <si>
    <t>SCAND J CLIN LAB INV</t>
  </si>
  <si>
    <t>Scand. J. Clin. Lab. Invest.</t>
  </si>
  <si>
    <t>NOV 17</t>
  </si>
  <si>
    <t>7-8</t>
  </si>
  <si>
    <t>10.1080/00365513.2018.1512716</t>
  </si>
  <si>
    <t>Medicine, Research &amp; Experimental</t>
  </si>
  <si>
    <t>Research &amp; Experimental Medicine</t>
  </si>
  <si>
    <t>HG2CU</t>
  </si>
  <si>
    <t>WOS:000454770900001</t>
  </si>
  <si>
    <t>See-Too, WS; Convey, P; Pearce, DA; Chan, KG</t>
  </si>
  <si>
    <t>See-Too, Wah Seng; Convey, Peter; Pearce, David A.; Chan, Kok-Gan</t>
  </si>
  <si>
    <t>Characterization of a novel N-acylhomoserine lactonase, AidP, from Antarctic Planococcus sp.</t>
  </si>
  <si>
    <t>MICROBIAL CELL FACTORIES</t>
  </si>
  <si>
    <t>Quorum quenching; Episodic positive selection; Pectobacterium; Soft-rot disease</t>
  </si>
  <si>
    <t>QUORUM-QUENCHING LACTONASE; ACYL HOMOSERINE LACTONASE; MULTIPLE SEQUENCE ALIGNMENT; PSEUDOMONAS-AERUGINOSA; BACILLUS-THURINGIENSIS; COLD ADAPTATION; SENSING SIGNAL; AGROBACTERIUM-TUMEFACIENS; ENZYME-KINETICS; ALPHA-AMYLASE</t>
  </si>
  <si>
    <t>Background: N-acylhomoserine lactones (AHLs) are well-studied signalling molecules produced by some Gram-negative Proteobacteria for bacterial cell-to-cell communication or quorum sensing. We have previously demonstrated the degradation of AHLs by an Antarctic bacterium, Planococcus versutus L10.15(T), at low temperature through the production of an AHL lactonase. In this study, we cloned the AHL lactonase gene and characterized the purified novel enzyme. Results: Rapid resolution liquid chromatography analysis indicated that purified AidP possesses high AHL-degrading activity on unsubstituted, and 3-oxo substituted homoserine lactones. Liquid chromatography-mass spectrometry analysis confirmed that AidP functions as an AHL lactonase that hydrolyzes the ester bond of the homoserine lactone ring of AHLs. Multiple sequence alignment analysis and phylogenetic analysis suggested that the aidP gene encodes a novel AHL lactonase enzyme. The amino acid composition analysis of aidP and the homologous genes suggested that it might be a cold-adapted enzyme, however, the optimum temperature is 28 degrees C, even though the thermal stability is low (reduced drastically above 32 degrees C). Branch-site analysis of several aidP genes of Planococcus sp. branch on the phylogenetic trees also showed evidence of episodic positive selection of the gene in cold environments. Furthermore, we demonstrated the effects of covalent and ionic bonding, showing that Zn2+ is important for activity of AidP in vivo. The pectinolytic inhibition assay confirmed that this enzyme attenuated the pathogenicity of the plant pathogen Pectobacterium carotovorum in Chinese cabbage. Conclusion: We demonstrated that AidP is effective in attenuating the pathogenicity of P. carotovorum, a plant pathogen that causes soft-rot disease. This anti-quorum sensing agent is an enzyme with low thermal stability that degrades the bacterial signalling molecules (AHLs) that are produced by many pathogens. Since the enzyme is most active below human body temperature (below 28 degrees C), and lose its activity drastically above 32 degrees C, the results of a pectinolytic inhibition assay using Chinese cabbage indicated the potential of this anti-quorum sensing agent to be safely applied in the field trials.</t>
  </si>
  <si>
    <t>[See-Too, Wah Seng; Chan, Kok-Gan] Univ Malaya, Inst Biol Sci, Div Genet &amp; Mol Biol, Fac Sci, Kuala Lumpur 50603, Malaysia; [See-Too, Wah Seng; Convey, Peter; Pearce, David A.] Univ Malaya, Natl Antarctic Res Ctr, IPS Bldg, Kuala Lumpur 50603, Malaysia; [Convey, Peter; Pearce, David A.] NERC, British Antarctic Survey, Madingley Rd, Cambridge CB3 OET, England; [Pearce, David A.] Univ Northumbria Newcastle, Appl Sci, Newcastle Upon Tyne NE1 8ST, Tyne &amp; Wear, England; [Chan, Kok-Gan] Jiangsu Univ, Int Genome Ctr, Zhenjiang, Peoples R China</t>
  </si>
  <si>
    <t>Universiti Malaya; Universiti Malaya; UK Research &amp; Innovation (UKRI); Natural Environment Research Council (NERC); NERC British Antarctic Survey; Northumbria University; Jiangsu University</t>
  </si>
  <si>
    <t>Chan, KG (corresponding author), Univ Malaya, Inst Biol Sci, Div Genet &amp; Mol Biol, Fac Sci, Kuala Lumpur 50603, Malaysia.</t>
  </si>
  <si>
    <t>kokgan@um.edu.my</t>
  </si>
  <si>
    <t>See-Too, Wah-Seng/O-9330-2019; Convey, Peter/AAV-5728-2020; Chan, Kok-Gan/B-8347-2010</t>
  </si>
  <si>
    <t>See-Too, Wah-Seng/0000-0003-0843-1895; Convey, Peter/0000-0001-8497-9903; Chan, Kok-Gan/0000-0002-1883-1115; Pearce, David/0000-0001-5292-4596</t>
  </si>
  <si>
    <t>University of Malaya Research Grants [PG203-2016A, GA001-2016]; University of Malaya High Impact Research Grants (UM-MOHE HIR Grant) [UM.C/625/1/HIR/MOHE/CHAN/14/1, H-50001-A000027, UM.C/625/1/HIR/MOHE/CHAN/01, A-000001-50001]; NERC; University of Malaya Visiting Icon Professorship; NERC [bas0100036] Funding Source: UKRI</t>
  </si>
  <si>
    <t>University of Malaya Research Grants; University of Malaya High Impact Research Grants (UM-MOHE HIR Grant); NERC(UK Research &amp; Innovation (UKRI)Natural Environment Research Council (NERC)); University of Malaya Visiting Icon Professorship; NERC(UK Research &amp; Innovation (UKRI)Natural Environment Research Council (NERC))</t>
  </si>
  <si>
    <t>This work was supported by University of Malaya Research Grants (PG203-2016A, GA001-2016), University of Malaya High Impact Research Grants (UM-MOHE HIR Grant UM.C/625/1/HIR/MOHE/CHAN/14/1, Grant No. H-50001-A000027; UM-MOHE HIR Grant UM.C/625/1/HIR/MOHE/CHAN/01, Grant No. A-000001-50001) awarded to Kok-Gan Chan. Peter Convey is supported by NERC core funding to the British Antarctic Survey's 'Biodiversity, Evolution and Adaptation' Team, and by a University of Malaya Visiting Icon Professorship.</t>
  </si>
  <si>
    <t>BMC</t>
  </si>
  <si>
    <t>CAMPUS, 4 CRINAN ST, LONDON N1 9XW, ENGLAND</t>
  </si>
  <si>
    <t>1475-2859</t>
  </si>
  <si>
    <t>MICROB CELL FACT</t>
  </si>
  <si>
    <t>Microb. Cell. Fact.</t>
  </si>
  <si>
    <t>10.1186/s12934-018-1024-6</t>
  </si>
  <si>
    <t>HA8GI</t>
  </si>
  <si>
    <t>WOS:000450526700001</t>
  </si>
  <si>
    <t>Benson, A; Brooks, CM; Canonico, G; Duffy, E; Muller-Karger, F; Sosik, HM; Miloslavich, P; Klein, E</t>
  </si>
  <si>
    <t>Benson, Abigail; Brooks, Cassandra M.; Canonico, Gabrielle; Duffy, Emmett; Muller-Karger, Frank; Sosik, Heidi M.; Miloslavich, Patricia; Klein, Eduardo</t>
  </si>
  <si>
    <t>Integrated Observations and Informatics Improve Understanding of Changing Marine Ecosystems</t>
  </si>
  <si>
    <t>ocean observing; integrated assessments; marine ecosystems; data sharing; essential ocean variables; essential biodiversity variables; FAIR data; action ecology</t>
  </si>
  <si>
    <t>ESSENTIAL OCEAN VARIABLES; OBSERVING SYSTEM; BIODIVERSITY</t>
  </si>
  <si>
    <t>Marine ecosystems have numerous benefits for human societies around the world and many policy initiatives now seek to maintain the health of these ecosystems. To enable wise decisions, up to date and accurate information on marine species and the state of the environment they live in is required. Moreover, this information needs to be openly accessible to build indicators and conduct timely assessments that decision makers can use. The questions and problems being addressed demand global-scale investigations, transdisciplinary science, and mechanisms to integrate and distribute data that otherwise would appear to be disparate. Essential Ocean Variables (EOVs) and marine Essential Biodiversity Variables (EBVs), conceptualized by the Global Ocean Observing System (GOOS) and the Marine Biodiversity Observation Network (MBON), respectively, guide observation of the ocean. Additionally, significant progress has been made to coordinate efforts between existing programs, such as the GOOS, MBON, and Ocean Biogeographic Information System collaboration agreement. Globally and nationally relevant indicators and assessments require increased sharing of data and analytical methods, sustained long-term and large-scale observations, and resources to dedicated to these tasks. We propose a vision and key tenets as a guiding framework for building a global integrated system for understanding marine biological diversity and processes to address policy and resource management needs. This framework includes: using EOVs and EBVs and implementing the guiding principles of Findable, Accessible, Interoperable, Reusable (FAIR) data and action ecology. In doing so, we can encourage relevant, rapid, and integrative scientific advancement that can be implemented by decision makers to maintain marine ecosystem health.</t>
  </si>
  <si>
    <t>[Benson, Abigail] US Geol Survey, Lakewood, CO 80225 USA; [Brooks, Cassandra M.] Univ Colorado Boulder, Environm Studies Program, Boulder, CO USA; [Canonico, Gabrielle] US Integrated Ocean Observing Syst, NOAA, Silver Spring, MD USA; [Duffy, Emmett] Smithsonian Inst, Tennenbaum Marine Observ Network, Edgewater, MD USA; [Muller-Karger, Frank] Univ S Florida, Coll Marine Sci, Inst Marine Remote Sensing, St Petersburg, FL 33701 USA; [Sosik, Heidi M.] Woods Hole Oceanog Inst, Woods Hole, MA 02543 USA; [Miloslavich, Patricia] Univ Tasmania, Inst Marine &amp; Antarctic Studies, Hobart, Tas, Australia; [Miloslavich, Patricia; Klein, Eduardo] Univ Simon Bolivar, Dept Estudios Ambientales, Caracas, Venezuela</t>
  </si>
  <si>
    <t>United States Department of the Interior; United States Geological Survey; University of Colorado System; University of Colorado Boulder; National Oceanic Atmospheric Admin (NOAA) - USA; Smithsonian Institution; Smithsonian Environmental Research Center; State University System of Florida; University of South Florida; Woods Hole Oceanographic Institution; University of Tasmania; Simon Bolivar University</t>
  </si>
  <si>
    <t>Benson, A (corresponding author), US Geol Survey, Lakewood, CO 80225 USA.</t>
  </si>
  <si>
    <t>albenson@usgs.gov</t>
  </si>
  <si>
    <t>Benson, Abigail/0000-0002-4391-107X; Brooks, Cassandra/0000-0002-1397-0394; Miloslavich, Patricia/0000-0001-5409-1401</t>
  </si>
  <si>
    <t>NOV 16</t>
  </si>
  <si>
    <t>10.3389/fmars.2018.00428</t>
  </si>
  <si>
    <t>HJ8YB</t>
  </si>
  <si>
    <t>WOS:000457484900001</t>
  </si>
  <si>
    <t>Fürst, JJ; Navarro, F; Gillet-Chaulet, F; Huss, M; Moholdt, G; Fettweis, X; Lang, C; Seehaus, T; Ai, ST; Benham, TJ; Benn, DI; Björnsson, H; Dowdeswell, JA; Grabiec, M; Kohler, J; Lavrentiev, I; Lindbäck, K; Melvold, K; Pettersson, R; Rippin, D; Saintenoy, A; Sánchez-Gámez; Schuler, TV; Sevestre, H; Vasilenko, E; Braun, MH</t>
  </si>
  <si>
    <t>Fuerst, Johannes J.; Navarro, Francisco; Gillet-Chaulet, Fabien; Huss, Matthias; Moholdt, Geir; Fettweis, Xavier; Lang, Charlotte; Seehaus, Thorsten; Ai, Songtao; Benham, Toby J.; Benn, Douglas I.; Bjornsson, Helgi; Dowdeswell, Julian A.; Grabiec, Mariusz; Kohler, Jack; Lavrentiev, Ivan; Lindback, Katrin; Melvold, Kjetil; Pettersson, Rickard; Rippin, David; Saintenoy, Albane; Sanchez-Gamez; Schuler, Thomas V.; Sevestre, Heidi; Vasilenko, Evgeny; Braun, Matthias H.</t>
  </si>
  <si>
    <t>The Ice-Free Topography of Svalbard</t>
  </si>
  <si>
    <t>SURFACE MASS-BALANCE; GLACIER VOLUME; TIDEWATER GLACIER; THICKNESS; SPITSBERGEN; CLIMATE; CAP; NORDAUSTLANDET; ACCUMULATION; INTRUSIONS</t>
  </si>
  <si>
    <t>We present a first version of the Svalbard ice-free topography (SVIFT1.0) using a mass conserving approach for mapping glacier ice thickness. SVIFT1.0 is informed by more than 1 million point measurements, totalling more than 8,700 km of thickness profiles. SVIFT1.0 is publicly available and represents the geometric state around the year 2010. Our estimate for the total ice volume is 6,199 km(3), equivalent to 1.5-cm sea level rise. The thickness map suggests that 13% of the glacierized area is grounded below sea level. A complementary map of error estimates comprises uncertainties in the thickness surveys as well as in other input variables. Aggregated error estimates are used to define a likely ice-volume range of 5,200-7,300 km(3). The ice front thickness of marine-terminating glaciers is a key quantity for ice loss attribution because it controls the potential ice discharge by iceberg calving into the ocean. We find a mean ice front thickness of 135 m for the archipelago (likely range 123-158 m). Plain Language Summary Svalbard is an archipelago in the Arctic, north of Norway, which is comparable in size to the New York metropolitan area. Roughly half of it is covered by glacier ice. Yet to this day, the ice volume stored in the many glaciers on Svalbard is not well known. Many attempts have been made to infer a total volume estimate, but results differ substantially. This surprises because of the long research activity in this area. A large record of more than 1 million thickness measurements exists, making Svalbard an ideal study area for the application of a state-of-the-art mapping approach for glacier ice thickness. The mapping approach computes an ice volume that will raise global sea level by more than half an inch if instantaneously melted. If spread over the metropolitan area, New York would be buried beneath a 100-m ice cover. The asset of this approach is that it provides not only a thickness map for each glacier on the archipelago but also an error map that defines the likely local thickness range. Finally, we provide the first well-informed estimate of the ice front thickness of all marine-terminating glaciers that loose icebergs to the ocean. The archipelago-wide mean ice front cliff is 135 m.</t>
  </si>
  <si>
    <t>[Fuerst, Johannes J.; Seehaus, Thorsten; Melvold, Kjetil; Braun, Matthias H.] Univ Erlangen Nurnberg, Inst Geog, Erlangen, Germany; [Navarro, Francisco; Sanchez-Gamez] Univ Politecn Madrid, Dept Matemat Aplicada Tecnol Informac &amp; Comunicac, ETSI Telecomunicac, Madrid, Spain; [Gillet-Chaulet, Fabien] Inst Geosci Environm, Grenoble, France; [Gillet-Chaulet, Fabien] Univ Grenoble Alpes, CNRS, IRD, Grenoble INP,IGE, Grenoble, France; [Huss, Matthias; Melvold, Kjetil] Univ Fribourg, Dept Geosci, Fribourg, Switzerland; [Huss, Matthias] Swiss Fed Inst Technol, Lab Hydraul Hydrol &amp; Glaciol, Zurich, Switzerland; [Moholdt, Geir; Kohler, Jack; Lindback, Katrin] Norwegian Polar Res Inst, Fram Ctr, Tromso, Norway; [Fettweis, Xavier; Lang, Charlotte] Univ Liege, Dept Geog, Liege, Belgium; [Ai, Songtao] Wuhan Univ, Chinese Antarctic Ctr Surveying &amp; Mapping, Wuhan, Hubei, Peoples R China; [Benham, Toby J.; Dowdeswell, Julian A.] Univ Cambridge, Scott Polar Res Inst, Cambridge, England; [Benn, Douglas I.; Sevestre, Heidi] Univ St Andrews, St Andrews Glaciol, Sch Geog &amp; Sustainable Dev, St Andrews, Fife, Scotland; [Bjornsson, Helgi] Univ Iceland, Inst Earth Sci, Reykjavik, Iceland; [Grabiec, Mariusz] Univ Silesia Katowice, Fac Earth Sci, Katowice, Poland; [Lavrentiev, Ivan] Russian Acad Sci, Inst Geog, Moscow, Russia; [Melvold, Kjetil] Norwegian Water Resources &amp; Energy Directorate NV, Oslo, Norway; [Pettersson, Rickard] Uppsala Univ, Dept Earth Sci, Geoctr, Uppsala, Sweden; [Rippin, David] Univ York, Dept Environm, York, N Yorkshire, England; [Saintenoy, Albane] Univ Paris Saclay, Univ Paris Sud, GEOPS, CNRS, Orsay, France; [Schuler, Thomas V.] Univ Oslo, Dept Geosci, Oslo, Norway; [Schuler, Thomas V.] UNIS Univ Ctr Svalbard, Dept Arctic Geophys, Longyearbyen, Norway; [Vasilenko, Evgeny] Acad Sci Uzbek, Inst Ind Res Akadempribor, Tashkent, Uzbekistan</t>
  </si>
  <si>
    <t>University of Erlangen Nuremberg; Universidad Politecnica de Madrid; Centre National de la Recherche Scientifique (CNRS); Communaute Universite Grenoble Alpes; Universite Grenoble Alpes (UGA); Institut National Polytechnique de Grenoble; Institut de Recherche pour le Developpement (IRD); University of Fribourg; Swiss Federal Institutes of Technology Domain; ETH Zurich; Norwegian Polar Institute; University of Liege; Wuhan University; University of Cambridge; University of St Andrews; University of Iceland; University of Silesia in Katowice; Russian Academy of Sciences; Institute of Geography, Russian Academy of Sciences; Norwegian Water Resources &amp; Energy Directorate; Uppsala University; University of York - UK; Centre National de la Recherche Scientifique (CNRS); Universite Paris Saclay; Universite Paris Cite; University of Oslo; University Centre Svalbard (UNIS); Academy of Sciences of Uzbekistan</t>
  </si>
  <si>
    <t>Fürst, JJ (corresponding author), Univ Erlangen Nurnberg, Inst Geog, Erlangen, Germany.</t>
  </si>
  <si>
    <t>johannes.fuerst@fau.de</t>
  </si>
  <si>
    <t>Lavrentiev, Ivan/AAG-8519-2021; Rippin, David Manish/AAW-5063-2021; Saintenoy, Albane/AFK-1656-2022; Braun, Matthias H/S-4693-2016; Ai, Songtao/AAA-7338-2019; Huss, Matthias/JLL-6340-2023; Schuler, Thomas V/G-4781-2015; Navarro, Francisco/L-2941-2014; Vasilenko, Evgeny/ABH-7433-2020; Sanchez Gamez, Pablo/L-1804-2017; Braun, Matthias/A-4968-2009</t>
  </si>
  <si>
    <t>Lavrentiev, Ivan/0000-0002-6902-7186; Rippin, David Manish/0000-0001-7757-9880; Saintenoy, Albane/0000-0002-9712-3781; Schuler, Thomas V/0000-0003-0972-3929; Navarro, Francisco/0000-0002-5147-0067; Lindback, Katrin/0000-0002-5941-6743; Sanchez Gamez, Pablo/0000-0002-9774-3841; Benham, Toby/0000-0003-2723-1880; Seehaus, Thorsten/0000-0001-5055-8959; Benn, Douglas/0000-0002-3604-0886; Grabiec, Mariusz/0000-0002-1991-3577; Furst, Johannes/0000-0003-3988-5849; Kohler, Jack/0000-0003-1963-054X; Huss, Matthias/0000-0002-2377-6923; Dowdeswell, Julian/0000-0003-1369-9482; Braun, Matthias/0000-0001-5169-1567; Fettweis, Xavier/0000-0002-4140-3813</t>
  </si>
  <si>
    <t>German Research Foundation (DFG) [FU1032/1-1]</t>
  </si>
  <si>
    <t>German Research Foundation (DFG)(German Research Foundation (DFG))</t>
  </si>
  <si>
    <t>This study received primary funding from the German Research Foundation (DFG) within the Svalbard-iFLOWbed project, Grant FU1032/1-1. Further collaborators and funding organizations are acknowledged in Text S3. SVIFT1.0 data (https://doi.org/10.21334/npolar.2018.57fd0db4) and all used thickness measurements (https://doi.org/10.5904/wgms-glathida-2016-07) are publicly available. The authors declare that they have no conflict of interest.</t>
  </si>
  <si>
    <t>10.1029/2018GL079734</t>
  </si>
  <si>
    <t>HC5GX</t>
  </si>
  <si>
    <t>WOS:000451832600028</t>
  </si>
  <si>
    <t>Yang, PR; Jing, Z; Wu, LX</t>
  </si>
  <si>
    <t>Yang, Peiran; Jing, Zhao; Wu, Lixin</t>
  </si>
  <si>
    <t>An Assessment of Representation of Oceanic Mesoscale Eddy-Atmosphere Interaction in the Current Generation or General Circulaiion Models and Reanalyses</t>
  </si>
  <si>
    <t>HEAT-FLUX FEEDBACK; CIRCULATION; DEPENDENCE; ENERGY; SIMULATION; ATLANTIC; EDDIES</t>
  </si>
  <si>
    <t>Oceanic mesoscale eddies interact strongly with the atmosphere, inducing heat flux that acts to dissipate the eddy potential energy. So far it remains unknown how well this oceanic mesoscale eddy-atmosphere (OMEA) interaction is represented in the current generation of general circulation models. Here we evaluate the intensity of OMEA interaction in numerical models widely used by the community. It is found that the intensity of OMEA interaction differs significantly among models in its overall magnitude and spatial distribution. In eddy-rich regions such as Kuroshio Extension and Antarctic Circumpolar Current, the intermodel difference can reach 40%. Surface wind strength and marine atmospheric boundary layer adjustment to mesoscale heat flux anomaly are two important factors accounting for the intermodel difference. Models with stronger surface wind tend to have higher OMEA interaction. Moreover, neglecting the marine atmospheric boundary layer adjustment, ocean-alone model simulations overestimate OMEA interaction especially at middle and high latitudes by 20%-50%. Plain Language Summary Oceanic eddies at mesoscales (100-1,000 km) are the most dominant features in the global ocean, playing a significant role in the transport of mass, heat, and nutrients. Although the generation mechanisms of oceanic mesoscale eddies have been relatively well understood, their energy pathway to dissipation remains unclear. Carrying pronounced sea surface temperature signals, oceanic mesoscale eddies interact strongly with the atmosphere, inducing air-sea heat exchange that acts to damp themselves. Such oceanic mesoscale eddy-atmosphere (OMEA) interaction is found to be an important yet previously overlooked component in the eddy energy dissipation. The accurate representation of OMEA interaction in numerical models is thus essential not only for the correct simulation of eddy energetics but also for the prediction of ocean circulation and climate variability. In this study, we evaluate the intensity of OMEA interaction represented in current generation of general circulation models. It is found that the intensity of OMEA interaction differs significantly among models, implying uncertainties in representing the eddy energy pathway in these models. Two important factors accounting for the intermodel difference are surface wind strength and atmospheric adjustment to the underlying eddies. As wind acts to accelerate the heat exchange at sea surface, models with higher surface wind speed tend to have stronger OMEA interaction. Additionally, the atmospheric adjustment can weaken OMEA interaction through narrowing the air-sea thermal condition difference. Therefore, ocean-alone simulations tend to overestimate OMEA interaction and coupled models are necessary to accurately simulate the energetics of mesoscale eddies and ocean circulations.</t>
  </si>
  <si>
    <t>[Yang, Peiran; Jing, Zhao; Wu, Lixin] Ocean Univ China, Inst Adv Ocean Studies, Key Lab Phys Oceanog, Qingdao, Peoples R China; [Yang, Peiran; Jing, Zhao; Wu, Lixin] Qingdao Natl Lab Marine Sci &amp; Technol, Qingdao, Peoples R China</t>
  </si>
  <si>
    <t>Ocean University of China; Laoshan Laboratory</t>
  </si>
  <si>
    <t>Jing, Z (corresponding author), Ocean Univ China, Inst Adv Ocean Studies, Key Lab Phys Oceanog, Qingdao, Peoples R China.;Jing, Z (corresponding author), Qingdao Natl Lab Marine Sci &amp; Technol, Qingdao, Peoples R China.</t>
  </si>
  <si>
    <t>jingzhao198763@sina.com</t>
  </si>
  <si>
    <t>Yang, Peiran/0000-0001-9016-767X</t>
  </si>
  <si>
    <t>Ao Shan Science and Technology Innovation Plan [2018ASKJ01-07-07]; National Science Foundation of China (NSFC) [41776006, 41490643, 41490640]; Fundamental Research Funds for the Central Universities [201841011, 201812014]</t>
  </si>
  <si>
    <t>Ao Shan Science and Technology Innovation Plan; National Science Foundation of China (NSFC)(National Natural Science Foundation of China (NSFC)); Fundamental Research Funds for the Central Universities(Fundamental Research Funds for the Central Universities)</t>
  </si>
  <si>
    <t>This work is supported by Ao Shan Science and Technology Innovation Plan (2018ASKJ01-07-07), National Science Foundation of China (NSFC) 41776006, 41490643, and 41490640 and Fundamental Research Funds for the Central Universities 201841011 and 201812014. The ERA-Interim reanalysis data are from https://www.ecmwf.int/en/forecasts/datasets/archive-datasets/reanalysis-datasets/era-interim. The Climate Forecast System Reanalysis data and Climate Forecast System Version 2 data are distributed by National Climatic Data Center of NOAA at https://www.ncdc.noaa.gov/data-access/model-data/model-datasets/climate-forecast-system-version2-cfsv2. The Community Earth System Model data are available at https://www.earthsystemgrid.org/dataset/ucar.cgd.asd.output.html. The Simple Ocean Data Assimilation ocean/sea ice reanalysis version 3 data are downloaded from http://www.atmos.umd.edu/similar to ocean/index_files/soda3_readme.htm. The Estimation of the Circulation and Climate of the Ocean, phase II data are available at ftp://ecco2.jpl.nasa.gov/data1/cube/cube92/lat_lon/quart_90S_90N/. The OGCM for the Earth Simulator data are provided by Asia-Pacific Data Research Center at http://apdrc.soest.hawaii.edu/data/data.php.</t>
  </si>
  <si>
    <t>10.1029/2018GL080678</t>
  </si>
  <si>
    <t>WOS:000451832600038</t>
  </si>
  <si>
    <t>Li, Q; Lee, S; Mazloff, M</t>
  </si>
  <si>
    <t>Li, Qian; Lee, Sukyoung; Mazloff, Matthew</t>
  </si>
  <si>
    <t>Evidence of Jet-Scale Overturning Ocean Circulations in Argo Float Trajectories</t>
  </si>
  <si>
    <t>ANTARCTIC MODE WATER; SOUTHERN-OCEAN; ANTHROPOGENIC CARBON; CIRCUMPOLAR CURRENT; SUBDUCTION; TRANSPORT; VARIABILITY; BALANCE; FLUXES</t>
  </si>
  <si>
    <t>In a recent study, it was proposed that Reynolds stress by oceanic mesoscale eddies not only drives jets such as Subantarctic Front but also can force overturning circulations that are composed of rising motion on the poleward flank and sinking motion on the equatorward flank of the jets. In that study, the thermally indirect, jet-scale overturning circulations (JSOCs) were detected in an eddy-resolving model simulation of the Southern Ocean. Here observational evidence of the existence of JSOCs is demonstrated by showing that the Argo floats tend to drift poleward across the jet with the maximum drift speed coinciding with the corresponding jet maximum. This finding has an implication for the observed deep mixed layer because it was previously shown that in the model the JSOCs play a key role in preconditioning the formation of a deep and narrow mixed layer at just similar to 1 degrees north of the Subantarctic Front. Plain Language Summary In the Southern Ocean, some of the deepest mixed layers from early to late winter have a meridional scale of only similar to 2 degrees and a depth of over 500 m. These mixed layers are thought to be a critical pathway for ocean ventilation of greenhouse gases and heat and thus considered as an important regulator of climate. Yet the mechanism for the key observed features of deep mixed layers is not well understood and is a subject of active research. This paper demonstrates observational evidence of an overturning circulation, which was theorized to exist and to help account for the observed feature of the deep mixed layer. Numerous efforts to understand the mechanism of the deep mixed layer are underway. Therefore, it is important to present this newly identified overturning circulation to the community in a timely manner.</t>
  </si>
  <si>
    <t>[Li, Qian; Lee, Sukyoung] Penn State Univ, Dept Meteorol &amp; Atmospher Sci, University Pk, PA 16802 USA; [Mazloff, Matthew] Univ Calif San Diego, Scripps Inst Oceanog, La Jolla, CA 92093 USA</t>
  </si>
  <si>
    <t>Pennsylvania Commonwealth System of Higher Education (PCSHE); Pennsylvania State University; Pennsylvania State University - University Park; University of California System; University of California San Diego; Scripps Institution of Oceanography</t>
  </si>
  <si>
    <t>Li, Q (corresponding author), Penn State Univ, Dept Meteorol &amp; Atmospher Sci, University Pk, PA 16802 USA.</t>
  </si>
  <si>
    <t>qvl5065@psu.edu</t>
  </si>
  <si>
    <t>Mazloff, Matthew/AAG-6463-2019</t>
  </si>
  <si>
    <t>Mazloff, Matthew/0000-0002-1650-5850; LI, QIAN/0000-0002-2099-233X; Lee, Sukyoung/0000-0002-2508-7953</t>
  </si>
  <si>
    <t>National Science Foundation [AGS-1455577, PLR-1425989]; NASA [NNX16AH67G]; NASA [903915, NNX16AH67G] Funding Source: Federal RePORTER</t>
  </si>
  <si>
    <t>National Science Foundation(National Science Foundation (NSF)); NASA(National Aeronautics &amp; Space Administration (NASA)); NASA(National Aeronautics &amp; Space Administration (NASA))</t>
  </si>
  <si>
    <t>We thank Sarah Gille for suggesting using Argo data. The Argo data were collected and made freely available by the International Argo Program and the national programs that contribute to it. (http://www.argo.ucsd.edu, http://argo.jcommops.org). The Argo Program is part of the Global Ocean Observing System (http://doi.org/10.17882/42182). The POP model run, from which Figures 1a and 1b were computed, was designed by Julie McClean and was made available to us by Alexa Griesel. Q. L. and S. L. are supported by the National Science Foundation under grant AGS-1455577. M. M. is supported by the National Science Foundation award PLR-1425989 and NASA award NNX16AH67G.</t>
  </si>
  <si>
    <t>10.1029/2018GL078950</t>
  </si>
  <si>
    <t>WOS:000451832600039</t>
  </si>
  <si>
    <t>Holloway, MD; Sime, LC; Singarayer, JS; Tindall, JC; Valdes, PJ</t>
  </si>
  <si>
    <t>Holloway, Max D.; Sime, Louise C.; Singarayer, Joy S.; Tindall, Julia C.; Valdes, Paul J.</t>
  </si>
  <si>
    <t>Simulating the 128-ka Antarctic Climate Response to Northern Hemisphere Ice Sheet Melting Using the Isotope-Enabled HadCM3</t>
  </si>
  <si>
    <t>THERMOHALINE CIRCULATION; GLACIAL CLIMATE; LAST; SURFACE; MODEL; TEMPERATURES; VARIABILITY; ATLANTIC; MAXIMUM; RECORDS</t>
  </si>
  <si>
    <t>Warmer than present Antarctic and Southern Ocean temperatures during the last interglacial, approximately 128,000 years ago, have been attributed to changes in north-south ocean heat transport, causing opposing hemispheric temperature anomalies. We investigate the magnitude of Antarctic warming and Antarctic ice core isotopic enrichment in response to Northern Hemisphere meltwater input during the early last interglacial. A 1,600-year HadCM3 simulation driven by 0.25 Sv of meltwater input reproduces 50-60% of the peak Southern Ocean summer sea surface temperature anomaly, sea ice retreat, and ice core isotope enrichment. We also find a robust increase in the proportion of cold season precipitation during the last interglacial, leading to lower isotopic values at the Antarctic ice core sites. These results suggest that a HadCM3 simulation including 0.25 Sv for 3,000-4,000 years would reconcile the last interglacial observations, providing a potential solution for the last interglacial missing heat problem. Plain Language Summary The Antarctic isotope and temperature maximum, which occurred approximately 128,000 years Before Present (yBP) during the warmer than present last interglacial period, is hypothesized to have resulted from a slowdown in northward ocean heat transport due to ice sheet melting into the North Atlantic-a mechanism known as the bipolar seesaw. We test this hypothesis by running and analyzing long, fully coupled, isotope-enabled climate model simulations, which include meltwater entering the North Atlantic, for this critical period 128,000 yBP. Results are evaluated against ocean and ice core data. After 1,600 years, we simulate 55% of the peak Southern Ocean summer sea surface temperature anomaly, 50% of the estimated winter sea ice retreat, and 60% of the ice core isotope enrichment reconstructed during the early last interglacial Antarctic climate optimum.</t>
  </si>
  <si>
    <t>[Holloway, Max D.] Natl Phys Lab, Data Sci Div, Teddington, Middx, England; [Holloway, Max D.; Sime, Louise C.] British Antarctic Survey, Ice Dynam &amp; Paleoclimate, Cambridge, England; [Holloway, Max D.; Valdes, Paul J.] Univ Bristol, Sch Geog Sci, Bristol, Avon, England; [Singarayer, Joy S.] Univ Reading, Dept Meteorol, Reading, Berks, England; [Tindall, Julia C.] Univ Leeds, Sch Earth &amp; Environm, Leeds, W Yorkshire, England</t>
  </si>
  <si>
    <t>National Physical Laboratory - UK; UK Research &amp; Innovation (UKRI); Natural Environment Research Council (NERC); NERC British Antarctic Survey; University of Bristol; University of Reading; University of Leeds</t>
  </si>
  <si>
    <t>Holloway, MD (corresponding author), Natl Phys Lab, Data Sci Div, Teddington, Middx, England.;Holloway, MD (corresponding author), British Antarctic Survey, Ice Dynam &amp; Paleoclimate, Cambridge, England.;Holloway, MD (corresponding author), Univ Bristol, Sch Geog Sci, Bristol, Avon, England.</t>
  </si>
  <si>
    <t>max.holloway@npl.co.uk</t>
  </si>
  <si>
    <t>Valdes, Paul/T-2004-2019; Sime, Louise/AAX-7730-2021; Valdes, Paul J/C-4129-2013</t>
  </si>
  <si>
    <t>Valdes, Paul/0000-0002-1902-3283; Sime, Louise/0000-0002-9093-7926; Tindall, Julia/0000-0002-2360-5761; Holloway, Max/0000-0003-0709-3644</t>
  </si>
  <si>
    <t>British Antarctic Survey-University of Bristol NERC studentship; NERC [NE/J004804/1]; NSFGEO-NERC [NE/P009271/1]; European Research Council under the European Union's Seventh Framework Programme (FP7/2007-2013)/ERC grant [278636]; NERC [NE/J004804/1, NE/P009271/1, bas0100034, NE/P013279/1] Funding Source: UKRI</t>
  </si>
  <si>
    <t>British Antarctic Survey-University of Bristol NERC studentship; NERC(UK Research &amp; Innovation (UKRI)Natural Environment Research Council (NERC)); NSFGEO-NERC; European Research Council under the European Union's Seventh Framework Programme (FP7/2007-2013)/ERC grant(European Research Council (ERC)); NERC(UK Research &amp; Innovation (UKRI)Natural Environment Research Council (NERC))</t>
  </si>
  <si>
    <t>We thank B. Otto-Bliesner for supplying data from the CCSM3 model, and we gratefully acknowledge all groups that have undertaken LIG experiments as part of the Paleoclimate Model Intercomparison Project. This work was supported by a British Antarctic Survey-University of Bristol NERC studentship (M. D. H.), NERC grant NE/J004804/1 and NSFGEO-NERC grant NE/P009271/1, and also forms part of the British Antarctic Survey Polar Science for Planet Earth Programme. J. C. T. has received funding from the European Research Council under the European Union's Seventh Framework Programme (FP7/2007-2013)/ERC grant 278636. The climate model simulations were carried out using the computational facilities of the Advanced Computing Research Centre, University of Bristol (http://www.bris.ac.uk/acrc/) and the ARCHER UK National Supercomputing Service (http://www.archer.ac.uk). The data used are listed in the references, tables, and supplements. Access to the Met Office Unified Model source code is available under licence from the Met Office at http://www.metoffice.gov.uk/research/collaboration/um-collaboration. The climate model data are available on request from http://www.bridge.bris.ac.uk/resources/simulations.</t>
  </si>
  <si>
    <t>10.1029/2018GL079647</t>
  </si>
  <si>
    <t>WOS:000451832600045</t>
  </si>
  <si>
    <t>Zhang, R; Zhang, ZS; Jiang, DB</t>
  </si>
  <si>
    <t>Zhang, Ran; Zhang, Zhongshi; Jiang, Dabang</t>
  </si>
  <si>
    <t>Global Cooling Contributed to the Establishment of a Modern-Like East Asian Monsoon Climate by the Early Miocene</t>
  </si>
  <si>
    <t>TIBETAN PLATEAU; ICE-SHEET; ATMOSPHERIC CIRCULATION; MIDDLE MIOCENE; EOCENE; UPLIFT; ARIDIFICATION; SENSITIVITY; EVOLUTION; RECORDS</t>
  </si>
  <si>
    <t>The establishment of a modern-like monsoon climate in East Asia by the early Miocene was a complex process forced by several factors, and previous studies paid less attention to global cooling. Here we investigate this process using climate modeling by considering changes in topography and global cooling under the early Miocene boundary conditions. Using early Miocene paleogeography and an atmospheric CO2 concentration of 560 ppmv, our model results indicate that a nonzonal climate pattern has appeared in East China but that this climate exhibits weak precipitation and wind seasonality. Such seasonality strengthens as the concentration of atmospheric CO2 decreases from 560 to 420 ppmv and resembles the modern-like condition after the growth of the Antarctic ice sheet. Although the development of East Asian topography can further strengthen this seasonality, our results indicate that global cooling is also pivotal for the establishment of a modern-like monsoon climate in East Asia. Plain Language Summary Up to now, there are still debates about what caused the formation of a modern-like monsoon climate in East Asia by the early Miocene. In particular, it appears that the growth of the Tibetan Plateau markedly changed the atmospheric circulation and precipitation by intensifying the land-sea thermal contrast and pressure gradient. While, some studies have emphasized that changes in the land-sea distribution were also very important in this process. By comparison, previous studies pay less attention to global cooling. Here we investigate this process using climate modeling under the early Miocene boundary conditions. Our simulations indicate that the decrease in the atmospheric CO2 concentration and the growth of the Antarctic ice sheet can strengthen the precipitation and wind seasonality in East China and facilitate the establishment of a modern-like East Asian monsoon climate. These results indicate that global cooling is also very important for the establishment of a modern-like monsoon climate in East Asia, providing better understanding of climate effects of global cooling in this process.</t>
  </si>
  <si>
    <t>[Zhang, Ran; Jiang, Dabang] Chinese Acad Sci, Inst Atmospher Phys, Beijing, Peoples R China; [Zhang, Zhongshi] China Univ Geosci Wuhan, Sch Environm Studies, Dept Atmospher Sci, Wuhan, Hubei, Peoples R China; [Zhang, Zhongshi] Uni Res &amp; Bjerknes Ctr Climate Res, Uni Res Climate, Bergen, Norway; [Jiang, Dabang] Chengdu Univ Informat Technol, Joint Lab Climate &amp; Environm Change, Chengdu, Sichuan, Peoples R China; [Jiang, Dabang] CAS Ctr Excellence Tibetan Plateau Earth Sci, Beijing, Peoples R China</t>
  </si>
  <si>
    <t>Chinese Academy of Sciences; Institute of Atmospheric Physics, CAS; China University of Geosciences; Bjerknes Centre for Climate Research; Chengdu University of Information Technology</t>
  </si>
  <si>
    <t>Zhang, R (corresponding author), Chinese Acad Sci, Inst Atmospher Phys, Beijing, Peoples R China.;Zhang, ZS (corresponding author), China Univ Geosci Wuhan, Sch Environm Studies, Dept Atmospher Sci, Wuhan, Hubei, Peoples R China.;Zhang, ZS (corresponding author), Uni Res &amp; Bjerknes Ctr Climate Res, Uni Res Climate, Bergen, Norway.</t>
  </si>
  <si>
    <t>zhangran@mail.iap.ac.cn; zhongshi.zhang@uni.no</t>
  </si>
  <si>
    <t>Zhang, zs/GXN-3521-2022; Jiang, Dabang/I-2243-2014; zhang, ran/B-6309-2012; Zhang, Zhongshi/ADE-5510-2022; zhang, zhi/HPH-4905-2023</t>
  </si>
  <si>
    <t>Zhang, Zhongshi/0000-0002-2354-1622;</t>
  </si>
  <si>
    <t>Strategic Priority Research Program of Chinese Academy of Sciences [XDA20070103]; National Natural Science Foundation of China [41775088, 41572159, 41472160]; Sino-French Caiyuanpei Program</t>
  </si>
  <si>
    <t>Strategic Priority Research Program of Chinese Academy of Sciences(Chinese Academy of Sciences); National Natural Science Foundation of China(National Natural Science Foundation of China (NSFC)); Sino-French Caiyuanpei Program</t>
  </si>
  <si>
    <t>We sincerely thank Editor Valerie Trouet and two anonymous reviewers for their helpful and insightful comments. Model results are available at https://zenodo.org/record/1463589. This study was supported by the Strategic Priority Research Program of Chinese Academy of Sciences (XDA20070103), the National Natural Science Foundation of China (41775088, 41572159, and 41472160), and Sino-French Caiyuanpei Program.</t>
  </si>
  <si>
    <t>10.1029/2018GL079930</t>
  </si>
  <si>
    <t>WOS:000451832600047</t>
  </si>
  <si>
    <t>McCluskey, CS; Hill, TCJ; Humphries, RS; Rauker, AM; Moreau, S; Strutton, PG; Chambers, SD; Williams, AG; McRobert, I; Ward, J; Keywood, MD; Harnwell, J; Ponsonby, W; Loh, ZM; Krummel, PB; Protat, A; Kreidenweis, SM; DeMott, PJ</t>
  </si>
  <si>
    <t>McCluskey, C. S.; Hill, T. C. J.; Humphries, R. S.; Rauker, A. M.; Moreau, S.; Strutton, P. G.; Chambers, S. D.; Williams, A. G.; McRobert, I.; Ward, J.; Keywood, M. D.; Harnwell, J.; Ponsonby, W.; Loh, Z. M.; Krummel, P. B.; Protat, A.; Kreidenweis, S. M.; DeMott, P. J.</t>
  </si>
  <si>
    <t>Observations of Ice Nucleating Particles Over Southern Ocean Waters</t>
  </si>
  <si>
    <t>MARINE AIR; PHYTOPLANKTON BIOMASS; RN-222 MEASUREMENTS; NUCLEI; AEROSOL; TERRESTRIAL; EMISSIONS; CLIMATE; DUST; WIND</t>
  </si>
  <si>
    <t>A likely important feature of the poorly understood aerosol-cloud interactions over the Southern Ocean (SO) is the dominant role of sea spray aerosol, versus terrestrial aerosol. Ice nucleating particles (INPs), or particles required for heterogeneous ice nucleation, present over the SO have not been studied in several decades. In this study, boundary layer aerosol properties and immersion freezing INP number concentrations (n(INPs)) were measured during a ship campaign that occurred south of Australia (down to 53 degrees S) in March-April 2016. Ocean surface chlorophyll a concentrations ranged from 0.11 to 1.77 mg/m(3), and nINPs were a factor of 100 lower than historical surveys, ranging from 0.38 to 4.6 m(-3) at -20 degrees C. The INP population included organic heat-stable material, with contributions from heat-labile material. Lower INP source potentials of SO seawater samples compared to Arctic seawater were consistent with lower ice nucleating site densities in this study compared to north Atlantic air masses. Plain Language Summary The Southern Ocean is known for a prevalence of clouds that contain both liquid and ice, which are one of the most poorly understood cloud regimes in the climate system. A large gap in understanding important processes in these clouds is a lack of knowledge regarding particles (e.g., sea spray) required for forming ice crystals, termed ice nucleating particles. In a ship-based monthlong field study, several instruments were deployed in efforts to characterize the ice nucleating particles present over the Southern Ocean for the first time in over four decades. Abundances of ice nucleating particles throughout the voyage were extremely low compared to other ocean regions, and concentrations were 2 orders of magnitude lower than the most recent survey conducted in the 1970s. We report that the ocea-derived ice nucleating particles observed in this study were organic in nature, supporting a hypothesized link between ice nucleating particles and organic particles associated with phytoplankton blooms. The data from this study provide a desperately needed benchmark for constraining the number of ice crystals that may form in the remote and poorly understood clouds occurring over the Southern Ocean.</t>
  </si>
  <si>
    <t>[McCluskey, C. S.; Hill, T. C. J.; Rauker, A. M.; Kreidenweis, S. M.; DeMott, P. J.] Colorado State Univ, Dept Atmospher Sci, Ft Collins, CO 80523 USA; [McCluskey, C. S.] Natl Ctr Atmospher Res, Adv Study Program, POB 3000, Boulder, CO 80307 USA; [Humphries, R. S.; Ward, J.; Keywood, M. D.; Harnwell, J.; Loh, Z. M.; Krummel, P. B.] CSIRO Oceans &amp; Atmosphere, Climate Sci Ctr, Aspendale, Vic, Australia; [Moreau, S.; Strutton, P. G.] Univ Tasmania, Inst Marine &amp; Antarctic Studies, Hobart, Tas, Australia; [Moreau, S.] Norwegian Polar Res Inst, Fram Ctr, Tromso, Norway; [Strutton, P. G.] Univ Tasmania, Australian Res Council Ctr Excellence Climate Ext, Sydney, NSW, Australia; [Chambers, S. D.; Williams, A. G.] ANSTO, Environm Res, Lucas Heights, NSW, Australia; [McRobert, I.; Ponsonby, W.] CSIRO Oceans &amp; Atmosphere, Engn &amp; Technol Program, Hobart, Tas, Australia; [Ward, J.] Indiana Univ, Sch Publ &amp; Environm Affairs, Bloomington, IN USA; [Protat, A.] Australian Bur Meteorol, Melbourne, Vic, Australia</t>
  </si>
  <si>
    <t>Colorado State University; National Center Atmospheric Research (NCAR) - USA; Commonwealth Scientific &amp; Industrial Research Organisation (CSIRO); University of Tasmania; Norwegian Polar Institute; University of Tasmania; Australian Nuclear Science &amp; Technology Organisation; Commonwealth Scientific &amp; Industrial Research Organisation (CSIRO); Indiana University System; Indiana University Bloomington; Bureau of Meteorology - Australia</t>
  </si>
  <si>
    <t>McCluskey, CS (corresponding author), Colorado State Univ, Dept Atmospher Sci, Ft Collins, CO 80523 USA.;McCluskey, CS (corresponding author), Natl Ctr Atmospher Res, Adv Study Program, POB 3000, Boulder, CO 80307 USA.</t>
  </si>
  <si>
    <t>cmcclus@ucar.edu</t>
  </si>
  <si>
    <t>Humphries, Ruhi S/M-4074-2018; Krummel, Paul B/A-4293-2013; Kreidenweis, Sonia M/E-5993-2011; Williams, Alastair/N-3193-2019; Loh, Zoe/AAD-5268-2021; Loh, Zoe M/B-8697-2013; DeMott, Paul J/C-4389-2011; , Scott/AAI-6917-2020; keywood, melita/C-5139-2011; Strutton, Peter/C-4466-2011</t>
  </si>
  <si>
    <t>Humphries, Ruhi S/0000-0002-4864-5321; Krummel, Paul B/0000-0002-4884-3678; Williams, Alastair/0000-0002-0568-8487; Loh, Zoe/0000-0001-6424-1098; DeMott, Paul J/0000-0002-3719-1889; McRobert, Ian/0000-0003-2130-257X; keywood, melita/0000-0001-9953-6806; Protat, Alain/0000-0002-8933-874X; McCluskey, Christina/0000-0003-3778-4112; Strutton, Peter/0000-0002-2395-9471; Kreidenweis, Sonia/0000-0002-2561-2914; Hill, Thomas/0000-0002-5293-3959; Moreau, Sebastien/0000-0001-9446-812X; Chambers, Scott/0000-0002-2521-959X</t>
  </si>
  <si>
    <t>National Science Foundation [AGS-1450760, AGS-1660486]; Australian Research Council [SR140300001]; Centres of Excellence program</t>
  </si>
  <si>
    <t>National Science Foundation(National Science Foundation (NSF)); Australian Research Council(Australian Research Council); Centres of Excellence program</t>
  </si>
  <si>
    <t>This research was supported by the National Science Foundation (AGS-1450760 and AGS-1660486). S. Moreau and P. Strutton were supported by the Australian Research Council's Special Research Initiative for Antarctic Gateway Partnership (Project ID SR140300001) and the Discovery Program and Centres of Excellence program, respectively. The Authors wish to thank the CSIRO Marine National Facility (MNF) for its support in the form of sea time on RV Investigator, support personnel, scientific equipment, and data management. All data and samples acquired on the voyage are made publicly available in accordance with MNF policy. The MNF ship underway data (e.g., ship navigation, wind, and sector pump switch) are available for download from the RV Investigator Voyage IN2016_V02 Underway Data metadata record at http://www.marlin.csiro.au/geonetwork/srv/eng/search#! 2cf37561-1c43-0d22-e053-08114f8c7cd2. All remaining data are listed in the references, tables, and supporting information and are archived in a digital repository at Colorado State University (https://hdl.handle.net/10217/192127).</t>
  </si>
  <si>
    <t>10.1029/2018GL079981</t>
  </si>
  <si>
    <t>WOS:000451832600052</t>
  </si>
  <si>
    <t>Ohyama, H; Mizuno, A; Zamorano, F; Sugita, T; Akiyoshi, H; Noguchi, K; Wolfram, E; Salvador, J; Benitez, GC</t>
  </si>
  <si>
    <t>Ohyama, H.; Mizuno, A.; Zamorano, F.; Sugita, T.; Akiyoshi, H.; Noguchi, K.; Wolfram, E.; Salvador, J.; Benitez, G. C.</t>
  </si>
  <si>
    <t>Characteristics of Atmospheric Wave-Induced Laminae Observed by Ozonesondes at the Southern Tip of South America</t>
  </si>
  <si>
    <t>ANTARCTIC LOWER STRATOSPHERE; GRAVITY-WAVES; POLAR VORTEX; SEASONAL EVOLUTION; MIDDLE-ATMOSPHERE; OZONE; LIDAR; ASYMMETRY; ROSSBY; IMPACT</t>
  </si>
  <si>
    <t>Fluctuations of ozone concentrations with dimensions of a few kilometers (i.e., ozone laminae) are frequently found in ozone-sounding profiles. We used ozonesonde measurements made at the southern tip of South America to examine the relationship between ozone laminae and atmospheric waves near the edge of the polar vortex and on the leeward side of the Andes Mountains. Laminar structures are formed by vertical and horizontal displacements of isopleths due to gravity waves and by isentropic advection of vortex air filaments with low ozone concentration due to Rossby wave breaking. We extracted components of these ozone fluctuations by applying a high-pass filter to the observed ozone profiles and normalizing them to background concentrations, which were extracted with a low-pass filter. Ozone fluctuations due to displacements caused by gravity waves were individually evaluated with experimental data. We assumed that the residuals between the observed and gravity wave-induced fluctuations were Rossby waves-induced fluctuations. We found that the gravity wave-induced variability was larger in the upper troposphere than in the lower stratosphere and was a maximum in winter. Rossby wave-induced variability showed a distinct seasonal pattern in the lower stratosphere and accounted for a large portion of the observed variability. We also examined the relationship between gravity wave-induced and Rossby wave-induced ozone variability and the differences in equivalent latitudes between the sonde positions and the polar vortex edge. We found that variability was larger inside than outside the polar vortex.</t>
  </si>
  <si>
    <t>[Ohyama, H.; Mizuno, A.] Nagoya Univ, Inst Space Earth Environm Res, Nagoya, Aichi, Japan; [Ohyama, H.; Sugita, T.; Akiyoshi, H.] Natl Inst Environm Studies, Tsukuba, Ibaraki, Japan; [Zamorano, F.] Univ Magallanes, Fac Sci, Punta Arenas, Chile; [Noguchi, K.] Nara Womens Univ, Fac Sci, Nara, Japan; [Wolfram, E.; Salvador, J.] CEILAP UNIDEF MINDEF CONICET, Laser &amp; Applicat Res Ctr, Villa Martelli, Argentina; [Wolfram, E.; Salvador, J.] Univ Tecnol Nacl, Fac Reg Buenos Aires UTN FRBA, Medrano 951, Buenos Aires, DF, Argentina; [Salvador, J.] Univ Nacl Patagonia Austral, Unidad Acad Rio Gallegos, Rio Gallegos, Argentina; [Salvador, J.] CIT Santa Cruz, Rio Gallegos, Argentina; [Benitez, G. C.] Natl Meteorol Serv, Buenos Aires, DF, Argentina</t>
  </si>
  <si>
    <t>Nagoya University; National Institute for Environmental Studies - Japan; Universidad de Magallanes; Nara Womens University; Universidad Nacional de la Patagonia San Juan Bosco</t>
  </si>
  <si>
    <t>Ohyama, H (corresponding author), Nagoya Univ, Inst Space Earth Environm Res, Nagoya, Aichi, Japan.;Ohyama, H (corresponding author), Natl Inst Environm Studies, Tsukuba, Ibaraki, Japan.</t>
  </si>
  <si>
    <t>oyama.hirofumi@nies.go.jp</t>
  </si>
  <si>
    <t>Matsumoto, Akira/HIR-9389-2022; Ohyama, Hirofumi/H-7333-2018; Akiyoshi, Hideharu/H-8170-2018; Sugita, Takafumi/H-6669-2018; Salvador, Jacobo/ISV-5414-2023</t>
  </si>
  <si>
    <t>Ohyama, Hirofumi/0000-0003-2109-9874; Akiyoshi, Hideharu/0000-0001-6463-9004</t>
  </si>
  <si>
    <t>Science and Technology Research Partnership for Sustainable Development (SATREPS) of the Japan Science and Technology Agency (JST); Japan International Cooperation Agency (JICA)</t>
  </si>
  <si>
    <t>Part of this research was supported by the Science and Technology Research Partnership for Sustainable Development (SATREPS) of the Japan Science and Technology Agency (JST) and Japan International Cooperation Agency (JICA). We are grateful to R. Perez, I. Villa, and C. Cassiccia, who launched the ozonesondes at Punta Arenas. The Ushuaia ozonesonde data were acquired from the World Ozone and Ultraviolet Radiation Data Centre data archive (https://woudc.org/data/explore.php).MERRA-2 data were obtained from the NASA Goddard Earth Sciences Data Information Services Center (https://disc.sci.gsfc.nasa.gov).We thank the Meteorological Service of Argentina, which is responsible for operating the ozonesonde observations at Ushuaia. We are grateful to M. Takahashi for his useful comments and discussions.</t>
  </si>
  <si>
    <t>10.1029/2018JD028707</t>
  </si>
  <si>
    <t>HC7SH</t>
  </si>
  <si>
    <t>WOS:000452001400002</t>
  </si>
  <si>
    <t>Lim, EP; Hendon, HH; Thompson, DWJ</t>
  </si>
  <si>
    <t>Lim, E. -P.; Hendon, H. H.; Thompson, D. W. J.</t>
  </si>
  <si>
    <t>Seasonal Evolution of Stratosphere-Troposphere Coupling in the Southern Hemisphere and Implications for the Predictability of Surface Climate</t>
  </si>
  <si>
    <t>MEAN FLOW INTERACTION; INTERANNUAL VARIABILITY; ANNULAR MODE; OZONE HOLE; SEA-ICE; CIRCULATION MODEL; POLAR VORTEX; PART I; TEMPERATURE; ATMOSPHERE</t>
  </si>
  <si>
    <t>Stratosphere-troposphere coupling in the Southern Hemisphere (SH) polar vortex is an important dynamical process that provides predictability of the tropospheric Southern Annular Mode (SAM) and its associated surface impacts. SH stratosphere-troposphere coupling is explored by height-time domain empirical orthogonal function (EOF) analysis applied to the zonal mean-zonal wind anomalies averaged over the Antarctic circumpolar region (55-65 degrees S; U55-65 degrees S). The leading EOF explains 42% of the height-time variance of U55-65 degrees S and depicts the variations of the vortex that is tightly tied to the seasonal breakdown of the vortex during late spring. The leading EOF pattern, defined here as the stratosphere-troposphere coupled mode, is characterized by variations in U55-65 degrees S that develop in early winter near the stratopause, change sign from late winter to early spring, gain maximum amplitude during October in the upper stratosphere, and then extend downward to the surface from October to January. This stratosphere-troposphere coupling during the spring months appears to be preconditioned by anomalies in upward propagating planetary wave activity and a meridional shift of the vortex as high as the stratopause and as early as June. Interannual variations of the stratosphere-troposphere coupled mode are highly correlated with those of the tropospheric SAM, Antarctic stratospheric ozone concentration, Antarctic sea ice concentrations in the South Pacific and the Weddell Sea, and SH regional climate during late spring-early summer. Anomalies in the upper stratospheric flow as early as June are thus a potentially important source of predictability for the tropospheric SAM and its associated impacts on surface climate in spring and summer. Plain Language Summary We have explored the seasonal evolution of the strength of the Southern Hemisphere (SH) stratospheric polar vortex and its coupling to the lower atmosphere in 1979-2017, using atmospheric reanalyses that assimilate observational data. Variations in the strength of the Antarctic circumpolar flow in the troposphere during austral late spring to early summer are found to be coupled to variations in position and strength of the stratospheric vortex as high as the stratopause and as early as the preceding June, notably higher and earlier than indicated in previous studies. This suggests that variations in the winter upper stratospheric jet can serve as a potentially important source of predictability for SH surface climate in the late spring-early summer. We explore the physical processes associated with the seasonal evolution of SH stratosphere-troposphere coupling and its impacts on surface climate.</t>
  </si>
  <si>
    <t>[Lim, E. -P.; Hendon, H. H.] Bur Meteorol, Melbourne, Vic, Australia; [Thompson, D. W. J.] Colorado State Univ, Dept Atmospher Sci, Ft Collins, CO 80523 USA</t>
  </si>
  <si>
    <t>Bureau of Meteorology - Australia; Colorado State University</t>
  </si>
  <si>
    <t>Lim, EP (corresponding author), Bur Meteorol, Melbourne, Vic, Australia.</t>
  </si>
  <si>
    <t>e.lim@bom.gov.au</t>
  </si>
  <si>
    <t>Thompson, David W J/F-9627-2012; Thompson, David/C-3520-2008</t>
  </si>
  <si>
    <t>Thompson, David W J/0000-0002-5413-4376; Lim, Eun-Pa/0000-0001-8273-5358; Hendon, Harry H./0000-0002-4378-2263</t>
  </si>
  <si>
    <t>Meat &amp; Livestock Australia (MLA); Australian Department of Agriculture and Water Resources; U.S. National Science Foundation Climate Dynamics Program; Australian Commonwealth Government</t>
  </si>
  <si>
    <t>Meat &amp; Livestock Australia (MLA)(Meat &amp; Livestock Australia); Australian Department of Agriculture and Water Resources(Australian Government); U.S. National Science Foundation Climate Dynamics Program; Australian Commonwealth Government(Australian Government)</t>
  </si>
  <si>
    <t>This research was supported in part by Meat &amp; Livestock Australia (MLA) and the Australian Department of Agriculture and Water Resources. David W. J. Thompson is supported by the U.S. National Science Foundation Climate Dynamics Program. The authors are very much grateful for constructive feedback and comments provided by three anonymous reviewers and Andrew Dowdy and Matt Tully at the Australian Bureau of Meteorology. This research was undertaken on the NCI National Facility in Canberra, Australia, which is supported by the Australian Commonwealth Government. The NCAR Command Language (NCL; http://www.ncl.ucar.edu) version 6.4.0 was used for data analysis and visualization of the results. We also acknowledge NCAR/UCAR, NOAA, NSIDC, the UK Met Office, ECMWF, and KNMI for producing and providing Hurrell et al. (2008) SST analysis, Reynolds OI v2 SST analysis, sea ice data, HadISST analysis, ERA-Interim reanalysis, and ozone data.</t>
  </si>
  <si>
    <t>10.1029/2018JD029321</t>
  </si>
  <si>
    <t>WOS:000452001400014</t>
  </si>
  <si>
    <t>Zhu, YQ; Toon, OB; Kinnison, D; Harvey, VL; Mills, MJ; Bardeen, CG; Pitts, M; Bègue, N; Renard, JB; Berthet, G; Jégou, F</t>
  </si>
  <si>
    <t>Zhu, Yunqian; Toon, Owen Brian; Kinnison, Douglas; Harvey, V. Lynn; Mills, Michael J.; Bardeen, Charles G.; Pitts, Michael; Begue, Nelson; Renard, Jean-Baptiste; Berthet, Gwenael; Jegou, Fabrice</t>
  </si>
  <si>
    <t>Stratospheric Aerosols, Polar Stratospheric Clouds, and Polar Ozone Depletion After the Mount Calbuco Eruption in 2015</t>
  </si>
  <si>
    <t>SIZE DISTRIBUTION MEASUREMENTS; PINATUBO VOLCANIC AEROSOL; IN-SITU; MICROPHYSICAL SIMULATIONS; ATMOSPHERIC PARTICLES; OPTICAL COUNTER/SIZER; BALLOON MEASUREMENTS; ANTARCTIC OZONE; NITRIC-ACID; CN LAYER</t>
  </si>
  <si>
    <t>We investigate the impact of the 2015 Mount Calbuco eruption and previous eruptions on stratospheric aerosols, polar stratospheric clouds, and ozone depletion using the Community Earth System Model coupled with the Community Aerosol and Radiation Model for Atmospheres compared with several satellite and balloon observations. The modeled volcanic sulfate aerosol size distribution agrees with the Light Optical Aerosol Counter observation at the Reunion Island site (21 degrees S, 55 degrees E) on 19 August at 20 km within estimated 0.1- to 1-mu m radius error bars. Both the observed and simulated backscatter and extinction show that volcanic sulfate aerosol from the Mount Calbuco eruption was transported from midlatitude toward the Antarctic and slowly descended during transport. They also indicate that the SO2 emission into the stratosphere from Mount Calbuco is 0.2-0.4 Tg. The modeled number density indicates that the volcanic sulfate aerosol from the Mount Calbuco eruption penetrated into the Antarctic polar vortex in May and thereafter and reduced the polar stratospheric clouds effective radius. In the simulations, the Antarctic stratosphere denitrified too early and by too much compared with Microwave Limb Sounder observations. Heterogeneous nucleation of nitric acid trihydrate or sophisticated gravity wave representations may be required to simulate nitric acid trihydrate particles with smaller falling velocity. The volcanic sulfate aerosol increases the ozone depletion in September especially around 100 hPa and 70 degrees S, relative to a case without any volcanic eruptions. The simulated surface area density, earlier ozone loss, and larger area of the ozone hole are consistent with the presence of volcanic sulfate layers observed at 16 km as well as previous studies.</t>
  </si>
  <si>
    <t>[Zhu, Yunqian; Toon, Owen Brian; Harvey, V. Lynn] Univ Colorado, Lab Atmospher &amp; Space Phys, Boulder, CO 80309 USA; [Toon, Owen Brian] Univ Colorado, Dept Atmospher &amp; Ocean Sci, Boulder, CO 80309 USA; [Kinnison, Douglas; Mills, Michael J.; Bardeen, Charles G.] Natl Ctr Atmospher Res, Atmospher Chem Observat &amp; Modeling Lab, POB 3000, Boulder, CO 80307 USA; [Pitts, Michael] Langley Res Ctr, Hampton, VA USA; [Begue, Nelson] Univ Reunion, CNRS, Lab Atmosphere &amp; Cyclones, UMR 8105, St Denis, France; [Renard, Jean-Baptiste; Berthet, Gwenael; Jegou, Fabrice] Univ Orleans, Lab Phys &amp; Chim Environm &amp; Espace, Orleans, France</t>
  </si>
  <si>
    <t>University of Colorado System; University of Colorado Boulder; University of Colorado System; University of Colorado Boulder; National Center Atmospheric Research (NCAR) - USA; National Aeronautics &amp; Space Administration (NASA); NASA Langley Research Center; Centre National de la Recherche Scientifique (CNRS); CNRS - National Institute for Earth Sciences &amp; Astronomy (INSU); University of La Reunion; Universite de Orleans</t>
  </si>
  <si>
    <t>Zhu, YQ (corresponding author), Univ Colorado, Lab Atmospher &amp; Space Phys, Boulder, CO 80309 USA.</t>
  </si>
  <si>
    <t>yunqian.zhu@colorado.edu</t>
  </si>
  <si>
    <t>Mills, Michael/B-5068-2010; HARVEY, V LYNN/M-3995-2017; Berthet, Gwenael/H-8010-2018</t>
  </si>
  <si>
    <t>Mills, Michael/0000-0002-8054-1346; HARVEY, V LYNN/0000-0002-7928-0804; Berthet, Gwenael/0000-0003-3169-1636; Kinnison, Douglas/0000-0002-3418-0834; TOON, OWEN/0000-0002-1394-3062; ZHU, YUNQIAN/0000-0001-7751-397X</t>
  </si>
  <si>
    <t>NASA [NNX16AQ37G]; National Science Foundation (NSF) [PLR1643701]; NSF CEDAR [1343031]; NASA LWS [NNX14AH54G]; NASA HGI [NNX17AB80G]; WP7 of the VOLTAIRE LabEx [ANR-10-LABX-100-01]; NSF; Office of Science of the U.S. Department of Energy; NASA [NNX16AQ37G, 896832] Funding Source: Federal RePORTER; Directorate For Geosciences; Div Atmospheric &amp; Geospace Sciences [1343031] Funding Source: National Science Foundation</t>
  </si>
  <si>
    <t>NASA(National Aeronautics &amp; Space Administration (NASA)); National Science Foundation (NSF)(National Science Foundation (NSF)); NSF CEDAR(National Science Foundation (NSF)); NASA LWS(National Aeronautics &amp; Space Administration (NASA)); NASA HGI; WP7 of the VOLTAIRE LabEx; NSF(National Science Foundation (NSF)); Office of Science of the U.S. Department of Energy(United States Department of Energy (DOE)); NASA(National Aeronautics &amp; Space Administration (NASA)); Directorate For Geosciences; Div Atmospheric &amp; Geospace Sciences(National Science Foundation (NSF)NSF - Directorate for Geosciences (GEO))</t>
  </si>
  <si>
    <t>The work at the University of Colorado was supported by NASA grant NNX16AQ37G and National Science Foundation (NSF) grant PLR1643701. V. Lynn Harvey acknowledges support from NSF CEDAR grant 1343031, NASA LWS grant NNX14AH54G, and NASA HGI grant NNX17AB80G. We thank Anja Schmidt for her help with the volcanic emission database. We thank Susan Solomon for providing the data used in Solomon et al. (2016). We thank Alyn Lambert for his help with the MLS data. The authors thank the LPC2E and UMS balloon launching team for their technical collaboration. LOAC measurements have been supported by WP7 of the VOLTAIRE LabEx (VOLatils-Terre, Atmosphere et Interactions-Ressources et Environnement), convention number ANR-10-LABX-100-01. WACCM is a component of NCAR's CESM, which is supported by NSF and the Office of Science of the U.S. Department of Energy. We would like to acknowledge high-performance computing support from Cheyenne (doi:10.5065/D6RX99HX) provided by NCAR's Computational and Information Systems Laboratory (CISL), sponsored by the NSF. The source code for the WACCM/CARMA model used in this study is freely available at http://www2.cesm.ucar.edu/upon registration. The developing version of this model, as well as the data, and input files necessary to reproduce the experiments are available from the authors upon request(yunqian.zhu@colorado.edu).The model data are archived at the Toon Aerosol Research Group computers. The data that form or illustrate the key results or images for this paper are available at Zhu, Y. (21 August 2018), Calbuco WACCM/CARMA simulation, retrieved from osf.io/rmqyt. The CALIPSO date are available at the NASA Langley Atmospheric Science Data Center (ASDC) (http://eosweb.larc.nasa.gov/).The OMPS data are available at Ozone and Air Quality website (https://ozoneaq.gsfc.nasa.gov/).The MLS data are available at http://mls.jpl.nasa.gov/.The OSIRIS data are available at http://odin-osiris.usask.ca/.</t>
  </si>
  <si>
    <t>10.1029/2018JD028974</t>
  </si>
  <si>
    <t>WOS:000452001400031</t>
  </si>
  <si>
    <t>Stoffel, MA; Humble, E; Paijmans, AJ; Acevedo-Whitehouse, K; Chilvers, BL; Dickerson, B; Galimberti, F; Gemmell, NJ; Goldsworthy, SD; Nichols, HJ; Krüger, O; Negro, S; Osborne, A; Pastor, T; Robertson, BC; Sanvito, S; Schultz, JK; Shafer, ABA; Wolf, JBW; Hoffman, JI</t>
  </si>
  <si>
    <t>Stoffel, M. A.; Humble, E.; Paijmans, A. J.; Acevedo-Whitehouse, K.; Chilvers, B. L.; Dickerson, B.; Galimberti, F.; Gemmell, N. J.; Goldsworthy, S. D.; Nichols, H. J.; Krueger, O.; Negro, S.; Osborne, A.; Pastor, T.; Robertson, B. C.; Sanvito, S.; Schultz, J. K.; Shafer, A. B. A.; Wolf, J. B. W.; Hoffman, J. I.</t>
  </si>
  <si>
    <t>Demographic histories and genetic diversity across pinnipeds are shaped by human exploitation, ecology and life-history</t>
  </si>
  <si>
    <t>APPROXIMATE BAYESIAN COMPUTATION; EFFECTIVE POPULATION-SIZE; R PACKAGE; SEXUAL SELECTION; BOTTLENECK; EVOLUTIONARY; EXTINCTION; INFERENCE; MICROSATELLITES; DIFFERENTIATION</t>
  </si>
  <si>
    <t>A central paradigm in conservation biology is that population bottlenecks reduce genetic diversity and population viability. In an era of biodiversity loss and climate change, understanding the determinants and consequences of bottlenecks is therefore an important challenge. However, as most studies focus on single species, the multitude of potential drivers and the consequences of bottlenecks remain elusive. Here, we combined genetic data from over 11,000 individuals of 30 pinniped species with demographic, ecological and life history data to evaluate the consequences of commercial exploitation by 18th and 19th century sealers. We show that around one third of these species exhibit strong signatures of recent population declines. Bottleneck strength is associated with breeding habitat and mating system variation, and together with global abundance explains much of the variation in genetic diversity across species. Overall, bottleneck intensity is unrelated to IUCN status, although the three most heavily bottlenecked species are endangered. Our study reveals an unforeseen interplay between human exploitation, animal biology, demographic declines and genetic diversity.</t>
  </si>
  <si>
    <t>[Stoffel, M. A.; Humble, E.; Paijmans, A. J.; Nichols, H. J.; Krueger, O.; Hoffman, J. I.] Bielefeld Univ, Dept Anim Behav, Postfach 100131, D-33501 Bielefeld, Germany; [Stoffel, M. A.; Nichols, H. J.] Liverpool John Moores Univ, Sch Nat Sci &amp; Psychol, Fac Sci, Liverpool L3 3AF, Merseyside, England; [Humble, E.; Hoffman, J. I.] British Antarctic Survey, Madingley Rd, Cambridge CB3 0ET, England; [Acevedo-Whitehouse, K.] Autonomous Univ Queretaro, Sch Nat Sci, Unit Basic &amp; Appl Microbiol, Ave Ciencias S-N, Queretaro 76230, Mexico; [Chilvers, B. L.] Massey Univ, Inst Vet Anim &amp; Biomed Sci, Wildbase, Private Bag 11222, Palmerston North 4442, New Zealand; [Dickerson, B.] NOAA, Natl Marine Mammal Lab, Alaska Fisheries Sci Ctr, Natl Marine Fisheries Serv, Seattle, WA 98115 USA; [Galimberti, F.; Sanvito, S.] Elephant Seal Res Grp, Sea Lion Isl FIQQ 1ZZ, Falkland Island; [Gemmell, N. J.] Univ Otago, Dept Anat, POB 56, Dunedin 9054, New Zealand; [Goldsworthy, S. D.] South Australian Res &amp; Dev Inst, West Beach, SA 5024, Australia; [Negro, S.] Univ Paris Saclay, UMR Genet Quantitat &amp; Evolut Le Moulon, INRA, Univ Paris Sud,CNRS,AgroParisTech, F-91190 Gif Sur Yvette, France; [Osborne, A.] Univ Canterbury, Sch Biol Sci, Private Bag 4800, Christchurch 8140, New Zealand; [Pastor, T.] EUROPARC Federat, Carretera Esglesia 92, Barcelona 08017, Spain; [Robertson, B. C.] Univ Otago, Dept Zool, POB 56, Dunedin 9054, New Zealand; [Schultz, J. K.] NOAA, Natl Marine Fisheries Serv, 1315 East West Highway, Silver Spring, MD 20910 USA; [Shafer, A. B. A.] Trent Univ, Forens Sci &amp; Environm Life Sci, Peterborough, ON K9J 7B8, Canada; [Wolf, J. B. W.] Ludwig Maximilians Univ Munchen, Fac Biol, Div Evolutionary Biol, D-82152 Munich, Germany; [Wolf, J. B. W.] Uppsala Univ, Sci Life Lab, S-75236 Uppsala, Sweden; [Wolf, J. B. W.] Uppsala Univ, Dept Evolutionary Biol, S-75236 Uppsala, Sweden; [Nichols, H. J.] Swansea Univ, Dept Biosci, Swansea SA2 8PP, W Glam, Wales; [Negro, S.] Univ Liege, Med Genom BIO3, GIGA R, B-4000 Liege, Belgium</t>
  </si>
  <si>
    <t>University of Bielefeld; Liverpool John Moores University; UK Research &amp; Innovation (UKRI); Natural Environment Research Council (NERC); NERC British Antarctic Survey; Universidad Autonoma de Queretaro; Massey University; National Oceanic Atmospheric Admin (NOAA) - USA; University of Otago; South Australian Research &amp; Development Institute (SARDI); Centre National de la Recherche Scientifique (CNRS); Universite Paris Saclay; AgroParisTech; INRAE; Universite Paris Cite; University of Canterbury; University of Otago; National Oceanic Atmospheric Admin (NOAA) - USA; Trent University; University of Munich; Uppsala University; Uppsala University; Swansea University; University of Liege</t>
  </si>
  <si>
    <t>Hoffman, JI (corresponding author), Bielefeld Univ, Dept Anim Behav, Postfach 100131, D-33501 Bielefeld, Germany.;Hoffman, JI (corresponding author), British Antarctic Survey, Madingley Rd, Cambridge CB3 0ET, England.</t>
  </si>
  <si>
    <t>joseph.hoffman@uni-bielefeld.de</t>
  </si>
  <si>
    <t>Paijmans, A.J./AAW-2280-2021; Chilvers, B. Louise/AAV-1965-2021; Wolf, Jochen B. W./U-2243-2017; Hoffman, Joseph/K-7725-2012; Gemmell, Neil/C-6774-2009</t>
  </si>
  <si>
    <t>Paijmans, A.J./0000-0002-5481-7337; Chilvers, B. Louise/0000-0002-7657-4217; Wolf, Jochen B. W./0000-0002-2958-5183; Shafer, Aaron/0000-0001-7652-225X; Goldsworthy, Simon/0000-0003-4988-9085; Stoffel, Martin/0000-0003-4030-3543; Galimberti, Filippo/0000-0001-5537-6409; Hoffman, Joseph/0000-0001-5895-8949; Gemmell, Neil/0000-0003-0671-3637; Pastor Ramos, Teresa/0000-0003-2417-8965</t>
  </si>
  <si>
    <t>German Research Foundation (DFG) [HO 5122/3-1, HO 5122/5-1, SFB TRR 212]; Liverpool John Moores University; NERC [bas0100035] Funding Source: UKRI</t>
  </si>
  <si>
    <t>German Research Foundation (DFG)(German Research Foundation (DFG)); Liverpool John Moores University; NERC(UK Research &amp; Innovation (UKRI)Natural Environment Research Council (NERC))</t>
  </si>
  <si>
    <t>This research was supported by standard grants (HO 5122/3-1 and HO 5122/5-1) from the German Research Foundation (DFG) and as part of the SFB TRR 212 (NC3, project A01) together with a dual PhD studentship from Liverpool John Moores University. We are grateful to John Arnould, David Coltman, Corey Davis, Larissa Rosa de Oliveira, Tom Gelatt and NOAA, Melissa Gladstone, Roger Kirkwood, Melanie Lancaster, Tim Malloy, Rolf Ream, Garry Stenson and Rob Stewart for providing access to published microsatellite datasets. We also thank Matthias Galipaud for advice on statistical analysis, Kevin Arbuckle for advice on Bayesian phylogenetic mixed models and Luke Eberhart-Phillips for helpful comments on the figures. We are very grateful to Rebecca Carter (www.rebeccacarterart.co.uk) for the time and effort she dedicated to producing the pinniped illustrations. Finally, we thank the Okinawa Institute of Science and Technology Preprint Journal Club for their very helpful comments on the manuscript.</t>
  </si>
  <si>
    <t>10.1038/s41467-018-06695-z</t>
  </si>
  <si>
    <t>HA4YS</t>
  </si>
  <si>
    <t>WOS:000450274000001</t>
  </si>
  <si>
    <t>Huang, JY; Jaeglé, L; Shah, V</t>
  </si>
  <si>
    <t>Huang, Jiayue; Jaegle, Lyatt; Shah, Viral</t>
  </si>
  <si>
    <t>Using CALIOP to constrain blowing snow emissions of sea salt aerosols over Arctic and Antarctic sea ice</t>
  </si>
  <si>
    <t>PARTICLE DISPERSION MODEL; FROST FLOWERS; IN-SITU; ANTHROPOGENIC EMISSIONS; SIZE DISTRIBUTION; DRY DEPOSITION; BLACK CARBON; CHEMISTRY; VARIABILITY; TRANSPORT</t>
  </si>
  <si>
    <t>Sea salt aerosols (SSA) produced on sea ice surfaces by blowing snow events or the lifting of frost flower crystals have been suggested as important sources of SSA during winter over polar regions. The magnitude and relative contribution of blowing snow and frost flower SSA sources, however, remain uncertain. In this study, we use 2007-2009 aerosol extinction coefficients from the Cloud-Aerosol Lidar with Orthogonal Polarization (CALIOP) instrument onboard the Cloud-Aerosol Lidar and Infrared Pathfinder Satellite Observation (CALIPSO) satellite and the GEOS-Chem global chemical transport model to constrain sources of SSA over Arctic and Antarctic sea ice. CALIOP retrievals show elevated levels of aerosol extinction coefficients (10-20 Mm(-1)) in the lower troposphere (0-2 km) over polar regions during cold months. The standard GEOS-Chem model underestimates the CALIOP extinction coefficients by 50 %70 %. Adding frost flower emissions of SSA fails to explain the CALIOP observations. With blowing snow SSA emissions, the model captures the overall spatial and seasonal variation of CALIOP aerosol extinction coefficients over the polar regions but underestimates aerosol extinction over Arctic sea ice in fall to early winter and overestimates winter-tospring extinction over Antarctic sea ice. We infer the monthly surface snow salinity on first-year sea ice required to minimize the discrepancy between CALIOP extinction coefficients and the GEOS-Chem simulation. The empirically derived snow salinity shows a decreasing trend between fall and spring. The optimized blowing snow model with inferred snow salinities generally agrees with CALIOP extinction coefficients to within 10% over sea ice but underestimates them over the regions where frost flowers are expected to have a large influence. Frost flowers could thus contribute indirectly to SSA production by increasing the local surface snow salin-ity and, therefore, the SSA production from blowing snow. We carry out a case study of an Arctic blowing snow SSA feature predicted by GEOS-Chem and sampled by CALIOP. Using back trajectories, we link this feature to a blowing snow event that occurred 2 days earlier over first-year sea ice and was also detected by CALIOP.</t>
  </si>
  <si>
    <t>[Huang, Jiayue; Jaegle, Lyatt; Shah, Viral] Univ Washington, Dept Atmospher Sci, Seattle, WA 98195 USA</t>
  </si>
  <si>
    <t>Jaeglé, L (corresponding author), Univ Washington, Dept Atmospher Sci, Seattle, WA 98195 USA.</t>
  </si>
  <si>
    <t>jaegle@uw.edu</t>
  </si>
  <si>
    <t>Shah, Viral/AAC-3570-2019; Jaegle, Lyatt/M-6536-2015</t>
  </si>
  <si>
    <t>Shah, Viral/0000-0001-5547-106X; Jaegle, Lyatt/0000-0003-1866-801X</t>
  </si>
  <si>
    <t>NASA Atmospheric Composition Modeling and Analysis Program [NNX15AE32G]</t>
  </si>
  <si>
    <t>NASA Atmospheric Composition Modeling and Analysis Program(National Aeronautics &amp; Space Administration (NASA))</t>
  </si>
  <si>
    <t>This work was supported by funding from the NASA Atmospheric Composition Modeling and Analysis Program under award NNX15AE32G. The CALIOP data were obtained from the NASA Langley Research Center - Atmospheric Science Data Center.</t>
  </si>
  <si>
    <t>10.5194/acp-18-16253-2018</t>
  </si>
  <si>
    <t>HA4ZY</t>
  </si>
  <si>
    <t>WOS:000450277600001</t>
  </si>
  <si>
    <t>Kelly, R; Fleming, A; Pecl, GT</t>
  </si>
  <si>
    <t>Kelly, Rachel; Fleming, Aysha; Pecl, Gretta T.</t>
  </si>
  <si>
    <t>Social Licence for Marine Conservation Science</t>
  </si>
  <si>
    <t>marine conservation; public perceptions; science advocacy; social licence; science communication</t>
  </si>
  <si>
    <t>CITIZEN SCIENCE; PUBLIC PERCEPTIONS; ENVIRONMENT; MANAGEMENT; ENGAGEMENT; AUDIENCES; ADVOCACY; OPERATE; TRUST</t>
  </si>
  <si>
    <t>Marine environments are complex and dynamic social-ecological systems, where social perceptions of ocean stewardship are diverse, resource use is potentially unsustainable, and conservation efforts rely strongly on public support or acceptance. Decreasing trust in science in recent years has led to weakened social acceptance and approval of marine conservation science. Social licence is a concept that reflects informal, unwritten public expectations about the impacts and benefits of industry and government practises, including research, on natural resources, including the ocean. Working toward improving social licence may provide opportunity to bolster support for marine conservation, by allowing communities to engage with marine issues and marine science, and voice their concerns and views. Here, we argue that marine conservation requires social licence and we highlight science advocacy, accomplished through outreach, as a means to achieve this. We identify a role for marine conservation science to engage with the public through advocacy to improve understanding and perceptions of conservation. Drawing from the literature, we describe how science advocacy can enhance social licence for marine conservation research and outline four steps that can advise marine conservation scientists to achieve and promote social licence for their research and the wider marine conservation community.</t>
  </si>
  <si>
    <t>[Kelly, Rachel; Pecl, Gretta T.] Inst Marine &amp; Antarctic Studies, Hobart, Tas, Australia; [Kelly, Rachel; Fleming, Aysha; Pecl, Gretta T.] Univ Tasmania, Ctr Marine Socioecol, Hobart, Tas, Australia; [Fleming, Aysha] CSIRO Land &amp; Water, Hobart, Tas, Australia</t>
  </si>
  <si>
    <t>University of Tasmania; University of Tasmania; Commonwealth Scientific &amp; Industrial Research Organisation (CSIRO)</t>
  </si>
  <si>
    <t>Kelly, R (corresponding author), Inst Marine &amp; Antarctic Studies, Hobart, Tas, Australia.;Kelly, R (corresponding author), Univ Tasmania, Ctr Marine Socioecol, Hobart, Tas, Australia.</t>
  </si>
  <si>
    <t>r.kelly@utas.edu.au</t>
  </si>
  <si>
    <t>Kelly, Rachel/U-8836-2019; Fleming, Aysha/E-8753-2011; Pecl, Gretta/D-7267-2011</t>
  </si>
  <si>
    <t>Kelly, Rachel/0000-0002-8364-1836; Fleming, Aysha/0000-0001-9895-1928; Pecl, Gretta/0000-0003-0192-4339</t>
  </si>
  <si>
    <t>NOV 15</t>
  </si>
  <si>
    <t>10.3389/fmars.2018.00414</t>
  </si>
  <si>
    <t>HJ5NP</t>
  </si>
  <si>
    <t>WOS:000457228900001</t>
  </si>
  <si>
    <t>Milani, L; Kulie, MS; Casella, D; Dietrich, S; L'Ecuyer, TS; Panegrossi, G; Porcù, F; Sanò, P; Wood, NB</t>
  </si>
  <si>
    <t>Milani, Lisa; Kulie, Mark S.; Casella, Daniele; Dietrich, Stefano; L'Ecuyer, Tristan S.; Panegrossi, Giulia; Porcu, Federico; Sano, Paolo; Wood, Norman B.</t>
  </si>
  <si>
    <t>CloudSat snowfall estimates over Antarctica and the Southern Ocean: An assessment of independent retrieval methodologies and multi-year snowfall analysis</t>
  </si>
  <si>
    <t>ATMOSPHERIC RESEARCH</t>
  </si>
  <si>
    <t>CloudSat; Snowfall; Radar; Antarctica; Precipitation; Satellite</t>
  </si>
  <si>
    <t>SURFACE MASS-BALANCE; PRECIPITATION; RADAR; ACCUMULATION; PERFORMANCE</t>
  </si>
  <si>
    <t>CloudSat spaceborne radar snowfall retrievals using two different methodologies - the 2C-SNOW-PROFILE (2C-SNOW) CloudSat product and the combined Kulie and Bennartz (2009) technique with the Hiley et al. (2011) reflectivity (Z) to snowfall rate (S) conversion (KBH) - are compared over Antarctica and surrounding Southern Ocean environments. KBH algorithm sensitivity tests are performed to demonstrate how retrievals are affected by algorithm assumptions (e.g., vertical reflectivity continuity test, the choice of near surface bin used to make surface snowfall rate retrievals, and temperature filters). These algorithm components are found to be detrimental to snowfall detection over this region by significantly reducing the snowfall population compared to 2C-SNOW, especially over ocean regions prone to ERA-interim indicated convective snow. After accounting for key algorithm differences, 2C-SNOW mean annual snowfall rates are systematically higher than KBH due to the Z-S relationship adopted. Spatial annual mean snowfall accumulation differences between the two datasets are minimized over interior Antarctica, but large differences are observed over the ocean. 2C-SNOW Z-S relationships for all snowfall events (Z = 10.9 S-1.3), over ocean and sea ice (Z = 8.2 S-1.3), escarpments and Antarctic coastal areas - below 2000 m a.s.l. (Z = 6.7 S-1.4), and Antarctic plateau - above 2000 m a.s.l. (Z = 5.5 S-1.6) are also derived. A multi-year 2C-SNOW mean annual snowfall analysis is also provided, and comparisons with ERA-Interim snowfall datasets show similar spatial patterns, but magnitude differences over oceans are observed. A monthly 2C-SNOW and acoustic depth gauge analysis is provided to demonstrate qualitative trends in snowfall accumulation between the respective datasets.</t>
  </si>
  <si>
    <t>[Milani, Lisa; Casella, Daniele; Dietrich, Stefano; Panegrossi, Giulia; Sano, Paolo] Natl Res Council ISAC CNR, Inst Atmospher Sci &amp; Climate, Via Fosso Cavaliere 100, I-00133 Rome, Italy; [Kulie, Mark S.] Michigan Technol Univ, Dept Geol &amp; Min Engn &amp; Sci, 1400 Townsend Dr, Houghton, MI 49931 USA; [L'Ecuyer, Tristan S.] Univ Wisconsin, Dept Atmospher &amp; Ocean Sci, 1225 W Dayton St, Madison, WI 53706 USA; [Porcu, Federico] Univ Bologna, Dept Phys &amp; Astron, Bologna, Italy; [Wood, Norman B.] Univ Wisconsin, Space Sci &amp; Engn Ctr, 1225 W Dayton St, Madison, WI 53706 USA</t>
  </si>
  <si>
    <t>Consiglio Nazionale delle Ricerche (CNR); Istituto di Scienze dell'Atmosfera e del Clima (ISAC-CNR); Michigan Technological University; University of Wisconsin System; University of Wisconsin Madison; University of Bologna; University of Wisconsin System; University of Wisconsin Madison</t>
  </si>
  <si>
    <t>Milani, L (corresponding author), NASA, Goddard Space Flight Ctr, 8800 Greenbelt RD, Greenbelt, MD 20771 USA.</t>
  </si>
  <si>
    <t>lisa.milani@nasa.gov</t>
  </si>
  <si>
    <t>L'Ecuyer, Tristan S/E-5607-2012; Dietrich, S./C-3898-2015; Milani, Lisa/AAB-2084-2020; casella, daniele/AAX-7781-2020; Kulie, Mark/C-3289-2011; casella, daniele/E-4389-2013; Panegrossi, Giulia/C-5702-2015; Sanò, Paolo ps/C-7100-2015; Porcu', Federico/L-2395-2015</t>
  </si>
  <si>
    <t>L'Ecuyer, Tristan S/0000-0002-7584-4836; Dietrich, S./0000-0003-3808-365X; Milani, Lisa/0000-0003-0498-1021; casella, daniele/0000-0001-7203-4232; Panegrossi, Giulia/0000-0002-5170-7087; Porcu', Federico/0000-0003-1283-7679; Wood, Norman/0000-0001-8228-3910</t>
  </si>
  <si>
    <t>CNR Grant of the Italian Ministry of University, Research and Education under the National Plan for Antarctic Research PNRA PEA 2009 [AMMCNT-CNR0055415 (13/09/2012 PdR A3.06)]</t>
  </si>
  <si>
    <t>CNR Grant of the Italian Ministry of University, Research and Education under the National Plan for Antarctic Research PNRA PEA 2009</t>
  </si>
  <si>
    <t>This work has been partially funded by the CNR Grant Number AMMCNT-CNR0055415 (13/09/2012 PdR A3.06) Bilancio della sostanza ghiaccio e caratterizzazione delle precipitazioni solide in Antartide of the Italian Ministry of University, Research and Education under the National Plan for Antarctic Research PNRA PEA 2009.</t>
  </si>
  <si>
    <t>STE 800, 230 PARK AVE, NEW YORK, NY 10169 USA</t>
  </si>
  <si>
    <t>0169-8095</t>
  </si>
  <si>
    <t>1873-2895</t>
  </si>
  <si>
    <t>ATMOS RES</t>
  </si>
  <si>
    <t>Atmos. Res.</t>
  </si>
  <si>
    <t>10.1016/j.atmosres.2018.05.015</t>
  </si>
  <si>
    <t>GR0AW</t>
  </si>
  <si>
    <t>WOS:000442169800011</t>
  </si>
  <si>
    <t>Davies, BJ; Thorndycraft, VR; Fabel, D; Martin, JRV</t>
  </si>
  <si>
    <t>Davies, B. J.; Thorndycraft, V. R.; Fabel, D.; Martin, J. R. V.</t>
  </si>
  <si>
    <t>Asynchronous glacier dynamics during the Antarctic Cold Reversal in central Patagonia</t>
  </si>
  <si>
    <t>LAGO BUENOS-AIRES; BE-10 PRODUCTION-RATE; ICE-SHEET; COSMOGENIC BE-10; EXPOSURE AGES; NORTHWESTERN PATAGONIA; SEDIMENTARY FACIES; SOUTHERN PATAGONIA; LATEST PLEISTOCENE; PROGLACIAL LAKES</t>
  </si>
  <si>
    <t>We present 14 new Be-10 cosmogenic nuclide exposure ages quantifying asynchronous readvances during the Antarctic Cold Reversal from glaciers in the Baker Valley region of central Patagonia. We constrain glacier and ice-dammed palaeolake dynamics using a landsystems approach, concentrating on outlet glaciers from the eastern Northern Patagonian Icefield (NPI) and Monte San Lorenzo (MSL). Soler Glacier (NPI) produced lateral moraines above Lago Bertrand from 15.1 +/- 0.7 to 14.0 +/- 0.6 ka, when it dammed the drainage of Lago General Carrera/Buenos Aires through Rio Baker at a bedrock pinning point. At this time, Soler Glacier terminated into the 400 m Deseado level of the ice-dammed palaeolake. Later, Calluqueo Glacier (MSL) deposited subaerial and subaqueous moraines in the Salto Valley near Cochrane at 13.0 +/- 0.6 ka. These moraines were deposited in an ice-dammed palaeolake unified through the Baker Valley (Lago Chalenko; 350 m asl). The Salto Valley glaciolacustrine landsystem includes subaqueous morainal banks, ice-scoured bedrock, glacial diamicton plastered onto valley sides, perched delta terraces, kame terraces, ice-contact fans, palaeoshorelines and subaerial push and lateral moraines. Boulders from the subaqueous Salto Moraine became exposed at 12.1 +/- 0.6 years, indicating palaeolake drainage. These data show an asynchronous advance of outlet glaciers from the Northern Patagonian Icefield and Monte San Lorenzo during the Antarctic Cold Reversal. These advances occurred during a period of regional climatic cooling, but differential moraine extent and timing of advance was controlled by topography and calving processes. (C) 2018 The Authors. Published by Elsevier Ltd.</t>
  </si>
  <si>
    <t>[Davies, B. J.; Thorndycraft, V. R.; Martin, J. R. V.] Royal Holloway Univ London, Ctr Quaternary Res, Dept Geog, Egham TW20 0EX, Surrey, England; [Fabel, D.] Univ Glasgow, SUERC AMS Lab, SUERC, Rankine Ave, E Kilbride G75 0QF, Lanark, Scotland</t>
  </si>
  <si>
    <t>University of London; Royal Holloway University London; University of Glasgow; Scottish Universities Research &amp; Reactor Center</t>
  </si>
  <si>
    <t>Davies, BJ (corresponding author), Royal Holloway Univ London, Ctr Quaternary Res, Dept Geog, Egham TW20 0EX, Surrey, England.</t>
  </si>
  <si>
    <t>bethan.davies@rhul.ac.uk</t>
  </si>
  <si>
    <t>Davies, Bethan/KFR-3266-2024; Fabel, Derek/O-9933-2019</t>
  </si>
  <si>
    <t>Davies, Bethan/0000-0002-8636-1813; Fabel, Derek/0000-0003-2859-3293; Martin, Julian/0000-0002-2535-1646</t>
  </si>
  <si>
    <t>Royal Holloway University of London Research Strategy Fund (RHUL-RSF); NERC DTP PhD award [NE/L002485/1]; RHUL-RSF; Quaternary Research Association; British Society for Geomorphology; Geologists' Association; NERC [ciaf010001] Funding Source: UKRI; STFC [ST/L00061X/1, ST/R000484/1] Funding Source: UKRI</t>
  </si>
  <si>
    <t>Royal Holloway University of London Research Strategy Fund (RHUL-RSF); NERC DTP PhD award; RHUL-RSF; Quaternary Research Association; British Society for Geomorphology; Geologists' Association; NERC(UK Research &amp; Innovation (UKRI)Natural Environment Research Council (NERC)); STFC(UK Research &amp; Innovation (UKRI)Science &amp; Technology Facilities Council (STFC))</t>
  </si>
  <si>
    <t>Davies and Thorndycraft undertook geomorphological fieldwork and collected cosmogenic nuclide samples in November/December 2015. Geomorphological mapping was also conducted by Davies, Thorndycraft and Martin in November/December 2016 and 2017. Fabel undertook analysis of cosmogenic nuclide samples. Fieldwork was funded by the Royal Holloway University of London Research Strategy Fund (RHUL-RSF) and NERC DTP PhD award NE/L002485/1 awarded to Martin. We thank the RHUL-RSF, Quaternary Research Association, British Society for Geomorphology, and the Geologists' Association for each part-funding analytical costs of cosmogenic nuclide analysis. We thank Maria Miguens-Rodriguez (SUERC Cosmogenic Isotope Laboratory) for the preparation of the cosmogenic nuclide samples, and staff at the SUERC AMS Laboratory, East Kilbride, are thanked for 10Be measurements. We thank all landowners for allowing access to their property during fieldwork. ASTER GDEM is a product of NASA and METI. Landsat-8 images used in mapping are provided courtesy of the U.S. Geological Survey. BD and VT were supported in the field at the Bertrand moraines by Esteban, the local shepherd. All supporting data for this publication are included either in the paper or in the Supplementary Information. We thank two anonymous reviewers whose comments helped improve and clarify the manuscript.</t>
  </si>
  <si>
    <t>10.1016/j.quascirev.2018.09.025</t>
  </si>
  <si>
    <t>HA0MA</t>
  </si>
  <si>
    <t>WOS:000449900900018</t>
  </si>
  <si>
    <t>Crouzet, N; Chapellier, E; Guillot, T; Mekarnia, D; Agabi, A; Fantei-Caujolle, Y; Abe, L; Rivet, JP; Schmider, FX; Fressin, F; Bondoux, E; Challita, Z; Pouzenc, C; Valbousquet, F; Bayliss, D; Bonhomme, S; Daban, JB; Gouvret, C; Blazit, A</t>
  </si>
  <si>
    <t>Crouzet, N.; Chapellier, E.; Guillot, T.; Mekarnia, D.; Agabi, A.; Fantei-Caujolle, Y.; Abe, L.; Rivet, J-P; Schmider, F-X; Fressin, F.; Bondoux, E.; Challita, Z.; Pouzenc, C.; Valbousquet, F.; Bayliss, D.; Bonhomme, S.; Daban, J-B; Gouvret, C.; Blazit, A.</t>
  </si>
  <si>
    <t>Four winters of photometry with ASTEP South at Dome C, Antarctica</t>
  </si>
  <si>
    <t>ASTRONOMY &amp; ASTROPHYSICS</t>
  </si>
  <si>
    <t>methods: observational; methods: data analysis; techniques: photometric; site testing; stars: variables: delta Scuti; binaries: eclipsing</t>
  </si>
  <si>
    <t>SEEING MEASUREMENTS; VARIABLE-STARS; SCINTILLATION; SKY; REDUCTION; ALGORITHM; CATALOG; SEARCH</t>
  </si>
  <si>
    <t>Context. Dome C in Antarctica is a promising site for photometric observations thanks to the continuous night during the Antarctic winter and favorable weather conditions. Aims. We developed instruments to assess the quality of this site for photometry in the visible and to detect and characterize variable objects through the Antarctic Search for Transiting ExoPlanets (ASTEP) project. Methods. Here, we present the full analysis of four winters of data collected with ASTEP South, a 10 cm refractor pointing continuously toward the celestial south pole. We improved the instrument over the years and developed specific data reduction methods. Results. We achieved nearly continuous observations over the winters. We measure an average sky background of 20 mag arcsec(-2) in the 579-642 nm bandpass. We built the lightcurves of 6000 stars and developed a model to infer the photometric quality of Dome C from the lightcurves themselves. The weather is photometric 67.1 +/- 4.2% of the time and veiled 21.8 +/- 2.0% of the time. The remaining time corresponds to poor quality data or winter storms. We analyzed the lightcurves of sigma Oct and HD 184465 and find that the amplitude of their main frequency varies by a factor of 3.5 and 6.7 over the four years, respectively. We also identify 34 new variable stars and eight new eclipsing binaries with periods ranging from 0.17 to 81 days. Conclusion. The phase coverage that we achieved with ASTEP South is exceptional for a ground-based instrument and the data quality enables the detection and study of variable objects. These results demonstrate the high quality of Dome C for photometry in the visible and for time series observations in general.</t>
  </si>
  <si>
    <t>[Crouzet, N.] Inst Astrofis Canarias, C Via Lactea S-N, Tenerife 38205, Spain; [Crouzet, N.] Univ La Laguna, Dept Astrofis, Tenerife 38206, Spain; [Chapellier, E.; Guillot, T.; Mekarnia, D.; Agabi, A.; Fantei-Caujolle, Y.; Abe, L.; Rivet, J-P; Schmider, F-X; Bondoux, E.; Bonhomme, S.; Gouvret, C.; Blazit, A.] Univ Cote dAzur, Observ Cote dAzur, Lab Lagrange, CNRS, CS 34229, F-06304 Nice 4, France; [Fressin, F.] Harvard Smithsonian Ctr Astrophys, 60 Garden St, Cambridge, MA 02138 USA; [Challita, Z.; Daban, J-B] Observ Midi Pyrenees, 14 Ave Edouard Belin, F-31400 Toulouse, France; [Pouzenc, C.] Concordia Stn, Dome C, France; [Valbousquet, F.] Opt &amp; Vis, 6 Bis Ave Esterel, F-06160 Juan Les Pins, France; [Bayliss, D.] Univ Warwick, Dept Phys, Gibbet Hill Rd, Coventry CV4 7AL, W Midlands, England</t>
  </si>
  <si>
    <t>Instituto de Astrofisica de Canarias; Universidad de la Laguna; Centre National de la Recherche Scientifique (CNRS); Universite Cote d'Azur; Observatoire de la Cote d'Azur; Smithsonian Astrophysical Observatory; Harvard University; Smithsonian Institution; Universite de Toulouse; Universite Toulouse III - Paul Sabatier; University of Warwick</t>
  </si>
  <si>
    <t>Crouzet, N (corresponding author), Inst Astrofis Canarias, C Via Lactea S-N, Tenerife 38205, Spain.;Crouzet, N (corresponding author), Univ La Laguna, Dept Astrofis, Tenerife 38206, Spain.</t>
  </si>
  <si>
    <t>ncrouzet@iac.es</t>
  </si>
  <si>
    <t>Schmider, François-Xavier/C-5435-2012</t>
  </si>
  <si>
    <t>Schmider, Francois-Xavier/0000-0003-3914-3546; Guillot, Tristan/0000-0002-7188-8428</t>
  </si>
  <si>
    <t>Agence Nationale de la Recherche (ANR); Institut National des Sciences de l'Univers (INSU); Programme National de Planetologie (PNP); Observatoire de la Cote d'Azur; Universite de Nice-Sophia Antipolis</t>
  </si>
  <si>
    <t>Agence Nationale de la Recherche (ANR)(Agence Nationale de la Recherche (ANR)); Institut National des Sciences de l'Univers (INSU); Programme National de Planetologie (PNP); Observatoire de la Cote d'Azur; Universite de Nice-Sophia Antipolis</t>
  </si>
  <si>
    <t>The ASTEP project was funded by the Agence Nationale de la Recherche (ANR), the Institut National des Sciences de l'Univers (INSU), the Programme National de Planetologie (PNP), and the Plan Pluri-Formation OPERA between the Observatoire de la Cote d'Azur and the Universite de Nice-Sophia Antipolis. The logistics at Concordia is handled by the French Institut Paul-Emile Victor (IPEV) and the Italian Programma Nazionale di Ricerche in Antartide (PNRA). This work made use of the SIMBAD and VizieR databases operated at CDS, Strasbourg, France, the NASA's Astrophysics Data System bibliographic services, and the NASA's IDL astronomy library. Software: Period04 (Lenz &amp; Breger 2005).</t>
  </si>
  <si>
    <t>1432-0746</t>
  </si>
  <si>
    <t>ASTRON ASTROPHYS</t>
  </si>
  <si>
    <t>Astron. Astrophys.</t>
  </si>
  <si>
    <t>A116</t>
  </si>
  <si>
    <t>10.1051/0004-6361/201732565</t>
  </si>
  <si>
    <t>HA6LY</t>
  </si>
  <si>
    <t>Bronze, Green Submitted</t>
  </si>
  <si>
    <t>WOS:000450392200001</t>
  </si>
  <si>
    <t>Ferrari, R; Malcolm, H; Neilson, J; Lucieer, V; Jordan, A; Ingleton, T; Figueira, W; Johnstone, N; Hill, N</t>
  </si>
  <si>
    <t>Ferrari, Renata; Malcolm, Hamish; Neilson, Joe; Lucieer, Vanessa; Jordan, Alan; Ingleton, Tim; Figueira, Will; Johnstone, Nicola; Hill, Nicole</t>
  </si>
  <si>
    <t>Integrating distribution models and habitat classification maps into marine protected area planning</t>
  </si>
  <si>
    <t>Ecological and functional surrogates; Endemic and threatened species; Fish; Habitat classification scheme; Habitat maps; Stakeholders; Local knowledge and expertise; Marine protected areas; Marxan; Conservation prioritization; Spatial management; Conservation planning; Data-deficient ecosystems</t>
  </si>
  <si>
    <t>REEF FISH ASSEMBLAGES; GREAT-BARRIER-REEF; BIODIVERSITY CONSERVATION; RESERVE; SELECTION; MANAGEMENT; PATTERNS; DESIGN; PRIORITIZATION; ALGORITHMS</t>
  </si>
  <si>
    <t>Effective conservation planning requires biotic data across an entire region. In data-poor ecosystems conservation planning is informed by using environmental surrogates (e.g. temperature) predominantly in two ways: to develop habitat classification schemes (1) or develop species distribution models (2). We test the utility of both approaches for conservation planning of marine ecosystems, and rank environmental surrogates, such as depth and distance from shore, according to their power to predict the distribution and abundance of biotic species. Specifically, we compared a habitat classification scheme; based on coarse levels of habitat types derived from depth and distance from shore; against species distribution models, which predict fish abundance and prevalence as a function of environmental surrogates (depth, distance from shore, latitude, reef area, zoning, and several metrics of habitat structural complexity). We consistently set conservation target levels to 21% of each conservation feature, following global standards and a sensitivity analyses. Thus when running scenarios to protect fish species we aimed to protect at least 21% of each species, and when running scenarios of habitat classes, we aimed to protect at least 21% of each habitat class. We found that when aiming to protect 21% of the chosen conservation targets, distribution models protected 21% of the predicted abundance/occurrence of all modelled species and functional groups, but did not protect most habitats. Contrastingly, using a habitat classification scheme protected 21% of all habitat types and 34% of all species and functional groups, but required protecting three times more area. Thus, using only distribution models as targets in data-poor ecosystems could be a risky conservation planning strategy. Ultimately the best conservation outcomes were achieved by incorporating local knowledge to synthesize the conservation outcomes of both scenarios.</t>
  </si>
  <si>
    <t>[Ferrari, Renata] Univ Sydney, Sch Life &amp; Environm Sci, Edgeworth David Bld,Sci Rd, Sydney, NSW 2006, Australia; [Ferrari, Renata] Australian Inst Marine Sci, PMB 3, Townsville, Qld 4810, Australia; [Malcolm, Hamish] NSW Dept Primary Ind, Fisheries Res, 32 Marina Dr, Coffs Harbour, NSW 2450, Australia; [Lucieer, Vanessa; Hill, Nicole] Univ Tasmania, Inst Marine &amp; Antarctic Studies, Private Bag 129, Hobart, Tas 7001, Australia; [Neilson, Joe] NSW Dept Primary Ind, Marine Planning, 84 Crown St, Wollongong, NSW 2520, Australia; [Jordan, Alan] NSW Dept Primary Ind, Fisheries Res, Port Stephen Fisheries Inst, Locked Bag 1, Nelson Bay, NSW 2315, Australia; [Ingleton, Tim] NSW Off Environm &amp; Heritage, 59-61 Goulburn St, Sydney, NSW 2000, Australia; [Figueira, Will; Johnstone, Nicola] NSW Dept Primary Ind, Marine Strategy, 32 Marina Dr, Coffs Harbour, NSW 2450, Australia</t>
  </si>
  <si>
    <t>University of Sydney; Australian Institute of Marine Science; NSW Department of Primary Industries; University of Tasmania; NSW Department of Primary Industries; NSW Department of Primary Industries; Office of Environment &amp; Heritage - New South Wales; NSW Department of Primary Industries</t>
  </si>
  <si>
    <t>Ferrari, R (corresponding author), Australian Inst Marine Sci, PMB 3, Townsville, Qld 4810, Australia.</t>
  </si>
  <si>
    <t>r.ferrari@aims.gov.au; Hamish.malcolm@dpi.nsw.gov.au; joe.neilson@dpi.nsw.gov.au; vanessa.lucieer@utas.edu.au; alan.jordan@dpi.nsw.gov.au; Tim.Ingleton@environment.nsw.gov.au; will.figueira@sydney.edu.au; nicola.johnstone@dpi.nsw.gov.au; Nicole.hill@utas.edu.au</t>
  </si>
  <si>
    <t>Figueira, Will/A-5163-2009; Ferrari, Renata/E-3109-2016; Lucieer, Vanessa/D-1697-2009</t>
  </si>
  <si>
    <t>Figueira, Will/0000-0001-9472-8710; Ferrari, Renata/0000-0002-5056-1178; Lucieer, Vanessa/0000-0001-7531-5750; Malcolm, Hamish/0000-0001-7315-1537</t>
  </si>
  <si>
    <t>University of Sydney; NSW Department of Primary Industries; Australia's Integrated Marine Observing System (IMOS) - Department of Innovation, Industry, Science and Research through the National Collaborative Research Infrastructure Scheme; Australia's Integrated Marine Observing System (IMOS) - Department of Innovation, Industry, Science and Research through the Education Investment Fund; Marine Biodiversity Hub through the Australian Government's National Environmental Research Program (NERP)</t>
  </si>
  <si>
    <t>University of Sydney(University of Sydney); NSW Department of Primary Industries; Australia's Integrated Marine Observing System (IMOS) - Department of Innovation, Industry, Science and Research through the National Collaborative Research Infrastructure Scheme; Australia's Integrated Marine Observing System (IMOS) - Department of Innovation, Industry, Science and Research through the Education Investment Fund; Marine Biodiversity Hub through the Australian Government's National Environmental Research Program (NERP)(Australian Government)</t>
  </si>
  <si>
    <t>This project was supported by the University of Sydney, the NSW Department of Primary Industries and Australia's Integrated Marine Observing System (IMOS), partially funded by the Department of Innovation, Industry, Science and Research through the National Collaborative Research Infrastructure Scheme and the Education Investment Fund, and the Marine Biodiversity Hub, a collaborative partnership supported through funding from the Australian Government's National Environmental Research Program (NERP).</t>
  </si>
  <si>
    <t>10.1016/j.ecss.2018.06.015</t>
  </si>
  <si>
    <t>GV7EZ</t>
  </si>
  <si>
    <t>WOS:000446286100005</t>
  </si>
  <si>
    <t>Golikov, AV; Ceia, FR; Sabirov, RM; Zaripova, ZI; Blicher, ME; Zakharov, DV; Xavier, JC</t>
  </si>
  <si>
    <t>Golikov, Alexey, V; Ceia, Filipe R.; Sabirov, Rushan M.; Zaripova, Zarina, I; Blicher, Martin E.; Zakharov, Denis, V; Xavier, Jose C.</t>
  </si>
  <si>
    <t>Ontogenetic changes in stable isotope (δ13C and δ15N) values in squid Gonatus fabricii (Cephalopoda) reveal its important ecological role in the Arctic</t>
  </si>
  <si>
    <t>MARINE ECOLOGY PROGRESS SERIES</t>
  </si>
  <si>
    <t>Gonatidae; Oegopsid squid; Arctic marine food webs; Trophic ecology; Feeding; Allometric equations; Beak; Morphology</t>
  </si>
  <si>
    <t>TROPHIC RELATIONSHIPS; FOOD-WEB; CARBON DELTA-C-13; INCLUDING GIANT; MARINE PLANKTON; LIFE-HISTORY; FATTY-ACID; NITROGEN; RATIOS; SEA</t>
  </si>
  <si>
    <t>Gonatus fabricii is the most abundant cephalopod species in Arctic waters, and the only squid that completes its entire life cycle there. In order to understand its ecological role in the Arctic, we conducted stable isotope analyses of beaks from all ontogenetic groups from west and east Greenland waters and the Barents Sea, complemented with morphological data. The values of both delta C-13 and delta N-15 of G. fabricii were not related to sex. Values of delta C-13 showed a small ontogenetic increase, and these values were geographically distinct, with highest levels found in the western part of the study area. Values of delta N-15 showed a dramatic ontogenetic increase (i.e. 10.0 parts per thousand delta N-15; 2.6 trophic levels), from epipelagic juvenile forms to large bathypelagic adults, without significant geographical variation. The observed maximum value of delta N-15 (14.9 parts per thousand) is the highest ever recorded in cephalopod beaks. The estimated trophic level (up to 5.1) compares only to top vertebrate predators in the Arctic: large piscivorous fishes, seals and toothed whales or large benthic scavenging fishes. Thus, G. fabricii is a top invertebrate predator in the Arctic, with the widest isotopic niche observed to date for any species there. Among cephalopods its trophic level is only exceeded by its Antarctic congener, G. antarcticus, and by the Antarctic colossal squid Mesonychoteuthis hamiltoni. Thus, polar squids occupy higher trophic positions than do squids living in warmer regions. Finally, our study shows that G. fabricii descends to bathypelagic layers during ontogenesis, continuously increasing its trophic level by changing prey types and sizes, and avoiding predation pressure.</t>
  </si>
  <si>
    <t>[Golikov, Alexey, V; Sabirov, Rushan M.; Zaripova, Zarina, I] Kazan Fed Univ, Dept Zool, Kazan 420008, Russia; [Ceia, Filipe R.; Xavier, Jose C.] Univ Coimbra, Marine &amp; Environm Sci Ctr, Dept Life Sci, P-3001401 Coimbra, Portugal; [Blicher, Martin E.] Greenland Climate Res Ctr, Greenland Inst Nat Resources, Nuuk 3900, Greenland; [Zakharov, Denis, V] Polar Res Inst Marine Fisheries &amp; Oceanog, Lab Coastal Res, Murmansk 183038, Russia; [Xavier, Jose C.] NERC, British Antarctic Survey, Madingley Rd, Cambridge CB3 0ET, England</t>
  </si>
  <si>
    <t>Kazan Federal University; Universidade de Coimbra; Greenland Institute of Natural Resources; Research lnstitute of Fisheries &amp; Oceanography; UK Research &amp; Innovation (UKRI); Natural Environment Research Council (NERC); NERC British Antarctic Survey</t>
  </si>
  <si>
    <t>Golikov, AV (corresponding author), Kazan Fed Univ, Dept Zool, Kazan 420008, Russia.</t>
  </si>
  <si>
    <t>golikov_ksu@mail.ru</t>
  </si>
  <si>
    <t>Golikov, Alexey/T-3504-2019; Sabirov, Rushan Mirzovich/N-6605-2013; Zakharov, Denis/AAW-8821-2020; Golikov, Alexey V./N-6800-2013; Ceia, Filipe R./A-2196-2012; Xavier, José/KFB-6739-2024</t>
  </si>
  <si>
    <t>Golikov, Alexey/0000-0002-1596-2857; Zakharov, Denis/0000-0002-0885-3249; Ceia, Filipe R./0000-0002-5470-5183; /0000-0002-9621-6660</t>
  </si>
  <si>
    <t>Greenland Institute of Natural Resources, North Atlantic Cooperation [510-151]; Sustainable Fisheries Greenland; Ministry for Research in Greenland (IKIIN); Environmental Protection Agency (Dancea) of the Ministry of Environment and Food of Denmark [mst-112-00272]; RFBR [16-34-00055 MOJI_a]; Foundation for Science and Technology (FCT - Portugal); European Social Fund (POPH, EU) [SFRH/BPD/95372/2013]; MARE [MARE-UID/ MAR/04292/2013]; NERC [bas010011] Funding Source: UKRI</t>
  </si>
  <si>
    <t>Greenland Institute of Natural Resources, North Atlantic Cooperation; Sustainable Fisheries Greenland; Ministry for Research in Greenland (IKIIN); Environmental Protection Agency (Dancea) of the Ministry of Environment and Food of Denmark; RFBR(Russian Foundation for Basic Research (RFBR)); Foundation for Science and Technology (FCT - Portugal)(Fundacao para a Ciencia e a Tecnologia (FCT)); European Social Fund (POPH, EU); MARE; NERC(UK Research &amp; Innovation (UKRI)Natural Environment Research Council (NERC))</t>
  </si>
  <si>
    <t>We are grateful to 'PINRO-IMR Ecosystem Survey in the Barents Sea' project and 'Initiating North Atlantic Benthos Monitoring (INAMon)' project for providing parts of the samples, to the scientific groups and crews of the mentioned RVs, especially Pavel A. Lubin and Igor E. Manushin, for help onboard, to Alexandra Baeta, Zara F. Teixeira, Claudia S. Moreira, Jose P. Abreu, and Ana R. Carreiro for help with stable isotope analyses. INAMon was financially supported by the Greenland Institute of Natural Resources, North Atlantic Cooperation (nora.fo; J. nr. 510-151), Sustainable Fisheries Greenland, the Ministry for Research in Greenland (IKIIN), and the Environmental Protection Agency (Dancea) of the Ministry of Environment and Food of Denmark (J. nr. mst-112-00272). The work is also part of the Danish Presidency project in Nordic Council of Ministers, mapping seabed biodiversity and vulnerability in the Arctic and North Atlantic. A.V.G. was partly funded by RFBR (research project No 16-34-00055 MOJI_a). This research was co-sponsored by the Foundation for Science and Technology (FCT - Portugal) and the European Social Fund (POPH, EU) through a post-doc grant to F.R.C. (SFRH/BPD/95372/2013) and by strategic program of MARE (MARE-UID/ MAR/04292/2013). We thank 3 anonymous reviewers of the manuscript and the editor Dr. Keith Hobson for their valuable comments to improve the quality of the paper.</t>
  </si>
  <si>
    <t>0171-8630</t>
  </si>
  <si>
    <t>1616-1599</t>
  </si>
  <si>
    <t>MAR ECOL PROG SER</t>
  </si>
  <si>
    <t>Mar. Ecol.-Prog. Ser.</t>
  </si>
  <si>
    <t>10.3354/meps12767</t>
  </si>
  <si>
    <t>Ecology; Marine &amp; Freshwater Biology; Oceanography</t>
  </si>
  <si>
    <t>Environmental Sciences &amp; Ecology; Marine &amp; Freshwater Biology; Oceanography</t>
  </si>
  <si>
    <t>HA5XK</t>
  </si>
  <si>
    <t>WOS:000450352900006</t>
  </si>
  <si>
    <t>Quirico, E; Bonal, L; Beck, P; Alexander, CMO; Yabuta, H; Nakamura, T; Nakato, A; Flandinet, L; Montagnac, G; Schmitt-Kopplin, P; Herd, CDK</t>
  </si>
  <si>
    <t>Quirico, E.; Bonal, L.; Beck, P.; Alexander, C. M. O'D.; Yabuta, H.; Nakamura, T.; Nakato, A.; Flandinet, L.; Montagnac, G.; Schmitt-Kopplin, P.; Herd, C. D. K.</t>
  </si>
  <si>
    <t>Prevalence and nature of heating processes in CM and C2-ungrouped chondrites as revealed by insoluble organic matter</t>
  </si>
  <si>
    <t>Chondrites; Organic matter; Secondary processes; Shock; Thermal metamorphism</t>
  </si>
  <si>
    <t>TAGISH LAKE METEORITE; CARBONACEOUS CHONDRITES; THERMAL METAMORPHISM; AQUEOUS ALTERATION; PARENT BODY; RAMAN-SPECTROSCOPY; MURCHISON METEORITES; ISOTOPIC COMPOSITION; MODAL MINERALOGY; CR CHONDRITES</t>
  </si>
  <si>
    <t>Chondrites are exhumed from their parent bodies by impacts, which at the same time can result in heating and mechanical modification (compaction, deformation, fracturing, etc.). However, whether impacts are responsible for the occurrence of heated C2s remains controversial since radiogenic and solar heating have also been invoked to explain them. Here we report a Raman and infrared study of the composition and structure of Insoluble Organic Matter (IOM) in a series of 39 CM and C2-ungrouped chondrites. These parameters are tracers of the extent and nature of thermal metamorphism a meteorite has experienced and reflect the degree to which the thermally driven and irreversible carbonization of IOM has proceeded. We propose a carbon-based classification of heated C2 chondrites that reveals a high occurrence frequency of thermally processed C2 chondrites (&gt;36%). This classification is in agreement with the mineralogical classification scheme of Nakamura (2005). Strongly heated C2 chondrites (PCA 02012, PCA 91008, Y 96720) display an IOM structural evolution that is dissimilar to that of type 3 chondrites that experienced long duration radiogenic thermal metamorphism. These differences almost certainly reflect kinetic constraints on IOM modification during short duration heating events. QUE 93005 is a weakly heated chondrite that experienced a retrograde aqueous alteration. Its very aliphatic-rich IOM points to a parent body hydrogenation through interactions with water. The closed-system conditions required by this mechanism could be satisfied by a kinetic confinement during a very short duration impact. MET 01072, a heavily compacted and uni-axially deformed chondrite, did not experience post-accretional heating. In this case, the deformation features probably reflect a low-velocity impact. In contrast, the weakly metamorphosed chondrite EET 96029 experienced one or several low pressure impacts that triggered mild heating and partial dehydration without deformation features. The study of a series of lithologies from the Tagish Lake C2-ungrouped chondrite confirms the coexistence of various degrees of post-accretional alteration, the most altered lithologies having experienced a moderate degree of heating. Overall, the high prevalence of heating in C2 chondrites, the evidence of short-duration heating in the most heated C2s and the ability of low velocity collisions to trigger heating favor impacts (against solar heating), as the dominant heating mechanism. Finally, our set of data does not support the action of a low temperature oxidation process that would control the aliphatic abundance in unheated primitive C2s. (C) 2018 Elsevier Ltd. All rights reserved.</t>
  </si>
  <si>
    <t>[Quirico, E.; Bonal, L.; Beck, P.; Flandinet, L.] Univ Grenoble Alpes, CNRS, IPAG, UMR 5274, F-38041 Grenoble, France; [Alexander, C. M. O'D.] Carnegie Inst Sci, Dept Terr Magnetism, 5241 Broad Branch Rd NW, Washington, DC 20015 USA; [Yabuta, H.] Hiroshima Univ, Hiroshima, Japan; [Nakamura, T.] Tohoku Univ, Sendai, Miyagi 9808578, Japan; [Nakato, A.] Japan Aerosp Explorat Agcy, Inst Space &amp; Astronaut Sci, Sagamihara, Kanagawa, Japan; [Montagnac, G.] Ecole Normale Super Lyon, CNRS, Lab Geol Lyon, 46 Allee Italie,BP 7000, F-69342 Lyon 07, France; [Schmitt-Kopplin, P.] Helmholtz Zentrum Muenchen, Inst Ecol Chem, German Res Ctr Environm Hlth, Ingolstaedter Landstr 1, D-85764 Oberschleissheim, Germany; [Herd, C. D. K.] Univ Alberta, Dept Earth &amp; Atmospher Sci, Edmonton, AB T6G 2E3, Canada</t>
  </si>
  <si>
    <t>Institut de Planetologie et d'Astrophysique de Grenoble (IPAG); Centre National de la Recherche Scientifique (CNRS); CNRS - National Institute for Earth Sciences &amp; Astronomy (INSU); Communaute Universite Grenoble Alpes; Universite Grenoble Alpes (UGA); Carnegie Institution for Science; Hiroshima University; Tohoku University; Japan Aerospace Exploration Agency (JAXA); Institute of Space &amp; Astronautical Science (ISAS); Ecole Normale Superieure de Lyon (ENS de LYON); Centre National de la Recherche Scientifique (CNRS); Universite Claude Bernard Lyon 1; Helmholtz Association; Helmholtz-Center Munich - German Research Center for Environmental Health; University of Alberta</t>
  </si>
  <si>
    <t>Quirico, E (corresponding author), Univ Grenoble Alpes, CNRS, IPAG, UMR 5274, F-38041 Grenoble, France.</t>
  </si>
  <si>
    <t>eric.quirico@univ-grenoble-alpes.fr</t>
  </si>
  <si>
    <t>Herd, Christopher/IYJ-9105-2023; Montagnac, Gilles/S-6440-2019; Yabuta, Hikaru/S-2662-2018; Beck, Pierre/F-3149-2011; Alexander, Conel M. O'D./N-7533-2013; Schmitt-Kopplin, Philippe/H-6271-2011</t>
  </si>
  <si>
    <t>Montagnac, Gilles/0000-0001-9938-0282; Alexander, Conel M. O'D./0000-0002-8558-1427; Schmitt-Kopplin, Philippe/0000-0003-0824-2664; NAKATO, Aiko/0000-0003-2392-1497; BONAL, Lydie/0000-0002-0655-4034</t>
  </si>
  <si>
    <t>Centre National d'Etudes Spatiales (CNES-France); NSF; NASA; Institut National des Sciences de l'Univers (INSU)</t>
  </si>
  <si>
    <t>Centre National d'Etudes Spatiales (CNES-France)(Centre National D'etudes Spatiales); NSF(National Science Foundation (NSF)); NASA(National Aeronautics &amp; Space Administration (NASA)); Institut National des Sciences de l'Univers (INSU)</t>
  </si>
  <si>
    <t>This work has been funded by the Centre National d'Etudes Spatiales (CNES-France). We warmly thank Dr. Patrick Donohue and an anonymous reviewer for very constructive comments that greatly improved the manuscript. We thank the following institutes that provided us with precious meteorite samples: Meteorites Working Group (JSC Houston, USA), National Institute of Polar Research (NIPR, Japan), Museum National d'Histoire Naturelle (Paris, France) and Smithsonian National Museum of Natural History (Washington DC, USA).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acknowledge the Raman facility in ENS-Lyon, supported by the Institut National des Sciences de l'Univers (INSU).</t>
  </si>
  <si>
    <t>10.1016/j.gca.2018.08.029</t>
  </si>
  <si>
    <t>GV2HR</t>
  </si>
  <si>
    <t>WOS:000445909200002</t>
  </si>
  <si>
    <t>Das, S; Racine, JS</t>
  </si>
  <si>
    <t>Das, Sonali; Racine, Jeffrey S.</t>
  </si>
  <si>
    <t>Interactive nonparametric analysis of nonlinear systems</t>
  </si>
  <si>
    <t>PHYSICA A-STATISTICAL MECHANICS AND ITS APPLICATIONS</t>
  </si>
  <si>
    <t>Kernel smoothing; Conditional density; Distribution; Mean and quantile estimation; Exploratory data analysis</t>
  </si>
  <si>
    <t>SURFACE OCEAN PCO(2); VARIABILITY</t>
  </si>
  <si>
    <t>In this paper we outline an interactive nonparametric methodology designed to facilitate the statistical analysis of nonlinear systems. The approach exploits an ensemble of nonparametric techniques including conditional density function estimation, conditional distribution function estimation, conditional mean estimation (regression) and conditional quantile estimation (quantile regression). By exploiting recent developments in nonparametric methodology and also in open source interactive platforms for data visualization and statistical analysis, we are able to provide an approach that facilitates enhanced understanding of complex empirical phenomenon. We illustrate this approach by exploring the inherent complexity of the Southern Ocean system as a carbon sink, measured in terms of fugacity of carbon dioxide at sea surface temperature (f CO2), in relation to a number of oceanic state variables, all measured in situ during the annual South African National Antarctic Expedition (SANAE) austral summer trips from Cape Town to the Antarctic, and back, between 2010 and 2015. (C) 2018 Elsevier B.V. All rights reserved.</t>
  </si>
  <si>
    <t>[Racine, Jeffrey S.] McMaster Univ, Dept Econ, Kenneth Taylor Hall,Room 426,1280 Main St West, Hamilton, ON L8S 4M4, Canada; [Racine, Jeffrey S.] McMaster Univ, Grad Program Stat, Hamilton, ON, Canada; [Racine, Jeffrey S.] La Trobe Univ, Dept Econ &amp; Finance, Bundoora, Vic, Australia; [Racine, Jeffrey S.] Amer Univ, Infometr Inst, Washington, DC 20016 USA; [Racine, Jeffrey S.] Rimini Ctr Econ Anal, Rimini, Italy; [Das, Sonali; Racine, Jeffrey S.] DST NRF Ctr Excellence Math &amp; Stat Sci CoE MaSS, Johannesburg, South Africa; [Das, Sonali] CSIR Modelling &amp; Digital Sci, Adv Math Modelling, POB 395, ZA-0001 Pretoria, South Africa; [Das, Sonali] Univ Witwatersrand, Sch Stat &amp; Actuarial Sci, Private Bag 3, ZA-2050 Johannesburg, South Africa; [Das, Sonali] Nelson Mandela Univ, Dept Stat, POB 77000, ZA-6031 Port Elizabeth, South Africa</t>
  </si>
  <si>
    <t>McMaster University; McMaster University; La Trobe University; American University; University of Witwatersrand; Nelson Mandela University</t>
  </si>
  <si>
    <t>Racine, JS (corresponding author), McMaster Univ, Dept Econ, Kenneth Taylor Hall,Room 426,1280 Main St West, Hamilton, ON L8S 4M4, Canada.</t>
  </si>
  <si>
    <t>racinej@mcmaster.ca</t>
  </si>
  <si>
    <t>DST-NRF Centre of Excellence in Mathematical and Statistical Sciences (CoE-MaSS)</t>
  </si>
  <si>
    <t>The authors would like to thank the following from the CSIR and the Southern Ocean Carbon Climate Observatory: Dr. Pedro Monteiro, Dr. Sebastiaan Swart, Dr. Warren Joubert and Luke Gregor. Authors would also like to acknowledge the co-funding received from the DST-NRF Centre of Excellence in Mathematical and Statistical Sciences (CoE-MaSS) to host Professor Racine at the CSIR for this research. Opinions expressed and conclusions arrived at are those of the authors and are not necessarily attributed to the CoE-MaSS.</t>
  </si>
  <si>
    <t>0378-4371</t>
  </si>
  <si>
    <t>1873-2119</t>
  </si>
  <si>
    <t>PHYSICA A</t>
  </si>
  <si>
    <t>Physica A</t>
  </si>
  <si>
    <t>10.1016/j.physa.2018.06.071</t>
  </si>
  <si>
    <t>GR5WG</t>
  </si>
  <si>
    <t>WOS:000442712000026</t>
  </si>
  <si>
    <t>Li, P; Zou, H; Zhou, LB; Ma, SP; Zhu, JH; Li, F</t>
  </si>
  <si>
    <t>Li, Peng; Zou, Han; Zhou, Libo; Ma, Shupo; Zhu, Jinhuan; Li, Fei</t>
  </si>
  <si>
    <t>Observed heterogeneity in the local atmosphere and land-air heat exchange across complex terrain in the Tibetan mountains</t>
  </si>
  <si>
    <t>Land-air heat transfer; Tibetan mountains; inhomogeneity; the Himalayas; local atmosphere</t>
  </si>
  <si>
    <t>ASIAN SUMMER MONSOON; NEAR-SURFACE LAYER; PLATEAU; FLOW; PREDICTABILITY; TRANSPORT; IMPACTS; OZONE; ONSET</t>
  </si>
  <si>
    <t>Surface heating is important in terms of the thermal effect of the Tibetan Plateau on atmospheric systems in Asia. The complex mountain terrain across the Tibetan Plateau introduces small-scale heterogeneity in the local atmosphere and land-air heat exchange that biases our understanding of the Tibetan thermal effect and misleads boundary-layer parameterization for numerical studies and predictions. It is therefore essentially important to evaluate heterogeneity in the Tibetan mountains. An observational experiment was conducted in a small region with a complex land-scape in the eastern Himalayas from June 9 to July 9, 2013. This study analyzes the observations of three major land covers and discusses the observed heterogeneity of the local atmosphere and land-air heat exchange. A heterogeneity rate is defined to approximately quantify the heterogeneity observed in the atmospheric properties and land-air heat exchange. Obvious heterogeneity is found in the local atmosphere across the complex terrain of the Eastern Himalayas, which could introduce uncertainties up to 33.3 percent in our knowledge related to the local weather and climate. A large heterogeneity is revealed in the land-air heat exchange, which would bias our understanding of total surface heating in this region up to 16 percent and of heating properties up to 62 percent. Therefore, attention should be given to the uncertainties introduced by small-scale heterogeneity in any weather and climate studies across a complex terrain, such as the eastern Himalayas. In addition, the heterogeneity rate provided could be a useful measure to generally identify the uncertainties in our understanding of the local atmosphere and land-air heat exchange across a complex terrain.</t>
  </si>
  <si>
    <t>[Li, Peng; Zou, Han; Zhou, Libo; Ma, Shupo; Zhu, Jinhuan; Li, Fei] Chinese Acad Sci, Inst Atmospher Phys, LAOR, Beijing, Peoples R China; [Zou, Han; Zhou, Libo] Chinese Acad Sci, Inst Atmospher Phys, LAPC, Beijing, Peoples R China; [Zou, Han] Univ Chinese Acad Sci, Beijing, Peoples R China</t>
  </si>
  <si>
    <t>Chinese Academy of Sciences; Institute of Atmospheric Physics, CAS; Chinese Academy of Sciences; Institute of Atmospheric Physics, CAS; Chinese Academy of Sciences; University of Chinese Academy of Sciences, CAS</t>
  </si>
  <si>
    <t>Zou, H; Zhou, LB (corresponding author), Chinese Acad Sci, Inst Atmospher Phys, Huayanli 20, Beijing 100029, Peoples R China.</t>
  </si>
  <si>
    <t>zouhan@mail.iap.ac.cn; zhoulibo@mail.iap.ac.cn</t>
  </si>
  <si>
    <t>Zhou, Libo/AAH-6087-2020; IAP, LAPC/AAI-6390-2020</t>
  </si>
  <si>
    <t>IAP, LAPC/0000-0002-6195-7362</t>
  </si>
  <si>
    <t>Strategic Priority Research Program of the Chinese Academy of Sciences [XDA19070401]; Natural Science Foundation of China [41830968]; Beijing Municipal Science and Technology Commission [D171100000717003]; CAS Key Subordinate Project [KGFZD-135-16-023]</t>
  </si>
  <si>
    <t>Strategic Priority Research Program of the Chinese Academy of Sciences(Chinese Academy of Sciences); Natural Science Foundation of China(National Natural Science Foundation of China (NSFC)); Beijing Municipal Science and Technology Commission(Beijing Municipal Science &amp; Technology Commission); CAS Key Subordinate Project</t>
  </si>
  <si>
    <t>This study was supported by the Strategic Priority Research Program of the Chinese Academy of Sciences (Grant NO. XDA19070401), the Natural Science Foundation of China (Grant No. 41830968), the Beijing Municipal Science and Technology Commission (Grant D171100000717003), and the CAS Key Subordinate Project (KGFZD-135-16-023).</t>
  </si>
  <si>
    <t>NOV 14</t>
  </si>
  <si>
    <t>UNSP e1542209</t>
  </si>
  <si>
    <t>10.1080/15230430.2018.1542209</t>
  </si>
  <si>
    <t>HF7BN</t>
  </si>
  <si>
    <t>WOS:000454393200001</t>
  </si>
  <si>
    <t>Contreras, RA; Pizarro, M; Köhler, H; Sáez, CA; Zúñiga, GE</t>
  </si>
  <si>
    <t>Contreras, Rodrigo A.; Pizarro, Marisol; Kohler, Hans; Saez, Claudio A.; Zuniga, Gustavo E.</t>
  </si>
  <si>
    <t>Copper stress induces antioxidant responses and accumulation of sugars and phytochelatins in Antarctic Colobanthus quitensis (Kunth) Bartl</t>
  </si>
  <si>
    <t>C. quitensis; Metal; Antioxidants; Phytochelatins; Sugars; Antarctica</t>
  </si>
  <si>
    <t>TOMATO LYCOPERSICON-ESCULENTUM; FREE AMINO-ACIDS; OXIDATIVE STRESS; NATURAL ANTIOXIDANTS; PHENOLIC-COMPOUNDS; ENZYMES RESPONSES; EXCESS COPPER; GLUTATHIONE; CADMIUM; PLANTS</t>
  </si>
  <si>
    <t>Background: In field, C. quitensis is subjected to many abiotic extreme environmental conditions, such as low temperatures, high UV-B, salinity and reduced water potentials, but not metal or metalloid high concentrations in soil, however, other members of Caryophyllaceae family have tolerance to high concentrations of metals, this is the case of Silene genre. In this work, we hypothesize that C. quitensis have the same mechanisms of Silene to tolerate metals, involving accumulation and induction of antioxidant systems, sugar accumulation and the induction of thiols such as phytochelatins to tolerate. Results: The results showing an effective antioxidant defensive machinery involving non-enzymatic antioxidants such as phenolics, GSH and ascorbic acid, in another hand, GSH-related oligomers (phytochelatins) and sugars was induced as a defensive mechanism. Conclusions: Colobanthus quitensis exhibits certain mechanisms to tolerate copper in vitro demonstrating its plasticity to tolerate several abiotic stress conditions.</t>
  </si>
  <si>
    <t>[Contreras, Rodrigo A.; Pizarro, Marisol; Kohler, Hans; Zuniga, Gustavo E.] Univ Santiago Chile, Fac Quim &amp; Biol, Dept Biol, Lab Fisiol &amp; Biotecnol Vegetal,Estn Cent, LB OHiggins 3363, Santiago, Chile; [Pizarro, Marisol; Zuniga, Gustavo E.] Univ Santiago Chile, Ctr Desarrollo Nanociencia &amp; Nanotecnol CEDENNA, Santiago, Chile; [Saez, Claudio A.] Univ Playa Ancha, Ctr Adv Studies, Lab Aquat Environm Res LACER, Vina Del Mar, Chile</t>
  </si>
  <si>
    <t>Universidad de Santiago de Chile; Universidad de Santiago de Chile; Universidad de Playa Ancha</t>
  </si>
  <si>
    <t>Contreras, RA; Zúñiga, GE (corresponding author), Univ Santiago Chile, Fac Quim &amp; Biol, Dept Biol, Lab Fisiol &amp; Biotecnol Vegetal,Estn Cent, LB OHiggins 3363, Santiago, Chile.</t>
  </si>
  <si>
    <t>rodrigo.contrerasar@usach.cl; gustavo.zuniga@usach.cl</t>
  </si>
  <si>
    <t>Contreras, Rodrigo A./I-1871-2013; Zuñiga, Gustavo E/P-8306-2015; Sáez, Claudio/AAP-6923-2021</t>
  </si>
  <si>
    <t>Contreras, Rodrigo A./0000-0001-9970-3125; Sáez, Claudio/0000-0002-5037-3484; Zuniga, Gustavo/0000-0002-8286-9468</t>
  </si>
  <si>
    <t>Fondecyt [1140274, 3160274]; Basal Program for Centers of Excellence [FB0807]; Chilean Antarctic Institute (INACH) [RT_14-17]</t>
  </si>
  <si>
    <t>Fondecyt(Comision Nacional de Investigacion Cientifica y Tecnologica (CONICYT)CONICYT FONDECYT); Basal Program for Centers of Excellence; Chilean Antarctic Institute (INACH)</t>
  </si>
  <si>
    <t>This work was supported by Grants Fondecyt 3160274 (RAC) and Fondecyt 1140274 (GEZ) and by Basal Program for Centers of Excellence, Grant FB0807 (CEDENNA) and Grant RT_14-17 from Chilean Antarctic Institute (INACH).</t>
  </si>
  <si>
    <t>10.1186/s40659-018-0197-0</t>
  </si>
  <si>
    <t>HA6AB</t>
  </si>
  <si>
    <t>WOS:000450360100002</t>
  </si>
  <si>
    <t>Zhukova, KA; Gordeev, II; Kuznetsova, EN</t>
  </si>
  <si>
    <t>Zhukova, Kristina A.; Gordeev, Ilya I.; Kuznetsova, Elena N.</t>
  </si>
  <si>
    <t>Abnormal gonads in the Antarctic toothfish (Dissostichus mawsoni Norman, 1937 [Perciformes: Nototheniidae]): the first record and histological description</t>
  </si>
  <si>
    <t>Cod icefish; histology; intersex; senescence; reproduction; CCAMLR</t>
  </si>
  <si>
    <t>ROSS SEA REGION; REPRODUCTIVE DEVELOPMENT; FISHES; LENGTH</t>
  </si>
  <si>
    <t>This paper describes the morphology and histology of abnormal gonads in Antarctic toothfish (Dissostichus mawsoni) and the possibility of intersexuality and senescence of some individuals. Two old (approximately 25years) and large (184-185cm) specimens with abnormal gonads were caught in the Antarctic during commercial fishing for toothfish and studied using histological methods. Although D. mawsoni is well-known and extensively studied, this is the first study dealing with abnormal gonads in the species. The histological analysis revealed that the gonads of the first specimen contained both male and female germ cells (ovotestis), the testicular and ovarian tissues being separated by a thick layer of connective tissue. The female portion was composed of secondary vitellogenic oocytes, primary vitellogenic, cortical alveolar and primary growth oocytes, while the testes contained cysts of spermatogonia and primary spermatocyte. The gonads of the second specimen were small, filiform and showed massive growth of the connective tissue, which occupied almost the entire gonad; a few spermatogonia without visible cysts were found. This study extends our understanding of sexual development in Antarctic toothfish, documenting the possibility of long-term interruptions in the reproductive cycle of this species.</t>
  </si>
  <si>
    <t>[Zhukova, Kristina A.; Kuznetsova, Elena N.] Russian Fed Res Inst Fisheries &amp; Oceanog, Dept Marine Fishes Far East, Moscow, Russia; [Gordeev, Ilya I.] Russian Fed Res Inst Fisheries &amp; Oceanog, Pacific Salmons Dept, V Krasnoselskaya Str 17, Moscow 107140, Russia; [Gordeev, Ilya I.] Lomonosov Moscow State Univ, Dept Invertebrate Zool, Fac Biol, Moscow, Russia</t>
  </si>
  <si>
    <t>Research lnstitute of Fisheries &amp; Oceanography; Research lnstitute of Fisheries &amp; Oceanography; Lomonosov Moscow State University</t>
  </si>
  <si>
    <t>Gordeev, II (corresponding author), Russian Fed Res Inst Fisheries &amp; Oceanog, Pacific Salmons Dept, V Krasnoselskaya Str 17, Moscow 107140, Russia.</t>
  </si>
  <si>
    <t>gordeev_ilya@bk.ru</t>
  </si>
  <si>
    <t>Gordeev, Ilya/F-2972-2017; Kuznetsova, Elena/HMP-0683-2023; Zhukova, Kristina/Y-6905-2018</t>
  </si>
  <si>
    <t>Gordeev, Ilya/0000-0002-6650-9120; Zhukova, Kristina/0000-0001-8088-435X</t>
  </si>
  <si>
    <t>Russian Science Foundation [17-74-10203]; Russian Science Foundation [17-74-10203] Funding Source: Russian Science Foundation</t>
  </si>
  <si>
    <t>The work was supported by the Russian Science Foundation (grant no. 17-74-10203).</t>
  </si>
  <si>
    <t>10.1080/17518369.2018.1540244</t>
  </si>
  <si>
    <t>HA9GM</t>
  </si>
  <si>
    <t>WOS:000450607000001</t>
  </si>
  <si>
    <t>Jordan, TA; Martin, C; Ferraccioli, F; Matsuoka, K; Corr, H; Forsberg, R; Olesen, A; Siegert, M</t>
  </si>
  <si>
    <t>Jordan, T. A.; Martin, C.; Ferraccioli, F.; Matsuoka, K.; Corr, H.; Forsberg, R.; Olesen, A.; Siegert, M.</t>
  </si>
  <si>
    <t>Anomalously high geothermal flux near the South Pole</t>
  </si>
  <si>
    <t>ANTARCTIC ICE-SHEET; CENTRAL EAST ANTARCTICA; HEAT-FLOW; SUBGLACIAL LAKES; BASAL MELT; INVENTORY; EVOLUTION; SURFACE; DIVIDE; REGION</t>
  </si>
  <si>
    <t>Melting at the base of the Antarctic Ice Sheet influences ice dynamics and our ability to recover ancient climatic records from deep ice cores. Basal melt rates are affected by geothermal flux, one of the least constrained properties of the Antarctic continent. Estimates of Antarctic geothermal flux are typically regional in nature, derived from geological, magnetic or seismic data, or from sparse point measurements at ice core sites. We analyse ice-penetrating radar data upstream of South Pole revealing a similar to 100 km long and 50 km wide area where internal ice sheet layers converge with the bed. Ice sheet modelling shows that this englacial layer configuration requires basal melting of up to 6 +/- 1 mm a(-1) and a geothermal flux of 120 +/- 20 mW m(-2), more than double the values expected for this cratonic sector of East Antarctica. We suggest high heat producing Precambrian basement rocks and hydrothermal circulation along a major fault system cause this anomaly. We conclude that local geothermal flux anomalies could be more widespread in East Antarctica. Assessing their influence on subglacial hydrology and ice sheet dynamics requires new detailed geophysical observations, especially in candidate areas for deep ice core drilling and at the onset of major ice streams.</t>
  </si>
  <si>
    <t>[Jordan, T. A.; Martin, C.; Ferraccioli, F.; Corr, H.] British Antarctic Survey, Madingley Rd, Cambridge CB3 0ET, England; [Matsuoka, K.] Norwegian Polar Res Inst, Tromso, Norway; [Forsberg, R.; Olesen, A.] Tech Univ Denmark, Natl Space Inst, Lyngby, Denmark; [Siegert, M.] Imperial Coll London, Grantham Inst, London SW7 2AZ, England; [Siegert, M.] Imperial Coll London, Dept Earth Sci &amp; Engn, London SW7 2AZ, England</t>
  </si>
  <si>
    <t>UK Research &amp; Innovation (UKRI); Natural Environment Research Council (NERC); NERC British Antarctic Survey; Norwegian Polar Institute; Technical University of Denmark; Imperial College London; Imperial College London</t>
  </si>
  <si>
    <t>Jordan, TA (corresponding author), British Antarctic Survey, Madingley Rd, Cambridge CB3 0ET, England.</t>
  </si>
  <si>
    <t>tomj@bas.ac.uk</t>
  </si>
  <si>
    <t>Siegert, Martin J/A-3826-2008; Siegert, Martin/M-9939-2019; Corr, Hugh/C-5398-2011; Olesen, Arne V/M-3398-2016; Matsuoka, Kenichi/B-7298-2017</t>
  </si>
  <si>
    <t>Siegert, Martin J/0000-0002-0090-4806; Siegert, Martin/0000-0002-0090-4806; Matsuoka, Kenichi/0000-0002-3587-3405; Ferraccioli, Fausto/0000-0002-9347-4736; Forsberg, Rene/0000-0002-7288-9545</t>
  </si>
  <si>
    <t>European Space Agency PolarGAP project; BAS Geology and Geophysics team; Centre for Ice, Climate and Ecosystems (ICE) of the Norwegian Polar Institute; Research Council of Norway (FRINATEK program) [240944]; NSF; DTU Space; NERC [NE/G00465X/3, bas0100034, bas0100029] Funding Source: UKRI</t>
  </si>
  <si>
    <t>European Space Agency PolarGAP project; BAS Geology and Geophysics team; Centre for Ice, Climate and Ecosystems (ICE) of the Norwegian Polar Institute; Research Council of Norway (FRINATEK program)(Research Council of Norway); NSF(National Science Foundation (NSF)); DTU Space; NERC(UK Research &amp; Innovation (UKRI)Natural Environment Research Council (NERC))</t>
  </si>
  <si>
    <t>This work was supported by the European Space Agency PolarGAP project, the BAS Geology and Geophysics team and DTU Space. We acknowledge additional support from the Centre for Ice, Climate and Ecosystems (ICE) of the Norwegian Polar Institute, and from the Research Council of Norway (FRINATEK program #240944). We also thank Norwegian Troll Station, the NSF South Pole Station and British Antarctic Survey for logistic support, in particular Mike Dinn. We thank the NSF funded SPICECORE collaboration for use of selected depth-age values, Carl Robinson for engineering support, Sam Seddon for his work digitising bed elevation values.</t>
  </si>
  <si>
    <t>10.1038/s41598-018-35182-0</t>
  </si>
  <si>
    <t>HA2LF</t>
  </si>
  <si>
    <t>WOS:000450069300006</t>
  </si>
  <si>
    <t>Rowe, S</t>
  </si>
  <si>
    <t>Rowe, Sophie</t>
  </si>
  <si>
    <t>Managing Small Radioactive Collections in the UK: Experiences from the Polar Museum, Cambridge</t>
  </si>
  <si>
    <t>JOURNAL OF CONSERVATION AND MUSEUM STUDIES</t>
  </si>
  <si>
    <t>collections management; radioactive; conservation; UK legislation; radiation; safety</t>
  </si>
  <si>
    <t>Many collections in the UK include some radioactive objects, which must be managed in accordance with the Environmental Permitting Regulations and the Ionising Radiation Regulations. These laws are complex and cover a wide range of industries so it can be difficult to work out how they apply to museums in practice. Museums in the UK also have to consider how to integrate their legal obligations for working with radiation with accepted museum ethical guidelines, SPECTRUM 5.0 and the Accreditation Standard. This paper aims to illustrate how radioactive objects can be practically managed in a small museum context through examples from the Polar Museum in Cambridge, where the Radiation Protection team and the conservator have worked closely since 2009 to develop robust procedures. It covers many collections based activities including display, storage and conservation, and discusses these in the context of recent updates to UK law. A risk assessment template for working with radioactive collections is included as an Appendix.</t>
  </si>
  <si>
    <t>[Rowe, Sophie] Univ Cambridge, Cambridge, England</t>
  </si>
  <si>
    <t>University of Cambridge</t>
  </si>
  <si>
    <t>Rowe, S (corresponding author), Univ Cambridge, Cambridge, England.</t>
  </si>
  <si>
    <t>rswr2@cam.ac.uk</t>
  </si>
  <si>
    <t>Rowe, Sophie/0000-0001-6693-2394</t>
  </si>
  <si>
    <t>United Kingdom Antarctic Heritage Trust</t>
  </si>
  <si>
    <t>The author's post is funded by the United Kingdom Antarctic Heritage Trust.</t>
  </si>
  <si>
    <t>UBIQUITY PRESS LTD</t>
  </si>
  <si>
    <t>2N, 6 OSBORNE ST, LONDON, E1 6TD, ENGLAND</t>
  </si>
  <si>
    <t>2049-4572</t>
  </si>
  <si>
    <t>1364-0429</t>
  </si>
  <si>
    <t>J CONSERV MUS STUD</t>
  </si>
  <si>
    <t>J. Conserv. Mus. Stud.</t>
  </si>
  <si>
    <t>10.5334/jcms.166</t>
  </si>
  <si>
    <t>HB5YL</t>
  </si>
  <si>
    <t>WOS:000451139900001</t>
  </si>
  <si>
    <t>Thomas, ZA; Jones, RT; Fogwill, CJ; Hatton, J; Williams, AN; Mooney, S; Jones, P; Lister, D; Mayewski, P; Turney, CSM; Hogg, A</t>
  </si>
  <si>
    <t>Thomas, Zoe A.; Jones, Richard T.; Fogwill, Chris J.; Hatton, Jackie; Williams, Alan N.; Mooney, Scott; Jones, Philip; Lister, David; Mayewski, Paul; Turney, Chris S. M.; Hogg, Alan</t>
  </si>
  <si>
    <t>Evidence for increased expression of the Amundsen Sea Low over the South Atlantic during the late Holocene</t>
  </si>
  <si>
    <t>FALKLAND ISLANDS; ANNULAR MODE; ENVIRONMENTAL-CHANGE; ANTARCTIC PENINSULA; LATE PLEISTOCENE; WEST ANTARCTICA; EL-NINO; CLIMATE; VARIABILITY; TRENDS</t>
  </si>
  <si>
    <t>The Amundsen Sea Low (ASL) plays a major role in the climate and environment of Antarctica and the Southern Ocean, including surface air temperature and sea ice concentration changes. Unfortunately, a relative dearth of observational data across the Amundsen and Bellingshausen seas prior to the satellite era (post-1979) limits our understanding of the past behaviour and impact of the ASL. The limited proxy evidence for changes in the ASL are primarily restricted to the Antarctic where ice core evidence suggests a deepening of the atmospheric pressure system during the late Holocene. However, no data have previously been reported from the northern side of the ASL. Here we report a highresolution, multi-proxy study of a 5000-year-long peat record from the Falkland Islands, a location sensitive to contemporary ASL dynamics which modulates northerly and westerly airflow across the southwestern South Atlantic sector of the Southern Ocean. In combination with climate reanalysis, we find a marked period of wetter, colder conditions most likely the result of enhanced southerly airflow between 5000 and 2500 years ago, suggesting limited ASL influence over the region. After 2500 years ago, drier and warmer conditions were established, implying more westerly airflow and the increased projection of the ASL onto the South Atlantic. The possible role of the equatorial Pacific via atmospheric teleconnections in driving this change is discussed. Our results are in agreement with Antarctic ice core records and fjord sediments from the southern South American coast, and suggest that the Falkland Islands provide a valuable location for reconstructing high southern latitude atmospheric circulation changes on multi-decadal to millennial timescales.</t>
  </si>
  <si>
    <t>[Thomas, Zoe A.; Fogwill, Chris J.; Jones, Philip] Univ New South Wales, Palaeontol Geobiol &amp; Earth Arch Res Ctr, Sch Biol Earth &amp; Environm Sci, Sydney, NSW, Australia; [Thomas, Zoe A.; Fogwill, Chris J.; Williams, Alan N.] Univ New South Wales, Climate Change Res Ctr, Sch Biol Earth &amp; Environm Sci, Sydney, NSW, Australia; [Thomas, Zoe A.; Williams, Alan N.] Univ New South Wales, Sch Biol Earth &amp; Environm Sci, ARC Ctr Excellence Australian Biodivers &amp; Heritag, Sydney, NSW, Australia; [Jones, Richard T.; Hatton, Jackie] Exeter Univ, Dept Geog, Exeter EX4 4RJ, Devon, England; [Fogwill, Chris J.] Keele Univ, Sch Geog Geol &amp; Environm, Keele ST5 5BG, Staffs, England; [Williams, Alan N.] Extent Heritage Pty Ltd, 3-73 Union St, Pyrmont, NSW 2009, Australia; [Mooney, Scott; Hogg, Alan] Univ Waikato, Waikato Radiocarbon Dating Lab, Private Bag 3105, Hamilton, New Zealand; [Lister, David; Mayewski, Paul] Univ East Anglia, Sch Environm Sci, Climat Res Unit, Norwich, Norfolk, England; [Turney, Chris S. M.] Univ Maine, Climate Change Inst, Orono, ME USA</t>
  </si>
  <si>
    <t>University of New South Wales Sydney; University of New South Wales Sydney; University of New South Wales Sydney; University of Exeter; Keele University; University of Waikato; University of East Anglia; University of Maine System; University of Maine Orono</t>
  </si>
  <si>
    <t>Thomas, ZA (corresponding author), Univ New South Wales, Palaeontol Geobiol &amp; Earth Arch Res Ctr, Sch Biol Earth &amp; Environm Sci, Sydney, NSW, Australia.;Thomas, ZA (corresponding author), Univ New South Wales, Climate Change Res Ctr, Sch Biol Earth &amp; Environm Sci, Sydney, NSW, Australia.;Thomas, ZA (corresponding author), Univ New South Wales, Sch Biol Earth &amp; Environm Sci, ARC Ctr Excellence Australian Biodivers &amp; Heritag, Sydney, NSW, Australia.</t>
  </si>
  <si>
    <t>z.thomas@unsw.edu.au</t>
  </si>
  <si>
    <t>Mayewski, Paul Andrew/HRD-6969-2023; CABAH, ARC/T-6419-2019; Jones, Philip Douglas/C-8718-2009; Fogwill, Christopher/HPF-1150-2023; Mooney, Scott/M-5192-2019; Hogg, Alan G/M-8427-2014; Fogwill, Chris/AAW-3502-2021; Turney, Chris S M/P-8701-2018; Thomas, Zoe/D-1656-2016</t>
  </si>
  <si>
    <t>Jones, Philip Douglas/0000-0001-5032-5493; Mooney, Scott/0000-0003-4449-5060; Fogwill, Chris/0000-0002-6471-1106; Thomas, Zoe/0000-0002-2323-4366</t>
  </si>
  <si>
    <t>Australian Research Council [FL100100195, DP130104156]; Australian Research Council [FL100100195] Funding Source: Australian Research Council</t>
  </si>
  <si>
    <t>Australian Research Council(Australian Research Council); Australian Research Council(Australian Research Council)</t>
  </si>
  <si>
    <t>We would like to acknowledge the incredible debt we owe to our close friend and colleague Richard T. Jones without whom this work would not have been possible. We miss you Richard. This project was supported by the Australian Research Council (grant no. FL100100195 and DP130104156). We thank the Falkland Islands Government for permission to undertake sampling on the island (permit number R07/2011) and Darren Christie for assisting with the fieldwork. We thank two anonymous reviewers for their constructive comments on an earlier version of this manuscript.</t>
  </si>
  <si>
    <t>NOV 13</t>
  </si>
  <si>
    <t>10.5194/cp-14-1727-2018</t>
  </si>
  <si>
    <t>HA3TY</t>
  </si>
  <si>
    <t>Green Submitted, Green Accepted, gold</t>
  </si>
  <si>
    <t>WOS:000450179800001</t>
  </si>
  <si>
    <t>Revell, LE; Stenke, A; Tummon, F; Feinberg, A; Rozanov, E; Peter, T; Abraham, NL; Akiyoshi, H; Archibald, AT; Butchart, N; Deushi, M; Jöckel, P; Kinnison, D; Michou, M; Morgenstern, O; O'Connor, FM; Oman, LD; Pitari, G; Plummer, DA; Schofield, R; Stone, K; Tilmes, S; Visioni, D; Yamashita, Y; Zeng, G</t>
  </si>
  <si>
    <t>Revell, Laura E.; Stenke, Andrea; Tummon, Fiona; Feinberg, Aryeh; Rozanov, Eugene; Peter, Thomas; Abraham, N. Luke; Akiyoshi, Hideharu; Archibald, Alexander T.; Butchart, Neal; Deushi, Makoto; Joeckel, Patrick; Kinnison, Douglas; Michou, Martine; Morgenstern, Olaf; O'Connor, Fiona M.; Oman, Luke D.; Pitari, Giovanni; Plummer, David A.; Schofield, Robyn; Stone, Kane; Tilmes, Simone; Visioni, Daniele; Yamashita, Yousuke; Zeng, Guang</t>
  </si>
  <si>
    <t>Tropospheric ozone in CCMI models and Gaussian process emulation to understand biases in the SOCOLv3 chemistry-climate model</t>
  </si>
  <si>
    <t>ATMOSPHERIC CHEMISTRY; DRY DEPOSITION; REACTIVE GASES; EMISSIONS; SENSITIVITY; AEROSOLS; TRANSPORT; NOX; AIR; PARAMETERIZATION</t>
  </si>
  <si>
    <t>Previous multi-model intercomparisons have shown that chemistry-climate models exhibit significant biases in tropospheric ozone compared with observations. We investigate annual-mean tropospheric column ozone in 15 models participating in the SPARC- IGAC (Stratosphere-troposphere Processes And their Role in Climate-International Global Atmospheric Chemistry) Chemistry-Climate Model Initiative (CCMI). These models exhibit a positive bias, on average, of up to 40 %-50 % in the Northern Hemisphere compared with observations derived from the Ozone Monitoring Instrument and Microwave Limb Sounder (OMI/MLS), and a negative bias of up to similar to 30 % in the Southern Hemisphere. SOCOLv3.0 (version 3 of the Solar-Climate Ozone Links CCM), which participated in CCMI, simulates global-mean tropospheric ozone columns of 40.2 DU - approximately 33 % larger than the CCMI multi-model mean. Here we introduce an updated version of SOCOLv3.0, SOCOLv3.1, which includes an improved treatment of ozone sink processes, and results in a reduction in the tropospheric column ozone bias of up to 8 DU, mostly due to the inclusion of N2O5 hydrolysis on tropospheric aerosols. As a result of these developments, tropospheric column ozone amounts simulated by SOCOLv3.1 are comparable with several other CCMI models. We apply Gaussian process emulation and sensitivity analysis to understand the remaining ozone bias in SOCOLv3.1. This shows that ozone precursors (nitrogen oxides (NOx), carbon monoxide, methane and other volatile organic compounds, VOCs) are responsible for more than 90 % of the variance in tropospheric ozone. However, it may not be the emissions inventories themselves that result in the bias, but how the emissions are handled in SOCOLv3.1, and we discuss this in the wider context of the other CCMI models. Given that the emissions data set to be used for phase 6 of the Coupled Model Intercomparison Project includes approximately 20 % more NOx than the data set used for CCMI, further work is urgently needed to address the challenges of simulating sub-grid processes of importance to tropospheric ozone in the current generation of chemistry-climate models.</t>
  </si>
  <si>
    <t>[Revell, Laura E.] Univ Canterbury, Sch Phys &amp; Chem Sci, Christchurch, New Zealand; [Revell, Laura E.; Stenke, Andrea; Tummon, Fiona; Feinberg, Aryeh; Rozanov, Eugene; Peter, Thomas] Swiss Fed Inst Technol, Inst Atmospher &amp; Climate Sci, Zurich, Switzerland; [Revell, Laura E.] Bodeker Sci, Christchurch, New Zealand; [Rozanov, Eugene] World Radiat Ctr, Phys Meteorol Observ, Davos, Switzerland; [Abraham, N. Luke; Archibald, Alexander T.] Univ Cambridge, Dept Chem, Cambridge, England; [Abraham, N. Luke; Archibald, Alexander T.] NCAS, Cambridge, England; [Akiyoshi, Hideharu; Yamashita, Yousuke] NIES, Tsukuba, Ibaraki, Japan; [Butchart, Neal; O'Connor, Fiona M.] MOHC, Exeter, Devon, England; [Deushi, Makoto] Mission Res Inc, Tsukuba, Ibaraki, Japan; [Joeckel, Patrick] Deutsch Zentrum Luft &amp; Raumfahrt DLR, Inst Phys Atmosphare, Oberpfaffenhofen, Germany; [Kinnison, Douglas; Tilmes, Simone] NCAR, POB 3000, Boulder, CO 80307 USA; [Michou, Martine] CNRS, Meteo France, CNRM UMR 3589, Toulouse, France; [Morgenstern, Olaf; Zeng, Guang] Natl Inst Water &amp; Atmospher Res NIWA, Wellington, New Zealand; [Oman, Luke D.] NASA, GSFC, Greenbelt, MD USA; [Pitari, Giovanni; Visioni, Daniele] Univ Aquila, Dept Phys &amp; Chem Sci, Laquila, Italy; [Plummer, David A.] Environm &amp; Climate Change Canada, Montreal, PQ, Canada; [Schofield, Robyn; Stone, Kane] Univ Melbourne, Sch Earth Sci, Melbourne, Vic, Australia; [Schofield, Robyn; Stone, Kane] Univ New South Wales, ARC Ctr Excellence Climate Syst Sci, Sydney, NSW, Australia; [Tummon, Fiona] Univ Tromso, Biosci Fisheries &amp; Econ Fac, Tromso, Norway; [Stone, Kane] MIT, Dept Earth Atmospher &amp; Planetary Sci, Cambridge, MA USA; [Yamashita, Yousuke] Japan Agcy Marine Earth Sci &amp; Technol JAMSTEC, Yokohama, Kanagawa, Japan; [Visioni, Daniele] Cornell Univ, Sibley Sch Mech &amp; Aerosp Engn, Ithaca, NY 14853 USA</t>
  </si>
  <si>
    <t>University of Canterbury; Swiss Federal Institutes of Technology Domain; ETH Zurich; University of Cambridge; University of Cambridge; National Institute for Environmental Studies - Japan; Met Office - UK; Hadley Centre; Helmholtz Association; German Aerospace Centre (DLR); National Center Atmospheric Research (NCAR) - USA; Centre National de la Recherche Scientifique (CNRS); CNRS - National Institute for Earth Sciences &amp; Astronomy (INSU); Meteo France; National Institute of Water &amp; Atmospheric Research (NIWA) - New Zealand; National Aeronautics &amp; Space Administration (NASA); NASA Goddard Space Flight Center; University of L'Aquila; Environment &amp; Climate Change Canada; University of Melbourne; Melbourne Bioinformatics; University of New South Wales Sydney; ARC Centre of Excellence for Climate System Science; UiT The Arctic University of Tromso; Massachusetts Institute of Technology (MIT); Japan Agency for Marine-Earth Science &amp; Technology (JAMSTEC); Cornell University</t>
  </si>
  <si>
    <t>Revell, LE (corresponding author), Univ Canterbury, Sch Phys &amp; Chem Sci, Christchurch, New Zealand.;Revell, LE (corresponding author), Swiss Fed Inst Technol, Inst Atmospher &amp; Climate Sci, Zurich, Switzerland.;Revell, LE (corresponding author), Bodeker Sci, Christchurch, New Zealand.</t>
  </si>
  <si>
    <t>laura.revell@canterbury.ac.nz</t>
  </si>
  <si>
    <t>Jöckel, Patrick/C-3687-2009; Peter, Thomas/B-2529-2018; Pitari, Giovanni/O-7458-2016; Tilmes, Simone/JUV-6618-2023; Revell, Laura/ABG-7040-2020; Rozanov, Eugene/V-1881-2018; Stenke, Andrea/GYJ-6299-2022; Oman, Luke D/C-2778-2009; Feinberg, Aryeh/HJB-2992-2022; Schofield, Robyn/A-4062-2010; Yamashita, Yousuke/AAB-4754-2019; Visioni, Daniele/O-7824-2016; Akiyoshi, Hideharu/H-8170-2018; Archibald, Alexander/GRR-5452-2022</t>
  </si>
  <si>
    <t>Jöckel, Patrick/0000-0002-8964-1394; Peter, Thomas/0000-0002-7218-7156; Tilmes, Simone/0000-0002-6557-3569; Revell, Laura/0000-0002-8974-7703; Rozanov, Eugene/0000-0003-0479-4488; Schofield, Robyn/0000-0002-4230-717X; Yamashita, Yousuke/0000-0002-6813-4668; Visioni, Daniele/0000-0002-7342-2189; Feinberg, Aryeh/0000-0001-5325-4731; Abraham, Nathan Luke/0000-0003-3750-3544; O'Connor, Fiona/0000-0003-2893-4828; Tummon, Fiona/0000-0002-6459-339X; Morgenstern, Olaf/0000-0002-9967-9740; Deushi, Makoto/0000-0002-0373-3918; Zeng, Guang/0000-0002-9356-5021; Archibald, Alexander/0000-0001-9302-4180; Akiyoshi, Hideharu/0000-0001-6463-9004; Stenke, Andrea/0000-0002-5916-4013</t>
  </si>
  <si>
    <t>Bundesministerium fur Bildung und Forschung (BMBF); New Zealand government's Strategic Science Investment Fund (SSIF) through the NIWA programme CACV; New Zealand Royal Society Marsden Fund [12-NIW-006]; NeSI's collaborator institutions; Ministry of Business, Innovation and Employment's Research Infrastructure programme; SNSF [20F121_138017]; Australian Research Council's Centre of Excellence for Climate System Science [CE110001028]; Australian government's National Computational Merit Allocation Scheme [q90]; Australian Antarctic science grant program [FoRCES 4012]; Joint UK BEIS-Defra Met Office Hadley Centre Climate Programme [GA01101]; European Commission's Seventh Framework Programme StratoClim project [603557]; Environment Research and Technology Development Fund of the Ministry of the Environment, Japan [2-1303, 2-1709]; China Southern; NERC [NE/R015244/1, ncas10003] Funding Source: UKRI</t>
  </si>
  <si>
    <t>Bundesministerium fur Bildung und Forschung (BMBF)(Federal Ministry of Education &amp; Research (BMBF)); New Zealand government's Strategic Science Investment Fund (SSIF) through the NIWA programme CACV; New Zealand Royal Society Marsden Fund(Royal Society of New ZealandMarsden Fund (NZ)); NeSI's collaborator institutions; Ministry of Business, Innovation and Employment's Research Infrastructure programme(New Zealand Ministry of Business, Innovation and Employment (MBIE)); SNSF(Swiss National Science Foundation (SNSF)); Australian Research Council's Centre of Excellence for Climate System Science(Australian Research Council); Australian government's National Computational Merit Allocation Scheme(Australian Government); Australian Antarctic science grant program; Joint UK BEIS-Defra Met Office Hadley Centre Climate Programme; European Commission's Seventh Framework Programme StratoClim project; Environment Research and Technology Development Fund of the Ministry of the Environment, Japan(Ministry of the Environment, Japan); China Southern; NERC(UK Research &amp; Innovation (UKRI)Natural Environment Research Council (NERC))</t>
  </si>
  <si>
    <t>We acknowledge the modelling groups for making their simulations available for this analysis, the joint WCRP SPARC-IGAC Chemistry-Climate Model Initiative (CCMI) for organizing and coordinating the model data analysis activity and the British Atmospheric Data Centre (BADC) for collecting and archiving the CCMI model output. The EMAC simulations were performed at the German Climate Computing Centre (DKRZ) through support from the Bundesministerium fur Bildung und Forschung (BMBF). DKRZ and its scientific steering committee are gratefully acknowledged for providing the HPC and data archiving resources for this consortial project ESCiMo (Earth System Chemistry integrated Modelling). We acknowledge the UK Met Office for use of the MetUM. This research was partially supported by the New Zealand government's Strategic Science Investment Fund (SSIF) through the NIWA programme CACV. Olaf Morgenstern acknowledges funding by the New Zealand Royal Society Marsden Fund (grant 12-NIW-006). The authors wish to acknowledge the contribution of NeSI high-performance computing facilities to the results of this research. New Zealand's national facilities are provided by the New Zealand eScience Infrastructure (NeSI) and funded jointly by NeSI's collaborator institutions and through the Ministry of Business, Innovation and Employment's Research Infrastructure programme (https://www.nesi.org.nz, last access: 11 November 2018). Fiona Tummon was supported by SNSF grant number 20F121_138017. ACCESS-CCM runs were supported by the Australian Research Council's Centre of Excellence for Climate System Science (CE110001028), the Australian government's National Computational Merit Allocation Scheme (q90) and the Australian Antarctic science grant program (FoRCES 4012). The HadGEM3-ES simulations from the Met Office were supported by the Joint UK BEIS-Defra Met Office Hadley Centre Climate Programme (GA01101) and the European Commission's Seventh Framework Programme StratoClim project (grant agreement 603557). CCSRNIES research was supported by the Environment Research and Technology Development Fund (2-1303 and 2-1709) of the Ministry of the Environment, Japan, and computations were performed on NEC-SX9/A(ECO) computers at the CGER, NIES. UMUKCA-UCAM model integrations were performed using the ARCHER UK National Supercomputing Service and MONSooN system, a collaborative facility supplied under the Joint Weather and Climate Research Programme, which is a strategic partnership between the UK Met Office and the Natural Environment Research Council. Laura E. Revell thanks China Southern for partial support. The authors thank Edmund Ryan and one anonymous reviewer for their helpful and constructive comments.</t>
  </si>
  <si>
    <t>10.5194/acp-18-16155-2018</t>
  </si>
  <si>
    <t>HA1SS</t>
  </si>
  <si>
    <t>Green Published, gold, Green Submitted, Green Accepted</t>
  </si>
  <si>
    <t>WOS:000450003300001</t>
  </si>
  <si>
    <t>Schlegel, NJ; Seroussi, H; Schodlok, MP; Larour, EY; Boening, C; Limonadi, D; Watkins, MM; Morlighem, M; van den Broeke, MR</t>
  </si>
  <si>
    <t>Schlegel, Nicole-Jeanne; Seroussi, Helene; Schodlok, Michael P.; Larour, Eric Y.; Boening, Carmen; Limonadi, Daniel; Watkins, Michael M.; Morlighem, Mathieu; van den Broeke, Michiel R.</t>
  </si>
  <si>
    <t>Exploration of Antarctic Ice Sheet 100-year contribution to sea level rise and associated model uncertainties using the ISSM framework</t>
  </si>
  <si>
    <t>GROUNDING LINE RETREAT; SURFACE MASS-BALANCE; WEST ANTARCTICA; PINE ISLAND; NORTHEAST GREENLAND; BED TOPOGRAPHY; SHELF; FLOW; GLACIER; SENSITIVITY</t>
  </si>
  <si>
    <t>Estimating the future evolution of the Antarctic Ice Sheet (AIS) is critical for improving future sea level rise (SLR) projections. Numerical ice sheet models are invaluable tools for bounding Antarctic vulnerability; yet, few continental-scale projections of century-scale AIS SLR contribution exist, and those that do vary by up to an order of magnitude. This is partly because model projections of future sea level are inherently uncertain and depend largely on the model's boundary conditions and climate forcing, which themselves are unknown due to the uncertainty in the projections of future anthropogenic emissions and subsequent climate response. Here, we aim to improve the understanding of how uncertainties in model forcing and boundary conditions affect ice sheet model simulations. With use of sampling techniques embedded within the Ice Sheet System Model (ISSM) framework, we assess how uncertainties in snow accumulation, ocean-induced melting, ice viscosity, basal friction, bedrock elevation, and the presence of ice shelves impact continental-scale 100-year model simulations of AIS future sea level contribution. Overall, we find that AIS sea level contribution is strongly affected by grounding line retreat, which is driven by the magnitude of ice shelf basal melt rates and by variations in bedrock topography. In addition, we find that over 1.2 m of AIS global mean sea level contribution over the next century is achievable, but not likely, as it is tenable only in response to unrealistically large melt rates and continental ice shelf collapse. Regionally, we find that under our most extreme 100-year warming experiment generalized for the entire ice sheet, the Amundsen Sea sector is the most significant source of model uncertainty (1032 mm 6 sigma spread) and the region with the largest potential for future sea level contribution (297 mm) In contrast, under a more plausible forcing informed regionally by literature and model sensitivity studies, the Ronne basin has a greater potential for local increases in ice shelf basal melt rates. As a result, under this more likely realization, where warm waters reach the continental shelf under the Ronne ice shelf, it is the Ronne basin, particularly the Evans and Rutford ice streams, that are the greatest contributors to potential SLR (161 mm) and to simulation uncertainty (420 mm 6 sigma spread).</t>
  </si>
  <si>
    <t>[Schlegel, Nicole-Jeanne; Seroussi, Helene; Schodlok, Michael P.; Larour, Eric Y.; Boening, Carmen; Limonadi, Daniel; Watkins, Michael M.] CALTECH, Jet Prop Lab, 4800 Oak Grove Dr, Pasadena, CA 91109 USA; [Morlighem, Mathieu] Univ Calif Irvine, Dept Earth Syst Sci, Irvine, CA USA; [van den Broeke, Michiel R.] Univ Utrecht, Inst Marine &amp; Atmospher Res Utrecht IMAU, Utrecht, Netherlands</t>
  </si>
  <si>
    <t>National Aeronautics &amp; Space Administration (NASA); NASA Jet Propulsion Laboratory (JPL); California Institute of Technology; University of California System; University of California Irvine; Utrecht University</t>
  </si>
  <si>
    <t>Schlegel, NJ (corresponding author), CALTECH, Jet Prop Lab, 4800 Oak Grove Dr, Pasadena, CA 91109 USA.</t>
  </si>
  <si>
    <t>schlegel@jpl.nasa.gov</t>
  </si>
  <si>
    <t>Van den Broeke, Michiel R./F-7867-2011; Morlighem, Mathieu/O-9942-2014; Seroussi, Helene/AAX-5342-2021</t>
  </si>
  <si>
    <t>Van den Broeke, Michiel R./0000-0003-4662-7565; Morlighem, Mathieu/0000-0001-5219-1310; Seroussi, Helene/0000-0001-9201-1644; Blackwood, Carmen/0000-0003-0823-1949; Limonadi, Daniel/0000-0001-8736-4461; Schlegel, Nicole-Jeanne/0000-0001-8035-448X</t>
  </si>
  <si>
    <t>Jet Propulsion Laboratory Research Technology and Development; NASA Cryospheric Science, Interdisciplinary Research in Earth Science and Modeling, Analysis and Prediction (MAP) programs; NASA Advanced Supercomputing Division; Netherlands Earth System Science Centre (NESSC)</t>
  </si>
  <si>
    <t>The research was carried out at the Jet Propulsion Laboratory, California Institute of Technology, under a contract with the National Aeronautics and Space Administration. Funding was provided by grants from Jet Propulsion Laboratory Research Technology and Development and from NASA Cryospheric Science, Interdisciplinary Research in Earth Science and Modeling, Analysis and Prediction (MAP) programs. We gratefully acknowledge computational resources and support from the NASA Advanced Supercomputing Division. Michiel R. van den Broeke acknowledges support from the Netherlands Earth System Science Centre (NESSC). This work was made possible through model development of the ISSM team. The authors would also like to thank Amy Braverman for her statistical insight and discussions on model uncertainty.</t>
  </si>
  <si>
    <t>NOV 12</t>
  </si>
  <si>
    <t>10.5194/tc-12-3511-2018</t>
  </si>
  <si>
    <t>GZ9AP</t>
  </si>
  <si>
    <t>WOS:000449788800001</t>
  </si>
  <si>
    <t>Chenoli, SN; Turner, J; Abu Samah, A</t>
  </si>
  <si>
    <t>Chenoli, Sheeba Nettukandy; Turner, John; Abu Samah, Azizan</t>
  </si>
  <si>
    <t>Effects of vertically propagating mountain waves during a strong wind event over the Ross Ice Shelf, Antarctica</t>
  </si>
  <si>
    <t>CURRENT SCIENCE</t>
  </si>
  <si>
    <t>Katabatic wind; mesoscale model; mountain wave; strong wind events</t>
  </si>
  <si>
    <t>Weather forecasting in the Antarctic presents many challenges, with strong wind events (SWEs) often disrupting air and field operations. Here, we study the mechanisms responsible for a SWE (maximum wind speed 22 ms(-1)) that occurred at the McMurdo/Scott Base region on the Ross Ice Shelf (Antarctica) over 12-13 October 2003. The study is based on in situ observations, satellite imagery and output from the Antarctic mesoscale prediction system (AMPS) model. The event occurred during the passage of a complex low pressure system that increased the pressure gradient between the northwest Ross Ice Shelf and the continental high, initiating a strong southerly flow. AMPS simulations as well as upper air sounding profiles from McMurdo station showed the involvement of large amplitude vertically propagating mountain waves over the area. The amplification of mountain waves by the self-induced critical level reflected all the energy back towards the surface to generate high downslope winds.</t>
  </si>
  <si>
    <t>[Chenoli, Sheeba Nettukandy; Abu Samah, Azizan] Univ Malaya, Fac Arts &amp; Social Sci, Dept Geog, Kuala Lumpur, Malaysia; [Chenoli, Sheeba Nettukandy; Abu Samah, Azizan] Univ Malaya, Inst Grad Studies, Natl Antarctic Res Ctr, Kuala Lumpur, Malaysia; [Chenoli, Sheeba Nettukandy; Abu Samah, Azizan] Univ Malaya, Inst Ocean &amp; Earth Sci, Kuala Lumpur, Malaysia; [Turner, John] British Antarctic Survey, Cambridge, England</t>
  </si>
  <si>
    <t>Universiti Malaya; Universiti Malaya; Universiti Malaya; UK Research &amp; Innovation (UKRI); Natural Environment Research Council (NERC); NERC British Antarctic Survey</t>
  </si>
  <si>
    <t>Chenoli, SN (corresponding author), Univ Malaya, Fac Arts &amp; Social Sci, Dept Geog, Kuala Lumpur, Malaysia.;Chenoli, SN (corresponding author), Univ Malaya, Inst Grad Studies, Natl Antarctic Res Ctr, Kuala Lumpur, Malaysia.;Chenoli, SN (corresponding author), Univ Malaya, Inst Ocean &amp; Earth Sci, Kuala Lumpur, Malaysia.</t>
  </si>
  <si>
    <t>sheeba@um.edu.my</t>
  </si>
  <si>
    <t>ABU SAMAH, AZIZAN HJ/B-8295-2010; Chenoli, Sheeba Nettukandy/G-6726-2012</t>
  </si>
  <si>
    <t>Ministry of Science Technology and Innovation (MOSTI) [FP1213E037]; University of Malaya Research Grant [RP002B-13SUS, RP026D-18SUS]; Malaysian Antarctic Research Program, Academy of Sciences, Malaysia (ASM); NSF [ANT-0636873, ANT-0838834]</t>
  </si>
  <si>
    <t>Ministry of Science Technology and Innovation (MOSTI)(Ministry of Energy, Science, Technology, Environment and Climate Change (MESTECC), Malaysia); University of Malaya Research Grant; Malaysian Antarctic Research Program, Academy of Sciences, Malaysia (ASM); NSF(National Science Foundation (NSF))</t>
  </si>
  <si>
    <t>This study was supported by the Ministry of Science Technology and Innovation (MOSTI) Grant FP1213E037, University of Malaya Research Grant (RP002B-13SUS and RP026D-18SUS) and Malaysian Antarctic Research Program, Academy of Sciences, Malaysia (ASM). The authors appreciate the support of the Automatic Weather Station Program for the data and information (Dr Matthew Lazzara, AMRC staff) NSF grants number ANT-0636873 and ANT-0838834.</t>
  </si>
  <si>
    <t>0011-3891</t>
  </si>
  <si>
    <t>CURR SCI INDIA</t>
  </si>
  <si>
    <t>Curr. Sci.</t>
  </si>
  <si>
    <t>NOV 10</t>
  </si>
  <si>
    <t>10.18520/cs/v115/i9/1684-1689</t>
  </si>
  <si>
    <t>GZ6AU</t>
  </si>
  <si>
    <t>WOS:000449515300025</t>
  </si>
  <si>
    <t>Lim, PPJ; Newsham, KK; Convey, P; Gan, HM; Yew, WC; Tan, GYA</t>
  </si>
  <si>
    <t>Lim, P. P. J.; Newsham, K. K.; Convey, P.; Gan, H. M.; Yew, W. C.; Tan, G. Y. A.</t>
  </si>
  <si>
    <t>Effects of field warming on a High Arctic soil bacterial community: a metagenomic analysis</t>
  </si>
  <si>
    <t>Arctic soil bacterial diversity; high throughput sequencing; open top chambers; Svalbard</t>
  </si>
  <si>
    <t>TEMPERATURE; ECOSYSTEMS</t>
  </si>
  <si>
    <t>Soil microbial communities in the Arctic, one of the most rapidly warming regions on Earth, play an important role in a range of ecological processes. This report describes initial studies of natural soil bacterial diversity at a High Arctic site on Svalbard, as part of a long-term field environmental manipulation study. The impact of increased soil temperature and water availability on soil microbial communities was investigated. The manipulation experiment, using open-top chambers, was installed in late summer 2014, and the soils were sampled soon after snow melt in July 2015. High throughput sequencing of 16S rRNA genes showed relatively uniform diversity across the study area and revealed no significant initial effect of treatments on bacterial communities over the first 10-month autumn-winter-spring manipulation period.</t>
  </si>
  <si>
    <t>[Lim, P. P. J.; Convey, P.; Yew, W. C.; Tan, G. Y. A.] Univ Malaya, Natl Antarctic Res Ctr, Kuala Lumpur 50603, Malaysia; [Lim, P. P. J.; Convey, P.; Yew, W. C.; Tan, G. Y. A.] Univ Malaya, Inst Biol Sci, Kuala Lumpur 50603, Malaysia; [Newsham, K. K.; Convey, P.] British Antarctic Survey, NERC, Madingley Rd, Cambridge CB3 OET, England; [Gan, H. M.] Monash Univ Malaysia, Sch Sci, Jalan Lagoon Selatan, Bandar Sunway 47500, Subang Jaya, Malaysia; [Gan, H. M.] Monash Univ Malaysia, Genom Facil, Jalan Lagoon Selatan, Bandar Sunway 47500, Subang Jaya, Malaysia; [Gan, H. M.] Deakin Univ, Ctr Integrat Ecol, Sch Life &amp; Environm Sci, Geelong, Vic 3220, Australia</t>
  </si>
  <si>
    <t>Universiti Malaya; Universiti Malaya; UK Research &amp; Innovation (UKRI); Natural Environment Research Council (NERC); NERC British Antarctic Survey; Monash University; Monash University Malaysia; Monash University; Monash University Malaysia; Deakin University</t>
  </si>
  <si>
    <t>Tan, GYA (corresponding author), Univ Malaya, Natl Antarctic Res Ctr, Kuala Lumpur 50603, Malaysia.;Tan, GYA (corresponding author), Univ Malaya, Inst Biol Sci, Kuala Lumpur 50603, Malaysia.</t>
  </si>
  <si>
    <t>gyatan@um.edu.my</t>
  </si>
  <si>
    <t>Convey, Peter/AAV-5728-2020; Tan, Geok Yuan Annie/B-7996-2009; Gan, Han Ming/AAF-9519-2019</t>
  </si>
  <si>
    <t>Convey, Peter/0000-0001-8497-9903; Gan, Han Ming/0000-0001-7987-738X</t>
  </si>
  <si>
    <t>NERC; UMRG [RP002E-13SUS, RP007-2012D]; MOSTI Flagship Grant [FP0712E012]; NERC [NE/R017042/1] Funding Source: UKRI</t>
  </si>
  <si>
    <t>NERC(UK Research &amp; Innovation (UKRI)Natural Environment Research Council (NERC)); UMRG; MOSTI Flagship Grant; NERC(UK Research &amp; Innovation (UKRI)Natural Environment Research Council (NERC))</t>
  </si>
  <si>
    <t>We thank Elise Biersma and Nick Cox (British Antarctic Survey) for assistance in sample collection, and Lee Li Sin (University of Malaya) for guidance in sequence data analysis. We acknowledge the Governor of Svalbard for permitting the sampling of soils (RIS-ID: 6921). Samples were imported to Malaysia under permit JPK141107021232015. K.K.N. and P.C. are supported by NERC core funding to the BAS 'Biodiversity, Evolution and Adaptation' Team, and P.C. by a Visiting Icon Professorship to the University of Malaya. Funding for this study was provided by UMRG (RP002E-13SUS &amp; RP007-2012D) and the MOSTI Flagship Grant (FP0712E012).</t>
  </si>
  <si>
    <t>10.18520/cs/v115/i9/1697-1700</t>
  </si>
  <si>
    <t>WOS:000449515300028</t>
  </si>
  <si>
    <t>Henschke, N; Pakhomov, EA; Groeneveld, J; Meyer, B</t>
  </si>
  <si>
    <t>Henschke, Natasha; Pakhomov, Evgeny A.; Groeneveld, Juergen; Meyer, Bettina</t>
  </si>
  <si>
    <t>Modelling the life cycle of Salpa thompsoni</t>
  </si>
  <si>
    <t>ECOLOGICAL MODELLING</t>
  </si>
  <si>
    <t>Salp; Salpa thompsoni; Southern Ocean; Zooplankton; Population dynamics</t>
  </si>
  <si>
    <t>THALIA-DEMOCRATICA; ATLANTIC SECTOR; AUSTRAL SUMMER; ANTARCTIC PENINSULA; SOUTHERN-OCEAN; GROWTH-RATES; TUNICATA; SEA; VARIABILITY; KRILL</t>
  </si>
  <si>
    <t>Salpa thompsoni is an important grazer in the Southern Ocean. It is found from the Subtropical Convergence southward to the coastal Antarctic Seas but being most abundant in the Antarctic Polar Frontal Zone. Low temperatures appear to negatively affect their development, limiting their ability to occur in the krill dominated high Antarctic ecosystems. Yet reports indicate that with ocean warming S. thompsoni have experienced a southward shift in their distribution. As they are efficient filter feeders, this shift can result in large-scale changes in the Southern Ocean ecosystem by increasing competitive or predatory interactions with Antarctic krill. To explore salp bloom dynamics in the Southern Ocean a size-structured S. thompsoni population model was developed with growth, consumption, reproduction and mortality rates dependent on temperature and chlorophyll a conditions. The largest uncertainties in S. thompsoni population ecology are individual and population growth rates, with a recent study identifying the possibility that the life cycle could be much shorter than previously considered. Here we run a suite of hypothesis scenarios under various environmental conditions to determine the most appropriate growth rate. Temperature and chlorophyll a were sufficient drivers to recreate seasonal and interannual dynamics of salp populations at two locations. The most suitable growth model suggests that mean S. thompsoni growth rates are likely to be similar to 1 mm body length d(-1), 2-fold higher than previous calculations. S. thompsoni biomass was dependent on bud release time, with larger biomass years corresponding to bud release occurring during favorable environmental conditions; increasing the survival and growth of blastozooids and resulting in higher embryo release. This model confirms that it is necessary for growth and reproductive rates to be flexible in order for the salp population to adapt to varying environmental conditions and provides a framework that can examine how future salp populations might respond to climate change.</t>
  </si>
  <si>
    <t>[Henschke, Natasha; Pakhomov, Evgeny A.] Univ British Columbia, Dept Earth Ocean &amp; Atmospher Sci, Vancouver, BC, Canada; [Pakhomov, Evgeny A.] Univ British Columbia, Inst Oceans &amp; Fisheries, Vancouver, BC, Canada; [Pakhomov, Evgeny A.] Hakai Inst, POB 309, Heriot Bay, BC VOP 1H0, Canada; [Groeneveld, Juergen] Tech Univ Dresden, Inst Forest Growth &amp; Forest Comp Sci, PO 1117, D-01735 Tharandt, Germany; [Groeneveld, Juergen] UFZ Helmholtz Ctr Environm Res, Dept Ecol Modelling, Permoserstr 15, D-4318 Leipzig, Germany; [Meyer, Bettina] Helmholtz Ctr Polar &amp; Marine Res, Sect Polar Biol Oceanog, Alfred Wegener Inst, Handelshafen 12, D-27570 Bremerhaven, Germany; [Meyer, Bettina] Carl von Ossietzky Univ Oldenburg, Inst Chem &amp; Biol Marine Environm, D-26111 Oldenburg, Germany; [Meyer, Bettina] Carl von Ossietzky Univ Oldenburg, Helmholtz Inst Funct Marine Biodivers, Oldenburg, Germany</t>
  </si>
  <si>
    <t>University of British Columbia; University of British Columbia; Hakai Institute; Technische Universitat Dresden; Helmholtz Association; Helmholtz Center for Environmental Research (UFZ); Helmholtz Association; Alfred Wegener Institute, Helmholtz Centre for Polar &amp; Marine Research; Carl von Ossietzky Universitat Oldenburg; Carl von Ossietzky Universitat Oldenburg</t>
  </si>
  <si>
    <t>Henschke, N (corresponding author), Univ British Columbia, Dept Earth Ocean &amp; Atmospher Sci, Vancouver, BC, Canada.</t>
  </si>
  <si>
    <t>nhenschke@eoas.ubc.ca</t>
  </si>
  <si>
    <t>Meyer, Bettina/ABB-5311-2020; Groeneveld, Juergen/N-2420-2016</t>
  </si>
  <si>
    <t>Meyer, Bettina/0000-0001-6804-9896;</t>
  </si>
  <si>
    <t>University of British Columbia; National Sciences and Engineering Research Council (NSERC); Pekris BMBF Project [03F0746B]</t>
  </si>
  <si>
    <t>University of British Columbia; National Sciences and Engineering Research Council (NSERC)(Natural Sciences and Engineering Research Council of Canada (NSERC)); Pekris BMBF Project(Federal Ministry of Education &amp; Research (BMBF))</t>
  </si>
  <si>
    <t>This work was supported by the University of British Columbia. We also thank the National Sciences and Engineering Research Council (NSERC) Discovery Grant awarded to EAP and the Pekris BMBF Project 03F0746B awarded to BM and JG for partial support of this work. We are grateful to the two anonymous reviewers for their insightful comments that helped to clarify this manuscript.</t>
  </si>
  <si>
    <t>0304-3800</t>
  </si>
  <si>
    <t>1872-7026</t>
  </si>
  <si>
    <t>ECOL MODEL</t>
  </si>
  <si>
    <t>Ecol. Model.</t>
  </si>
  <si>
    <t>10.1016/j.ecolmodel.2018.08.017</t>
  </si>
  <si>
    <t>HC2TC</t>
  </si>
  <si>
    <t>WOS:000451653800003</t>
  </si>
  <si>
    <t>Pohanka, M; Zakova, J; Sedlacek, I</t>
  </si>
  <si>
    <t>Pohanka, Miroslav; Zakova, Jitka; Sedlacek, Ivo</t>
  </si>
  <si>
    <t>Digital camera-based lipase biosensor for the determination of paraoxon</t>
  </si>
  <si>
    <t>SENSORS AND ACTUATORS B-CHEMICAL</t>
  </si>
  <si>
    <t>Biosensor; Lipase; Fatty acid; Inhibition; Colorimetry; Phone; Camera; Image analysis; RGB model; Enzyme assay</t>
  </si>
  <si>
    <t>BUTYRYLCHOLINESTERASE ACTIVITY; EXTRACELLULAR LIPASE; ACTIVITY ASSAY; ACETYLCHOLINESTERASE; PURIFICATION; SUBSTRATE; SAMPLES; ESTERS; LIQUID</t>
  </si>
  <si>
    <t>This work is focused on construction of a biosensor containing unique bacterial homogenate with high lipase activity and colorimetric type of assay where camera of a smartphone was chosen as a detector. The biosensor was constructed as a tool of lipase inhibitors and paraoxon served as a representative analyte inhibiting the lipase. Psychrophilic strains of bacteria isolated from in Antarctica were tested and the best isolate P4368 having huge lipase activity was chosen. Tween assay was performed as a standard method for lipase activity determination and indoxylacetate served as a substrate of lipase measurable by smartphone camera and R, G and B color channels digital analysis. Bacteria were homogenized and immobilized on polyvinylidene difluoride membrane and indoxylacetate was immobilized in the proximity of the homogenate. Paraoxon ethyl was analyzed by the standard method and by the camera-based biosensor. The biosensor-based assay was found to determine paraoxon with limit of detection 3.72 x 10(-8) mol/l and IC50 value for paraoxon was 4.00 x 10(-6) mol/l. A volume 5 mu l of sample was sufficient for the assay and the sample was applied directly without any processing. In a conclusion, a simple colorimetric biosensor for the determination of venomous compounds like organophosphorus pesticides and nerve agents was constructed and promising analytical parameters were received during its characterization.</t>
  </si>
  <si>
    <t>[Pohanka, Miroslav; Zakova, Jitka] Univ Def, Fac Mil Hlth Sci, Trebesska 1575, CZ-50001 Hradec Kralove, Czech Republic; [Sedlacek, Ivo] Masaryk Univ, Fac Sci, Czech Collect Microorganisms, Dept Expt Biol, Kamenice 5, Brno 62500, Czech Republic</t>
  </si>
  <si>
    <t>University of Defence - Czech Republic; Masaryk University Brno</t>
  </si>
  <si>
    <t>Pohanka, M (corresponding author), Univ Def, Fac Mil Hlth Sci, Trebesska 1575, CZ-50001 Hradec Kralove, Czech Republic.</t>
  </si>
  <si>
    <t>miroslav.pohanka@gmail.com</t>
  </si>
  <si>
    <t>Pohanka, Miroslav/D-7607-2012; Sedlacek, Ivo/IWU-8828-2023</t>
  </si>
  <si>
    <t>Pohanka, Miroslav/0000-0001-8804-8356;</t>
  </si>
  <si>
    <t>Ministry of Defence of the Czech Republic; Ministry of Education, Youth and Sports of the Czech Republic [LM2015078]; Czech Antarctic Foundation</t>
  </si>
  <si>
    <t>Ministry of Defence of the Czech Republic; Ministry of Education, Youth and Sports of the Czech Republic(Ministry of Education, Youth &amp; Sports - Czech Republic); Czech Antarctic Foundation</t>
  </si>
  <si>
    <t>This work was supported by a Ministry of Defence of the Czech Republic - long-term organization development plan Medical Aspects of Weapons of Mass Destruction of the Faculty of Military Health Sciences, University of Defence. I. S. wish to thank the scientific infrastructure of the J. G. Mendel Czech Antarctic Station, part of the Czech Polar Research Infrastructure (CzechPolar2), and its crew for their assistance, supported by the Ministry of Education, Youth and Sports of the Czech Republic (LM2015078) and the Czech Antarctic Foundation for their support.</t>
  </si>
  <si>
    <t>ELSEVIER SCIENCE SA</t>
  </si>
  <si>
    <t>PO BOX 564, 1001 LAUSANNE, SWITZERLAND</t>
  </si>
  <si>
    <t>0925-4005</t>
  </si>
  <si>
    <t>SENSOR ACTUAT B-CHEM</t>
  </si>
  <si>
    <t>Sens. Actuator B-Chem.</t>
  </si>
  <si>
    <t>10.1016/j.snb.2018.06.084</t>
  </si>
  <si>
    <t>Chemistry, Analytical; Electrochemistry; Instruments &amp; Instrumentation</t>
  </si>
  <si>
    <t>Chemistry; Electrochemistry; Instruments &amp; Instrumentation</t>
  </si>
  <si>
    <t>GQ2WD</t>
  </si>
  <si>
    <t>WOS:000441519000076</t>
  </si>
  <si>
    <t>Kim, JE; Kim, JH; Jee, G; Lee, C; Kwon, HJ; Ham, YB; Bullett, T; Wu, Q; Mabie, J; Zabotin, N</t>
  </si>
  <si>
    <t>Kim, Ji Eun; Kim, Jeong-Han; Jee, Geonhwa; Lee, Changsup; Kwon, Hyuck-Jin; Ham, Young-Bae; Bullett, Terence; Wu, Qian; Mabie, Justin; Zabotin, Nikolay</t>
  </si>
  <si>
    <t>Ground-based observations for the upper atmosphere at Jang Bogo Station, Antarctica: preliminary results</t>
  </si>
  <si>
    <t>Fabry-Perot Interferometer; polar upper atmosphere; Vertical Incidence Pulsed Ionospheric Radar</t>
  </si>
  <si>
    <t>FABRY-PEROT-INTERFEROMETER</t>
  </si>
  <si>
    <t>The second Korean Antarctic station, Jang Bogo Station (JBS), Terra Nova Bay (74 degrees 37.4'S, 164 degrees 13.7'E), is operational since March 2014. A Fabry-Perot Interferometer (FPI) and Vertical Incidence Pulsed Ionospheric Radar (VIPIR) were installed in 2014 and 2015 respectively, for simultaneous observations of neutral atmosphere and ionosphere in the polar region. Neutral winds observed by FPI show typical diurnal and semi-diurnal variations at around 250 km and 87 km respectively. VIPIR observations for the ionosphere also show typical electron density distributions in the polar region. Unlike conventional ionospheric sounder, it can measure ionospheric tilts to provide horizontal gradients of electron density over JBS in addition to general ionospheric parameters from sounding observation. In this article, we briefly report the preliminary results of the observations for the neutral atmosphere and ionosphere in the polar cap region.</t>
  </si>
  <si>
    <t>[Kim, Ji Eun; Kim, Jeong-Han; Jee, Geonhwa; Lee, Changsup; Kwon, Hyuck-Jin; Ham, Young-Bae] Korea Polar Res Inst, Incheon, South Korea; [Ham, Young-Bae] Univ Sci &amp; Technol, Daejeon, South Korea; [Bullett, Terence; Mabie, Justin; Zabotin, Nikolay] Univ Colorado, Cooperat Inst Res Environm Sci, Boulder, CO 80309 USA; [Wu, Qian] Natl Ctr Atmospher Res, High Altitude Observ, Pob 3000, Boulder, CO 80307 USA</t>
  </si>
  <si>
    <t>Korea Polar Research Institute (KOPRI); University of Science &amp; Technology (UST); University of Colorado System; University of Colorado Boulder; National Center Atmospheric Research (NCAR) - USA</t>
  </si>
  <si>
    <t>Kim, JH (corresponding author), Korea Polar Res Inst, Incheon, South Korea.</t>
  </si>
  <si>
    <t>jhkim@kopri.re.kr</t>
  </si>
  <si>
    <t>Kim, Jeong Han/J-6244-2016; Zabotin, Nikolay/A-9639-2015</t>
  </si>
  <si>
    <t>Kim, Ji Eun/0000-0003-4929-6167</t>
  </si>
  <si>
    <t>This work was supported by a research grant (PE18020) from the Korea Polar Research Institute.</t>
  </si>
  <si>
    <t>10.18520/cs/v115/i9/1674-1678</t>
  </si>
  <si>
    <t>WOS:000449515300023</t>
  </si>
  <si>
    <t>Mahesh, BS; Nair, A; Warrier, AK; Avadhani, A; Mohan, R; Tiwari, M</t>
  </si>
  <si>
    <t>Mahesh, Badanal Siddaiah; Nair, Abhilash; Warrier, Anish Kumar; Avadhani, Anirudha; Mohan, Rahul; Tiwari, Manish</t>
  </si>
  <si>
    <t>Palaeolimnological records of regime shifts from marine-to-lacustrine system in a coastal Antarctic lake in response to post-glacial isostatic uplift</t>
  </si>
  <si>
    <t>Diatoms; Holocene climate; Larsemann Hills; stable isotopes; sedimentary organic matter</t>
  </si>
  <si>
    <t>HISTORY</t>
  </si>
  <si>
    <t>Low altitude coastal lakes along the Antarctic margin often contain both marine and lacustrine sediments as a result of relative sea level changes due to deglaciation. The sediments also record changes in regional climate. A sediment core from a coastal lake in Larsemann Hills, East Antarctica, viz. Stepped Lake (Heart Lake), records distinct changes in C, N, C/N-atomic ratio, delta C-13(OM), delta N-15(OM) and diatom abundance during the mid-Holocene (8.3 to 4.6 kyr BP). Lower values (C-org similar to 1%; C/N 8, C-13(OM) similar to -18%) during the early Holocene (8.3-4 kyr BP) are consistent with marine conditions, while higher values [C-org 6%; C/N 12; C-13(OM) similar to -12%) suggest a shift to lacustrine conditions (5.5-4.6 kyr BP). The diatom community shows similar shift with the major part of Holocene (8.3-5.5 kyr BP) dominated by sea-ice and open-ocean diatoms while the core-top sections (5.5-4.6 kyr BP) transitions to lacustrine diatoms (Stauroforma inermis). These observations confirm that the basin was marine, and later became isolated as a result of post-glacial isostatic uplift after 4.7 kyr BP.</t>
  </si>
  <si>
    <t>[Mahesh, Badanal Siddaiah; Nair, Abhilash; Avadhani, Anirudha; Mohan, Rahul; Tiwari, Manish] Natl Ctr Antarctic &amp; Ocean Res, Headland Sada 403804, Vasco Da Gama, India; [Warrier, Anish Kumar] Manipal Univ, Manipal Inst Technol, Dept Civil Engn, Manipal 576104, Karnataka, India</t>
  </si>
  <si>
    <t>Ministry of Earth Sciences (MoES) - India; National Centre for Polar and Ocean Research (NCPOR); Manipal Academy of Higher Education (MAHE)</t>
  </si>
  <si>
    <t>Mahesh, BS (corresponding author), Natl Ctr Antarctic &amp; Ocean Res, Headland Sada 403804, Vasco Da Gama, India.</t>
  </si>
  <si>
    <t>mahe687@gmail.com</t>
  </si>
  <si>
    <t>Warrier, Anish Kumar/AAW-8890-2020</t>
  </si>
  <si>
    <t>Warrier, Anish Kumar/0000-0003-0044-6224; Tiwari, Manish/0000-0003-3143-1658</t>
  </si>
  <si>
    <t>ESSO-NCAOR-MoES</t>
  </si>
  <si>
    <t>We thank Director, ESSO-NCAOR-MoES for the support during this study. We are grateful to the NSF-AMS Dating Facility, University of Arizona for providing AMS 14C dates and acknowledge Siddhesh Nagoji - NCAOR for analysis using EA and IRMS. The authors thank the Logistics Division and members of the 33rd Indian Scientific Expedition to Antarctica for their help. This is NCAOR contribution no. 58/2018.</t>
  </si>
  <si>
    <t>10.18520/cs/v115/i9/1679-1683</t>
  </si>
  <si>
    <t>WOS:000449515300024</t>
  </si>
  <si>
    <t>Thomas, SM; Convey, P; Gan, HM; Pearce, DA; Tan, GYA</t>
  </si>
  <si>
    <t>Thomas, S. M.; Convey, P.; Gan, H. M.; Pearce, D. A.; Tan, G. Y. A.</t>
  </si>
  <si>
    <t>Draft genome sequence of a novel actino-bacterium from the family Intrasporangiaceae isolated from Signy Island, Antarctica</t>
  </si>
  <si>
    <t>Actinobacteria; Antarctic soil; Humibacillus</t>
  </si>
  <si>
    <t>Actinobacterium strain S63(T) isolated from a soil sample collected from Spindrift Col on Signy Island (South Orkney Islands, maritime Antarctic) is a new species of the Intrasporangiaceae family. Here we report a draft genome sequence with an approximate size of 5 Mbp contained in 54 contigs (69.33% GC content). Preliminary analysis revealed the presence of cold active protein coding sequences, which may indicate an adaptation to the harsh polar environment from which the strain was isolated.</t>
  </si>
  <si>
    <t>[Thomas, S. M.; Tan, G. Y. A.] Univ Malaya, Inst Biol Sci, Kuala Lumpur 50603, Malaysia; [Thomas, S. M.; Convey, P.; Pearce, D. A.; Tan, G. Y. A.] Univ Malaya, Natl Antarctic Res Ctr, Kuala Lumpur 50603, Malaysia; [Gan, H. M.] Monash Univ Malaysia, Genom Facil, Trop &amp; Med Biol Platform, Jalan Lagoon Selatan, Bandar Sunway 47500, Selangor, Malaysia; [Gan, H. M.] Deakin Univ, Ctr Integrat Ecol, Sch Life &amp; Environm Sci, Geelong, Vic 3220, Australia; [Convey, P.; Pearce, D. A.] British Antarctic Survey, Nat Environm Res Council, Madingley Rd, Cambridge CB3 OET, England; [Pearce, D. A.] Northumbria Univ Newcastle, Dept Appl Sci, Fac Hlth &amp; Life Sci, Newcastle Upon Tyne NE1 8ST, Tyne &amp; Wear, England</t>
  </si>
  <si>
    <t>Universiti Malaya; Universiti Malaya; Monash University; Monash University Malaysia; Deakin University; UK Research &amp; Innovation (UKRI); Natural Environment Research Council (NERC); NERC British Antarctic Survey; Northumbria University</t>
  </si>
  <si>
    <t>Tan, GYA (corresponding author), Univ Malaya, Inst Biol Sci, Kuala Lumpur 50603, Malaysia.;Tan, GYA (corresponding author), Univ Malaya, Natl Antarctic Res Ctr, Kuala Lumpur 50603, Malaysia.</t>
  </si>
  <si>
    <t>Gan, Han Ming/AAF-9519-2019; Tan, Geok Yuan Annie/B-7996-2009; Convey, Peter/AAV-5728-2020</t>
  </si>
  <si>
    <t>Gan, Han Ming/0000-0001-7987-738X; Convey, Peter/0000-0001-8497-9903; Pearce, David/0000-0001-5292-4596</t>
  </si>
  <si>
    <t>University of Malaya Research Grant [RP002E-13SUS, RP007-2012D]; Ministry of Science, Technology and Innovation Flagship Grant [FP0712E012]; Natural Environment Research Council</t>
  </si>
  <si>
    <t>University of Malaya Research Grant; Ministry of Science, Technology and Innovation Flagship Grant; Natural Environment Research Council(UK Research &amp; Innovation (UKRI)Natural Environment Research Council (NERC))</t>
  </si>
  <si>
    <t>We acknowledge the University of Malaya Research Grant (RP002E-13SUS &amp; RP007-2012D) and the Ministry of Science, Technology and Innovation Flagship Grant (FP0712E012). P.C. is supported by Natural Environment Research Council core funding to the British Antarctic Survey's 'Biodiversity, Evolution and Adaptation' Team. P.C. and D.A.P. are also supported by Visiting Professorships to the University of Malaya.</t>
  </si>
  <si>
    <t>10.18520/cs/v115/i9/1695-1696</t>
  </si>
  <si>
    <t>WOS:000449515300027</t>
  </si>
  <si>
    <t>Chua, CY; Yong, ST; González, MA; Lavin, P; Cheah, YK; Tan, GYA; Wong, CMVL</t>
  </si>
  <si>
    <t>Chua, C. Y.; Yong, S. T.; Gonzalez, M. A.; Lavin, P.; Cheah, Y. K.; Tan, G. Y. A.; Wong, C. M. V. L.</t>
  </si>
  <si>
    <t>Analysis of bacterial communities of King George and Deception Islands, Antarctica using high-throughput sequencing</t>
  </si>
  <si>
    <t>Antarctica; South Shetland Islands; soil bacterial diversity; 16S rDNA; pyrosequencing</t>
  </si>
  <si>
    <t>BIODIVERSITY; DIVERSITY; SOILS; RANGE</t>
  </si>
  <si>
    <t>King George Island (KGI) and Deception Island (DCI) are members of the South Shetland Islands in Antarctica, each with their own landscape and local environmental factors. Both sites are suitable for long-term monitoring of bacterial diversity shift due to warming, as temperature rises relatively faster than East Antarctica. This study was conducted to determine and compare the baseline diversity of soil bacteria in KGI and DCI. 16S rDNA amplicons of bacteria from both sites were sequenced using Illumina next generation sequencer. Results showed that major phyla in KGI and DCI were Actinobacteria, Proteobacteria, Chloroflexi, Verrucomicrobia, Bacteriodetes and Acidobacteria. The distribution and evenness of the soil bacterial communities varied at genus level. The genera Sphingomonas sp. was predominant at both sites while the subsequent six major genera differed. Two bacterial genera, Legionella and Clostridium were also found in low abundance in both sites, both of which may contain pathogenic members. Further verification will be required to determine whether the pathogenic members of these genera are present in both sites.</t>
  </si>
  <si>
    <t>[Chua, C. Y.; Yong, S. T.; Wong, C. M. V. L.] Univ Malaysia Sabah, Biotechnol Res Inst, Kota Kinabalu 88400, Sabah, Malaysia; [Gonzalez, M. A.; Lavin, P.] Inst Antartico Chileno, Plaza Munoz Gamero 1055, Punta Arenas, Chile; [Cheah, Y. K.] Univ Putra Malaysia, Fac Med &amp; Hlth Sci, Dept Biomed Sci, Upm Serdang 43400, Selangor Darul, Malaysia; [Tan, G. Y. A.; Wong, C. M. V. L.] Univ Malaya, Natl Antarctic Res Ctr, Kuala Lumpur 50603, Malaysia</t>
  </si>
  <si>
    <t>Universiti Malaysia Sabah; Universiti Putra Malaysia; Universiti Malaya</t>
  </si>
  <si>
    <t>Wong, CMVL (corresponding author), Univ Malaysia Sabah, Biotechnol Res Inst, Kota Kinabalu 88400, Sabah, Malaysia.;Wong, CMVL (corresponding author), Univ Malaya, Natl Antarctic Res Ctr, Kuala Lumpur 50603, Malaysia.</t>
  </si>
  <si>
    <t>González, Marcelo/ABF-1450-2020; Wong, Clemente Michael Vui Ling/M-8372-2013; Lavin, Paris/AAI-9053-2020; Tan, Geok Yuan Annie/B-7996-2009; Chua, Chuen Yang/AAK-5439-2021</t>
  </si>
  <si>
    <t>Wong, Clemente Michael Vui Ling/0000-0003-3431-8896; Gonzalez, Marcelo/0000-0001-9986-9504; Chuen Yang, Chua/0000-0003-0401-6379</t>
  </si>
  <si>
    <t>Ministry of Science, Technology and Innovation (MOSTI), Malaysia [FP0712E012]</t>
  </si>
  <si>
    <t>Ministry of Science, Technology and Innovation (MOSTI), Malaysia(Ministry of Energy, Science, Technology, Environment and Climate Change (MESTECC), Malaysia)</t>
  </si>
  <si>
    <t>This work was supported by the Ministry of Science, Technology and Innovation (MOSTI), Malaysia under the Flagship project FP0712E012. The authors thank personnel at INACH especially Jose Retamales and Marcelo Leppe for their advice and logistic support for the project.</t>
  </si>
  <si>
    <t>10.18520/cs/v115/i9/1701-1705</t>
  </si>
  <si>
    <t>WOS:000449515300029</t>
  </si>
  <si>
    <t>Teoh, CP; Wong, CMVL; Lee, DJH; González, MA; Najimudin, N; Lee, PC; Cheah, YK</t>
  </si>
  <si>
    <t>Teoh, C. P.; Wong, C. M. V. L.; Lee, D. J. H.; Gonzalez, M. A.; Najimudin, N.; Lee, P. C.; Cheah, Y. K.</t>
  </si>
  <si>
    <t>Genome sequences of two cold-adapted Cryobacterium spp. SO1 and SO2 from Fildes Peninsula, Antarctica</t>
  </si>
  <si>
    <t>Fluctuation; genomes; King George Island; 16S rDNA; temperature</t>
  </si>
  <si>
    <t>SP-NOV.; PSYCHROTOLERANT BACTERIUM</t>
  </si>
  <si>
    <t>Psychrophilic and psychrotrophic bacteria play important roles in nutrient cycling in cold environments. These bacteria are suitable as model organisms for studying cold-adaptation, and sources of cold-active enzymes and metabolites for industrial applications. Here, we report the genome sequences of two Cryobacterium sp. strains SO1 and SO2. Genes coding major proteins related to cold- or thermal-stress adaptations and those with industrial applications found in their genomes are described.</t>
  </si>
  <si>
    <t>[Teoh, C. P.; Wong, C. M. V. L.; Lee, D. J. H.] Univ Malaysia Sabah, Biotechnol Res Inst, Kota Kinabalu 88400, Sabah, Malaysia; [Wong, C. M. V. L.] Univ Malaya, Natl Antarctic Res Ctr, Kuala Lumpur 50603, Malaysia; [Gonzalez, M. A.] Inst Antartico Chileno, Plaza Munoz Gamero 1055, Punta Arenas, Chile; [Najimudin, N.] Univ Sains Malaysia, Sch Biol Sci, Bayan Lepas 11900, Penang, Malaysia; [Lee, P. C.] Univ Malaysia Sabah, Fac Sci &amp; Nat Resources, Kota Kinabalu 88400, Sabah, Malaysia; [Cheah, Y. K.] Univ Putra Malaysia, Dept Biomed Sci, Fac Med &amp; Hlth Sci, Upm Serdang 43400, Selangor Darul, Malaysia</t>
  </si>
  <si>
    <t>Universiti Malaysia Sabah; Universiti Malaya; Universiti Sains Malaysia; Universiti Kebangsaan Malaysia; Universiti Malaysia Sabah; Universiti Putra Malaysia</t>
  </si>
  <si>
    <t>Wong, Clemente Michael Vui Ling/M-8372-2013; Teoh, Chui Peng/AAM-9640-2021; Lee, Ping Chin/AGV-4612-2022; González, Marcelo/ABF-1450-2020; Najimudin, Nazalan/B-2952-2011</t>
  </si>
  <si>
    <t>Wong, Clemente Michael Vui Ling/0000-0003-3431-8896; Teoh, Chui Peng/0000-0003-1261-4600; Lee, Ping Chin/0000-0002-4280-0829; Gonzalez, Marcelo/0000-0001-9986-9504</t>
  </si>
  <si>
    <t>Ministry of Science Technology and Innovation (MOSTI), Malaysia [FP1213E036]</t>
  </si>
  <si>
    <t>Ministry of Science Technology and Innovation (MOSTI), Malaysia(Ministry of Energy, Science, Technology, Environment and Climate Change (MESTECC), Malaysia)</t>
  </si>
  <si>
    <t>This work was funded by the Ministry of Science Technology and Innovation (MOSTI), Malaysia (Flagship Grant no. FP1213E036). We thank personnel at the INACH especially Drs Jose Retamales and Marcelo Leppe for their advice and logistic support.</t>
  </si>
  <si>
    <t>10.18520/cs/v115/i9/1706-1708</t>
  </si>
  <si>
    <t>WOS:000449515300030</t>
  </si>
  <si>
    <t>Fowles, AE; Edgar, GJ; Stuart-Smith, RD; Kirkpatrick, JB; Hill, N; Thomson, RJ; Strain, EMA</t>
  </si>
  <si>
    <t>Fowles, Amelia E.; Edgar, Graham J.; Stuart-Smith, Rick D.; Kirkpatrick, James B.; Hill, Nicole; Thomson, Russell J.; Strain, Elisabeth M. A.</t>
  </si>
  <si>
    <t>Effects of Pollution From Anthropogenic Point Sources on the Recruitment of Sessile Estuarine Reef Biota</t>
  </si>
  <si>
    <t>introduced species; macroalgae; sewage outfall; fish farm; marina; stormwater drainage</t>
  </si>
  <si>
    <t>BIOLOGICAL INVASIONS; MARINE COMMUNITIES; COPPER; ALGAE; PATTERNS; NUTRIENT; URBANIZATION; BIODIVERSITY; ASSEMBLAGES; MACROALGAE</t>
  </si>
  <si>
    <t>Expanding urbanization in estuaries and the increase in pollutants from anthropogenic point sources can affect nearby benthic assemblages. Using a paired impact-control design, we assessed the effects of pollution from anthropogenic point sources (marinas, storm-water drains, sewage outfalls and fish farms) on algal and sessile invertebrate recruits to pavers placed in an industrialized Tasmanian estuary. Species number and cover of native recruits were lower after 12 months at sites outside marinas relative to paired control sites, whereas non-native and cryptogenic recruits were significantly higher outside marinas and near sewage outfalls. The cover of fast-growing, opportunistic species was significantly higher at sites near fish farms and sewage outfalls, and the cover of native species was also greater at sites near sewage outfalls relative to the paired control sites. Our results suggest an increased management focus on controlling pollution from marinas and sewage outfalls is warranted to limit the spread of non-native and cryptogenic species.</t>
  </si>
  <si>
    <t>[Fowles, Amelia E.; Edgar, Graham J.; Stuart-Smith, Rick D.; Hill, Nicole; Strain, Elisabeth M. A.] Univ Tasmania, Inst Marine &amp; Antarctic Studies, Hobart, Tas, Australia; [Kirkpatrick, James B.] Univ Tasmania, Sch Land &amp; Food, Discipline Geog &amp; Spatial Sci, Hobart, Tas, Australia; [Thomson, Russell J.] Western Sydney Univ, Ctr Res Math, Parramatta, NSW, Australia; [Strain, Elisabeth M. A.] Univ Melbourne, Sch Biosci, Natl Ctr Coasts &amp; Climate, Melbourne, Vic, Australia</t>
  </si>
  <si>
    <t>University of Tasmania; University of Tasmania; Western Sydney University; Melbourne Genomics Health Alliance; University of Melbourne</t>
  </si>
  <si>
    <t>Fowles, AE; Stuart-Smith, RD (corresponding author), Univ Tasmania, Inst Marine &amp; Antarctic Studies, Hobart, Tas, Australia.</t>
  </si>
  <si>
    <t>afowles@nrmsouth.org.au; rstuarts@utas.edu.au</t>
  </si>
  <si>
    <t>Edgar, Graham/AAY-3797-2020; Stuart-Smith, Rick D/M-1829-2013; Strain, Elisabeth/U-3520-2017; Thomson, Russell/H-5653-2012</t>
  </si>
  <si>
    <t>Edgar, Graham/0000-0003-0833-9001; Stuart-Smith, Rick D/0000-0002-8874-0083; Strain, Elisabeth/0000-0003-2165-9544; Thomson, Russell/0000-0003-4949-4120</t>
  </si>
  <si>
    <t>Marine Biodiversity Hub, a collaborative partnership through the Australian Government's National Environmental Research Program; Australian Research Council</t>
  </si>
  <si>
    <t>Marine Biodiversity Hub, a collaborative partnership through the Australian Government's National Environmental Research Program; Australian Research Council(Australian Research Council)</t>
  </si>
  <si>
    <t>Scholarship funding was provided by the Marine Biodiversity Hub, a collaborative partnership supported through the Australian Government's National Environmental Research Program, administered by the Department of the Environment. Marine Biodiversity Hub partners include the Institute for Marine and Antarctic Studies, University of Tasmania; CSIRO, Geoscience Australia, Australian Institute of Marine Science, Museum Victoria, Charles Darwin University and the University of Western Australia. Additional costs were supported by the Australian Research Council.</t>
  </si>
  <si>
    <t>NOV 9</t>
  </si>
  <si>
    <t>10.3389/fmars.2018.00417</t>
  </si>
  <si>
    <t>HJ5NI</t>
  </si>
  <si>
    <t>WOS:000457228100001</t>
  </si>
  <si>
    <t>Myriokefalitakis, S; Ito, A; Kanakidou, M; Nenes, A; Krol, MC; Mahowald, NM; Scanza, RA; Hamilton, DS; Johnson, MS; Meskhidze, N; Kok, JF; Guieu, C; Baker, AR; Jickells, TD; Sarin, MM; Bikkina, S; Shelley, R; Bowie, A; Perron, MMG; Duce, RA</t>
  </si>
  <si>
    <t>Myriokefalitakis, Stelios; Ito, Akinori; Kanakidou, Maria; Nenes, Athanasios; Krol, Maarten C.; Mahowald, Natalie M.; Scanza, Rachel A.; Hamilton, Douglas S.; Johnson, Matthew S.; Meskhidze, Nicholas; Kok, Jasper F.; Guieu, Cecile; Baker, Alex R.; Jickells, Timothy D.; Sarin, Manmohan M.; Bikkina, Srinivas; Shelley, Rachel; Bowie, Andrew; Perron, Morgane M. G.; Duce, Robert A.</t>
  </si>
  <si>
    <t>Reviews and syntheses: the GESAMP atmospheric iron deposition model intercomparison study</t>
  </si>
  <si>
    <t>DUST EMISSION MODEL; EARTH SYSTEM MODEL; SUPPLY-AND-DEMAND; MINERAL DUST; TRACE-ELEMENTS; OCEAN BIOGEOCHEMISTRY; BIOAVAILABLE IRON; SOLUBLE IRON; FRACTIONAL SOLUBILITY; ORGANIC COMPLEXATION</t>
  </si>
  <si>
    <t>This work reports on the current status of the global modeling of iron (Fe) deposition fluxes and atmospheric concentrations and the analyses of the differences between models, as well as between models and observations. A total of four global 3-D chemistry transport (CTMs) and general circulation (GCMs) models participated in this intercomparison, in the framework of the United Nations Joint Group of Experts on the Scientific Aspects of Marine Environmental Protection (GESAMP) Working Group 38, The Atmospheric Input of Chemicals to the Ocean. The global total Fe (TFe) emission strength in the models is equal to similar to 72 TgFeyr(-1) (38-134 TgFeyr(-1)) from mineral dust sources and around 2.1 TgFeyr(-1) (1.8-2.7 TgFeyr(-1)) from combustion processes (the sum of anthropogenic combustion/biomass burning and wildfires). The mean global labile Fe (LFe) source strength in the models, considering both the primary emissions and the atmospheric processing, is calculated to be 0.7 (+/- 0.3) TgFeyr(-1), accounting for both mineral dust and combustion aerosols. The mean global deposition fluxes into the global ocean are estimated to be in the range of 10-30 and 0.2-0.4 TgFeyr(-1) for TFe and LFe, respectively, which roughly corresponds to a respective 15 and 0.3 TgFeyr(-1) for the multi-model ensemble model mean. The model intercomparison analysis indicates that the representation of the atmospheric Fe cycle varies among models, in terms of both the magnitude of natural and combustion Fe emissions as well as the complexity of atmospheric processing parameterizations of Fe-containing aerosols. The model comparison with aerosol Fe observations over oceanic regions indicates that most models overestimate surface level TFe mass concentrations near dust source regions and tend to underestimate the low concentrations observed in remote ocean regions. All models are able to simulate the tendency of higher Fe concentrations near and downwind from the dust source regions, with the mean normalized bias for the Northern Hemisphere (similar to 14), larger than that of the Southern Hemisphere (similar to 2.4) for the ensemble model mean. This model intercomparison and model-observation comparison study reveals two critical issues in LFe simulations that require further exploration: (1) the Fe-containing aerosol size distribution and (2) the relative contribution of dust and combustion sources of Fe to labile Fe in atmospheric aerosols over the remote oceanic regions.</t>
  </si>
  <si>
    <t>[Myriokefalitakis, Stelios; Krol, Maarten C.] Univ Utrecht, IMAU, NL-3584 CC Utrecht, Netherlands; [Ito, Akinori] JAMSTEC, Yokohama Inst Earth Sci, Yokohama, Kanagawa 2360001, Japan; [Kanakidou, Maria] Univ Crete, Dept Chem, ECPL, Iraklion 70013, Greece; [Nenes, Athanasios] Georgia Inst Technol, Sch Earth &amp; Atmospher Sci, Atlanta, GA 30332 USA; [Mahowald, Natalie M.; Scanza, Rachel A.; Hamilton, Douglas S.] Cornell Univ, Dept Earth &amp; Atmospher Sci, Ithaca, NY 14853 USA; [Johnson, Matthew S.] NASA, Div Earth Sci, Ames Res Ctr, Moffett Field, CA 94035 USA; [Meskhidze, Nicholas] North Carolina State Univ, Marine Earth &amp; Atmospher Sci, Raleigh, NC 27695 USA; [Kok, Jasper F.] Univ Calif Los Angeles, Dept Atmospher &amp; Ocean Sci, Los Angeles, CA 90095 USA; [Guieu, Cecile] Univ Paris 06, INSU, CNRS, LOV,UMR7093, Villefranche Sur Mer, France; [Baker, Alex R.; Jickells, Timothy D.] Univ East Anglia, Sch Environm Sci, Ctr Ocean &amp; Atmospher Sci, Norwich, Norfolk, England; [Sarin, Manmohan M.; Bikkina, Srinivas] Phys Res Lab, Geosci Div, Ahmadabad, Gujarat, India; [Shelley, Rachel] Florida State Univ, Earth Ocean &amp; Atmospher Sci, Tallahassee, FL 32306 USA; [Bowie, Andrew; Perron, Morgane M. G.] Univ Tasmania, Inst Marine &amp; Antarctic Studies, Hobart, Tas, Australia; [Bowie, Andrew] Antarctic Climate &amp; Ecosystems CRC, Hobart, Tas, Australia; [Duce, Robert A.] Texas A&amp;M Univ, Dept Oceanog &amp; Atmospher Sci, College Stn, TX 77843 USA; [Myriokefalitakis, Stelios] Natl Observ Athens, Inst Environm Res &amp; Sustainable Dev, Palea Penteli 15236, Greece</t>
  </si>
  <si>
    <t>Utrecht University; Japan Agency for Marine-Earth Science &amp; Technology (JAMSTEC); University of Crete; University System of Georgia; Georgia Institute of Technology; Cornell University; National Aeronautics &amp; Space Administration (NASA); NASA Ames Research Center; North Carolina State University; University of California System; University of California Los Angeles; Centre National de la Recherche Scientifique (CNRS); CNRS - National Institute for Earth Sciences &amp; Astronomy (INSU); Sorbonne Universite; University of East Anglia; Department of Space (DoS), Government of India; Physical Research Laboratory - India; State University System of Florida; Florida State University; University of Tasmania; University of Tasmania; Texas A&amp;M University System; Texas A&amp;M University College Station; National Observatory of Athens</t>
  </si>
  <si>
    <t>Myriokefalitakis, S (corresponding author), Univ Utrecht, IMAU, NL-3584 CC Utrecht, Netherlands.;Ito, A (corresponding author), JAMSTEC, Yokohama Inst Earth Sci, Yokohama, Kanagawa 2360001, Japan.;Myriokefalitakis, S (corresponding author), Natl Observ Athens, Inst Environm Res &amp; Sustainable Dev, Palea Penteli 15236, Greece.</t>
  </si>
  <si>
    <t>steliosm@noa.gr; akinorii@jamstec.go.jp</t>
  </si>
  <si>
    <t>Guieu, Cecile/AAU-6883-2021; Myriokefalitakis, Stelios/J-3701-2014; Mahowald, Natalie M/D-8388-2013; BIKKINA, SRINIVAS/A-2519-2014; Baker, Alex R/D-1233-2011; Perron, Morgane/HHS-1241-2022; Ito, Akinori/M-9599-2014; Kok, Jasper F/A-9698-2008; Duce, Robert A/A-9917-2010; Krol, Maarten C./E-3414-2013; Nenes, Athanasios/ABE-6478-2020; Bowie, Andrew/C-8677-2013; Kanakidou, Maria/D-7882-2012</t>
  </si>
  <si>
    <t>Guieu, Cecile/0000-0001-6373-8326; Myriokefalitakis, Stelios/0000-0002-1541-7680; Mahowald, Natalie M/0000-0002-2873-997X; Ito, Akinori/0000-0002-4937-2927; Nenes, Athanasios/0000-0003-3873-9970; Baker, Alex/0000-0002-8365-8953; Hamilton, Douglas/0000-0002-8171-5723; Scanza, Rachel/0000-0001-8196-9953; Perron, Morgane/0000-0001-5424-7138; Bowie, Andrew/0000-0002-5144-7799; Kanakidou, Maria/0000-0002-1724-9692</t>
  </si>
  <si>
    <t>European Union [705652 - ODEON]; JSPS KAKENHI [JP16K00530]; Integrated Research Program for Advancing Climate Models (MEXT); Department of Energy [DE-SC0006791CE14]; Australian Research Council Future Fellowship [FT130100037]; Global Atmosphere Watch; World Weather Research Programme of the World Meteorological Organization; International Maritime Organization; U.S. National Science Foundation; ICSU Scientific Committee on Oceanic Research (SCOR); University of East Anglia; SOLAS; Utrecht University; European Union's Horizon 2020 research and innovation programme under the Marie Sklodowska-Curie grant [705652 - ODEON]</t>
  </si>
  <si>
    <t>European Union(European Union (EU)); JSPS KAKENHI(Ministry of Education, Culture, Sports, Science and Technology, Japan (MEXT)Japan Society for the Promotion of ScienceGrants-in-Aid for Scientific Research (KAKENHI)); Integrated Research Program for Advancing Climate Models (MEXT); Department of Energy(United States Department of Energy (DOE)); Australian Research Council Future Fellowship(Australian Research Council); Global Atmosphere Watch; World Weather Research Programme of the World Meteorological Organization; International Maritime Organization; U.S. National Science Foundation(National Science Foundation (NSF)); ICSU Scientific Committee on Oceanic Research (SCOR); University of East Anglia; SOLAS; Utrecht University; European Union's Horizon 2020 research and innovation programme under the Marie Sklodowska-Curie grant(Marie Curie Actions)</t>
  </si>
  <si>
    <t>Stelios Myriokefalitakis acknowledges financial support for this research from the European Union's Horizon 2020 research and innovation programme under the Marie Sklodowska-Curie grant agreement no. 705652 - ODEON. Support for this research was provided to Akinori Ito by JSPS KAKENHI grant no. JP16K00530 and the Integrated Research Program for Advancing Climate Models (MEXT). Natalie M. Mahowald, Rachel A. Scanza and Douglas S. Hamilton acknowledge support from a Department of Energy grant (DE-SC0006791CE14). Andrew Bowie and Morgane M. G. Perron were funded by an Australian Research Council Future Fellowship (FT130100037). We are grateful to Thibaut Wagener for kindly providing the field data set. This work is prepared in the framework of the Joint Group of Experts on the Scientific Aspects of Marine Environmental Protection (GESAMP; http://www.gesamp.org/, last access: 5 November 2018), Working Group 38, the Atmospheric Input of Chemicals to the Ocean. We thank the Global Atmosphere Watch and the World Weather Research Programme of the World Meteorological Organization, the International Maritime Organization, the U.S. National Science Foundation, the ICSU Scientific Committee on Oceanic Research (SCOR) and the University of East Anglia for their financial support. We also thank SOLAS for their sponsorship. Data post-processing was carried out on the Dutch national e-infrastructure with the support of the SURF Cooperative. The publication of this work was financed by Utrecht University and by the European Union's Horizon 2020 research and innovation programme under the Marie Sklodowska-Curie grant agreement no. 705652 - ODEON.</t>
  </si>
  <si>
    <t>10.5194/bg-15-6659-2018</t>
  </si>
  <si>
    <t>GZ7JT</t>
  </si>
  <si>
    <t>WOS:000449655900002</t>
  </si>
  <si>
    <t>Johansson, H; Ellström, P; Artursson, K; Berg, C; Bonnedahl, J; Hansson, I; Hernandez, J; Lopez-Martín, J; Medina-Vogel, G; Moreno, L; Olsen, B; Engvall, EO; Skarin, H; Troell, K; Waldenström, J; Ågren, J; González-Acuña, D</t>
  </si>
  <si>
    <t>Johansson, Hakan; Ellstrom, Patrik; Artursson, Karin; Berg, Charlotte; Bonnedahl, Jonas; Hansson, Ingrid; Hernandez, Jorge; Lopez-Martin, Juana; Medina-Vogel, Gonzalo; Moreno, Lucile; Olsen, Bjorn; Engvall, Eva Olsson; Skarin, Hanna; Troell, Karin; Waldenstrom, Jonas; Agren, Joakim; Gonzalez-Acuna, Daniel</t>
  </si>
  <si>
    <t>Characterization of Campylobacter spp. isolated from wild birds in the Antarctic and Sub-Antarctic</t>
  </si>
  <si>
    <t>SEQUENCE TYPING SYSTEM; INFECTIOUS-DISEASES; SP NOV.; C-LARI; JEJUNI; PENGUINS; UPSALIENSIS; SALMONELLA; COLI; EPIDEMIOLOGY</t>
  </si>
  <si>
    <t>A lack of knowledge of naturally occurring pathogens is limiting our ability to use the Antarctic to study the impact human-mediated introduction of infectious microorganisms have on this relatively uncontaminated environment. As no large-scale coordinated effort to remedy this lack of knowledge has taken place, we rely on smaller targeted efforts to both study present microorganisms and monitor the environment for introductions. In one such effort, we isolated Campylobacter species from fecal samples collected from wild birds in the Antarctic Peninsula and the sub-Antarctic island of South Georgia. Indeed, in South Georgia, we found Campylobacter lari and the closely related Campylobacter peloridis, but also distantly related human-associated multilocus sequence types of Campylobacter jejuni. In contrast, in the Antarctic Peninsula, we found C. tart and two closely related species, Campylobacter subantarcticus and Campylobacter volucris, but no signs of human introduction. In fact, our finding of human-associated sequence types of C. jejuni in South Georgia, but not in the Antarctic Peninsula, suggests that efforts to limit the spread of infectious microorganisms to the Antarctic have so far been successful in preventing the introduction of C. jejuni. However, we do not know how it came to South Georgia and whether the same mode of introduction could spread it from there to the Antarctic Peninsula.</t>
  </si>
  <si>
    <t>[Johansson, Hakan; Bonnedahl, Jonas; Waldenstrom, Jonas] Linnaeus Univ, Ctr Ecol &amp; Evolut Microbial Model Syst, Kalmar, Sweden; [Ellstrom, Patrik; Hernandez, Jorge; Olsen, Bjorn] Uppsala Univ, Zoonosis Sci Ctr, Dept Med Biochem &amp; Microbiol, Uppsala, Sweden; [Ellstrom, Patrik; Olsen, Bjorn] Uppsala Univ, Dept Med Sci, Uppsala, Sweden; [Artursson, Karin; Engvall, Eva Olsson; Skarin, Hanna; Troell, Karin; Agren, Joakim] Natl Vet Inst, Uppsala, Sweden; [Berg, Charlotte] Swedish Univ Agr Sci, Dept Anim Environm &amp; Hlth, Skara, Sweden; [Bonnedahl, Jonas] Kalmar Cty Hosp, Dept Infect Dis, Kalmar, Sweden; [Hansson, Ingrid] Swedish Univ Agr Sci, Dept Biomed Sci &amp; Vet Publ Hlth, Uppsala, Sweden; [Hernandez, Jorge] Kalmar Cty Hosp, Lab Microbiol, Kalmar, Sweden; [Lopez-Martin, Juana] Univ Concepcion, Fac Ciencias &amp; Vet, Dept Patol &amp; Med Prevent, Chillan, Chile; [Medina-Vogel, Gonzalo] Univ Andres Bello, Ctr Invest Sustentabilidad, Santiago, Chile; [Moreno, Lucile] Univ Concepcion, Fac Ciencias Nat &amp; Oceanograf, Concepcion, Chile; [Gonzalez-Acuna, Daniel] Univ Concepcion, Fac Ciencias Vet, Chillan, Chile</t>
  </si>
  <si>
    <t>Linnaeus University; Uppsala University; Uppsala University; National Veterinary Institute SVA; Swedish University of Agricultural Sciences; Swedish University of Agricultural Sciences; Universidad de Concepcion; Universidad Andres Bello; Universidad de Concepcion; Universidad de Concepcion</t>
  </si>
  <si>
    <t>González-Acuña, D (corresponding author), Univ Concepcion, Fac Ciencias Vet, Chillan, Chile.</t>
  </si>
  <si>
    <t>danigonz@udec.cl</t>
  </si>
  <si>
    <t>Moreno Salas, Lucila/HTR-5576-2023; Bonnedahl, Jonas/GZG-8435-2022; Ellström, Patrik/JSK-7601-2023; Berg, Charlotte/G-5760-2012</t>
  </si>
  <si>
    <t>Moreno Salas, Lucila/0000-0003-3159-4916; Hansson, Ingrid/0000-0003-3764-2341; Medina-Vogel, Gonzalo/0000-0002-1579-9463; Berg, Charlotte/0000-0001-5671-5273; Skarin, Hanna/0000-0002-7690-3113; Bonnedahl, Jonas/0000-0002-3182-389X</t>
  </si>
  <si>
    <t>Chilean Antarctic Institute (INACH) [T-12-13]; Swedish Research Council Formas [2014-829]; Wellcome Trust</t>
  </si>
  <si>
    <t>Chilean Antarctic Institute (INACH); Swedish Research Council Formas(Swedish Research Council Formas); Wellcome Trust(Wellcome Trust)</t>
  </si>
  <si>
    <t>This study was funded by the Chilean Antarctic Institute (INACH number T-12-13) and the Swedish Research Council Formas (2014-829). The funders had no role in study design, data collection and analysis, decision to publish, or preparation of the manuscript.; This study was funded by the Chilean Antarctic Institute (INACH number T-12-13) and the Swedish Research Council Formas (2014-829). The study made use of the Campylobacter Multi Locus Sequence Typing website (https://pubmlst.org/campylobacter/) sited at the University of Oxford [33], the development of which was funded by the Wellcome Trust.</t>
  </si>
  <si>
    <t>e0206502</t>
  </si>
  <si>
    <t>10.1371/journal.pone.0206502</t>
  </si>
  <si>
    <t>GZ8VH</t>
  </si>
  <si>
    <t>WOS:000449772600017</t>
  </si>
  <si>
    <t>Chambers, SD; Preunkert, S; Weller, R; Hong, SB; Humphries, RS; Tositti, L; Angot, H; Legrand, M; Williams, AG; Griffiths, AD; Crawford, J; Simmons, J; Choi, TJ; Krummel, PB; Molloy, S; Loh, Z; Galbally, I; Wilson, S; Magand, O; Sprovieri, F; Pirrone, N; Dommergue, A</t>
  </si>
  <si>
    <t>Chambers, Scott D.; Preunkert, Susanne; Weller, Rolf; Hong, Sang-Bum; Humphries, Ruhi S.; Tositti, Laura; Angot, Helene; Legrand, Michel; Williams, Alastair G.; Griffiths, Alan D.; Crawford, Jagoda; Simmons, Jack; Choi, Taejin J.; Krummel, Paul B.; Molloy, Suzie; Loh, Zoe; Galbally, Ian; Wilson, Stephen; Magand, Olivier; Sprovieri, Francesca; Pirrone, Nicola; Dommergue, Aurelien</t>
  </si>
  <si>
    <t>Characterizing Atmospheric Transport Pathways to Antarctica and the Remote Southern Ocean Using Radon-222</t>
  </si>
  <si>
    <t>radon; Southern Ocean; Antarctica; atmospheric transport; MBL; troposphere; ozone; mercury</t>
  </si>
  <si>
    <t>BASE-LINE CHARACTERIZATION; SIZE-SEGREGATED AEROSOL; MCMURDO DRY VALLEYS; SEA-ICE; TROPOSPHERIC CHEMISTRY; MERCURY MEASUREMENTS; RADON MEASUREMENTS; TRACER TRANSPORT; DUMONT DURVILLE; CONCORDIA SITE</t>
  </si>
  <si>
    <t>We discuss remote terrestrial influences on boundary layer air over the Southern Ocean and Antarctica, and the mechanisms by which they arise, using atmospheric radon observations as a proxy. Our primary motivation was to enhance the scientific community's ability to understand and quantify the potential effects of pollution, nutrient or pollen transport from distant land masses to these remote, sparsely instrumented regions. Seasonal radon characteristics are discussed at 6 stations (Macquarie Island, King Sejong, Neumayer, Dumont d'Urville, Jang Bogo and Dome Concordia) using 1-4 years of continuous observations. Context is provided for differences observed between these sites by Southern Ocean radon transects between 45 and 67 degrees S made by the Research Vessel Investigator. Synoptic transport of continental air within the marine boundary layer (MBL) dominated radon seasonal cycles in the mid-Southern Ocean site (Macquarie Island). MBL synoptic transport, tropospheric injection, and Antarctic outflow all contributed to the seasonal cycle at the sub-Antarctic site (King Sejong). Tropospheric subsidence and injection events delivered terrestrially influenced air to the Southern Ocean MBL in the vicinity of the circumpolar trough (or Polar Front). Katabatic outflow events from Antarctica were observed to modify trace gas and aerosol characteristics of the MBL 100-200 km off the coast. Radon seasonal cycles at coastal Antarctic sites were dominated by a combination of local radon sources in summer and subsidence of terrestrially influenced tropospheric air, whereas those on the Antarctic Plateau were primarily controlled by tropospheric subsidence. Separate characterization of long-term marine and katabatic flow air masses at Dumont d'Urville revealed monthly mean differences in summer of up to 5 ppbv in ozone and 0.3 ng m(-3) in gaseous elemental mercury. These differences were largely attributed to chemical processes on the Antarctic Plateau. A comparison of our observations with some Antarctic radon simulations by global climate models over the past two decades indicated that: (i) some models overestimate synoptic transport to Antarctica in the MBL, (ii) the seasonality of the Antarctic ice sheet needs to be better represented in models, (iii) coastal Antarctic radon sources need to be taken into account, and (iv) the underestimation of radon in subsiding tropospheric air needs to be investigated.</t>
  </si>
  <si>
    <t>[Chambers, Scott D.; Williams, Alastair G.; Griffiths, Alan D.; Crawford, Jagoda] ANSTO, Environm Res, Sydney, NSW, Australia; [Preunkert, Susanne; Legrand, Michel; Magand, Olivier; Dommergue, Aurelien] Univ Grenoble Alpes, CNRS, IRD, IGE, Grenoble, France; [Weller, Rolf] Alfred Wegener Inst Polar &amp; Marine Res, Bremerhaven, Germany; [Hong, Sang-Bum; Choi, Taejin J.] Korea Polar Res Inst, Incheon, South Korea; [Humphries, Ruhi S.; Krummel, Paul B.; Molloy, Suzie; Loh, Zoe; Galbally, Ian] CSIRO Oceans &amp; Atmosphere, Climate Sci Ctr, Aspendale, Vic, Australia; [Humphries, Ruhi S.; Simmons, Jack; Wilson, Stephen] Univ Wollongong, Ctr Atmospher Chem, Wollongong, NSW, Australia; [Tositti, Laura] Univ Bologna, Environm Chem &amp; Radioact Lab, Bologna, Italy; [Angot, Helene] MIT, Inst Data Syst &amp; Soc, 77 Massachusetts Ave, Cambridge, MA 02139 USA; [Sprovieri, Francesca; Pirrone, Nicola] CNR Inst Atmospher Pollut Res, Monterotondo, Italy</t>
  </si>
  <si>
    <t>Australian Nuclear Science &amp; Technology Organisation; Centre National de la Recherche Scientifique (CNRS); Institut de Recherche pour le Developpement (IRD); Communaute Universite Grenoble Alpes; Universite Grenoble Alpes (UGA); Helmholtz Association; Alfred Wegener Institute, Helmholtz Centre for Polar &amp; Marine Research; Korea Polar Research Institute (KOPRI); Commonwealth Scientific &amp; Industrial Research Organisation (CSIRO); University of Wollongong; University of Bologna; Massachusetts Institute of Technology (MIT); Consiglio Nazionale delle Ricerche (CNR); Istituto Sull'inquinamento Atmosferico (IIA-CNR)</t>
  </si>
  <si>
    <t>Chambers, SD (corresponding author), ANSTO, Environm Res, Sydney, NSW, Australia.</t>
  </si>
  <si>
    <t>szc@ansto.gov.au</t>
  </si>
  <si>
    <t>Williams, Alastair/N-3193-2019; dommergue, aurelien/HLP-6539-2023; Legrand, Michel/AAU-4678-2020; Humphries, Ruhi S/M-4074-2018; Krummel, Paul B/A-4293-2013; Pirrone, Nicola/IXD-5019-2023; Loh, Zoe/AAD-5268-2021; Tositti, Laura/L-3562-2016; , Scott/AAI-6917-2020; Loh, Zoe M/B-8697-2013; Wilson, Stephen R/O-6151-2018; Galbally, Ian/E-5852-2011; Griffiths, Alan/I-4766-2014</t>
  </si>
  <si>
    <t>Williams, Alastair/0000-0002-0568-8487; dommergue, aurelien/0000-0002-8185-9604; Humphries, Ruhi S/0000-0002-4864-5321; Krummel, Paul B/0000-0002-4884-3678; Loh, Zoe/0000-0001-6424-1098; Tositti, Laura/0000-0002-1778-672X; Wilson, Stephen R/0000-0003-4546-2527; Chambers, Scott/0000-0002-2521-959X; Simmons, Jack/0000-0001-5168-4076; Galbally, Ian/0000-0003-2383-1360; Griffiths, Alan/0000-0003-1135-1810</t>
  </si>
  <si>
    <t>KOPRI research grants [PE18010]; Australia Korea Foundation (AKF2014) [00102]; Global Mercury Observation System (GMOS) project; Labex OSUG@2020 [ANR10 LABX56]; French Polar Institute IPEV [1028, 1011]; U.S. National Science Foundation (NSF) [1142145]; National Science Foundation of the United States of America; French Polar Institute IPEV (GMOstral); Office of Polar Programs (OPP); Directorate For Geosciences [1142145] Funding Source: National Science Foundation</t>
  </si>
  <si>
    <t>KOPRI research grants(Korea Polar Research Institute of Marine Research Placement (KOPRI)); Australia Korea Foundation (AKF2014); Global Mercury Observation System (GMOS) project; Labex OSUG@2020; French Polar Institute IPEV; U.S. National Science Foundation (NSF)(National Science Foundation (NSF)); National Science Foundation of the United States of America(National Science Foundation (NSF)); French Polar Institute IPEV (GMOstral); Office of Polar Programs (OPP); Directorate For Geosciences(National Science Foundation (NSF)NSF - Directorate for Geosciences (GEO))</t>
  </si>
  <si>
    <t>This research was partly supported by KOPRI research grants (PE18010) and The Australia Korea Foundation (AKF2014Grant00102). Atmospheric Hg measurements were supported by the FP7 (2010-2015) Global Mercury Observation System (GMOS) project. This work contributed to the EU-FP7 project Global Mercury Observation System (GMOS, www.gmos.eu) and has been supported by a grant from Labex OSUG@2020 (Investissements d'avenir -ANR10 LABX56). Logistical and financial support was provided by the French Polar Institute IPEV (Program 1028, GMOstral and Program 1011) and a grant from the U.S. National Science Foundation (NSF, PLR#1142145). The Automatic Weather Station Project, which supplied the meteorological parameters for Dome Concordia, is run by Charles R. Stearns at the University of Wisconsin-Madison and is funded by the National Science Foundation of the United States of America.</t>
  </si>
  <si>
    <t>NOV 8</t>
  </si>
  <si>
    <t>10.3389/feart.2018.00190</t>
  </si>
  <si>
    <t>HF2SD</t>
  </si>
  <si>
    <t>WOS:000454085800002</t>
  </si>
  <si>
    <t>Lakkala, K; Redondas, A; Meinander, O; Thölix, L; Hamari, B; Almansa, AF; Carreno, V; García, RD; Torres, C; Deferrari, G; Ochoa, H; Bernhard, G; Sanchez, R; de Leeuw, G</t>
  </si>
  <si>
    <t>Lakkala, Kaisa; Redondas, Alberto; Meinander, Outi; Tholix, Laura; Hamari, Britta; Fernando Almansa, Antonio; Carreno, Virgilio; Delia Garcia, Rosa; Torres, Carlos; Deferrari, Guillermo; Ochoa, Hector; Bernhard, Germar; Sanchez, Ricardo; de Leeuw, Gerrit</t>
  </si>
  <si>
    <t>UV measurements at Marambio and Ushuaia during 2000-2010</t>
  </si>
  <si>
    <t>TOTAL OZONE; QUALITY-ASSURANCE; MULTICHANNEL; RADIATION; NETWORK</t>
  </si>
  <si>
    <t>Solar ultraviolet (UV) irradiances were measured with NILU-UV multichannel radiometers at Ushuaia (54 degrees S) and Marambio (64 degrees S) between 2000 and 2013. The measurements were part of the Antarctic NILU-UV network, which was started in cooperation between Spain, Argentina and Finland. The erythemally weighted UV irradiance time series of both stations were analysed for the first time. The quality assurance procedures included a travelling reference instrument to transfer the irradiance scale to the stations. The time series were homogenized and high quality measurements were available for the period 2000-2010. During this period UV indices of 11 or more were measured on 5 and 35 days at Marambio and Ushuaia, respectively. At Marambio, the peak daily maximum UV index of 12 and daily doses of around 7 kJ m(-2) were measured in November 2007. The highest UV daily doses at both stations were typically around 6 kJ m(-2) and occurred when the stations were inside the polar vortex, resulting in very low total ozone amount. At both stations, daily doses in late November could even exceed those in the summer. At Marambio, in some years, also daily doses in October can be as high as those during the summer. At Ushuaia, the peak daily maximum UV index of 13 was measured twice: in November 2003 and 2009. Also during those days, the station of Ushuaia was inside the polar vortex.</t>
  </si>
  <si>
    <t>[Lakkala, Kaisa; Hamari, Britta; de Leeuw, Gerrit] Finnish Meteorol Inst, Climate Res Programme, Kuopio, Finland; [Lakkala, Kaisa] Finnish Meteorol Inst, Space &amp; Earth Observat Ctr, Sodankyla, Finland; [Redondas, Alberto; Fernando Almansa, Antonio; Carreno, Virgilio; Delia Garcia, Rosa; Torres, Carlos] Agencia Estatal Meteorol, Izana Atmospher Res Ctr, Tenerife, Spain; [Meinander, Outi; Tholix, Laura] Finnish Meteorol Inst, Climate Res Programme, Helsinki, Finland; [Delia Garcia, Rosa] Delegac Canarias, Air Liquide Espana, Candelaria, Spain; [Delia Garcia, Rosa] Valladolid Univ, Atmospher Opt Grp, Valladolid, Spain; [Deferrari, Guillermo] Consejo Nacl Invest Cient &amp; Tecn, Ctr Austral Invest Cient CADIC, Ushuaia, Argentina; [Deferrari, Guillermo] Univ Nacl Tierra del Fuego, Ushuaia, Argentina; [Ochoa, Hector] Inst Antartico Argentino, Direcc Nacl Antartico, Buenos Aires, DF, Argentina; [Bernhard, Germar] Biospher Inc, San Diego, CA USA; [Sanchez, Ricardo] Serv Meteorol Nacl, Buenos Aires, DF, Argentina</t>
  </si>
  <si>
    <t>Finnish Meteorological Institute; Finnish Meteorological Institute; Agencia Estatal de Meteorologia (AEMET); Centro de Investigacion Atmosferica de Izana (CIAI); Finnish Meteorological Institute; Air Liquide; Universidad de Valladolid; Consejo Nacional de Investigaciones Cientificas y Tecnicas (CONICET); Instituto Antartico Argentino</t>
  </si>
  <si>
    <t>Lakkala, K (corresponding author), Finnish Meteorol Inst, Climate Res Programme, Kuopio, Finland.;Lakkala, K (corresponding author), Finnish Meteorol Inst, Space &amp; Earth Observat Ctr, Sodankyla, Finland.</t>
  </si>
  <si>
    <t>kaisa.lakkala@fmi.fi</t>
  </si>
  <si>
    <t>Meinander, Outi I/M-8589-2014; Thölix, Laura/F-3076-2015; Delia, Garcia Rosa/N-7757-2019; Redondas, Alberto/L-9299-2015; Torres, Carlos/L-9035-2018; de Leeuw, Gerrit/AAI-3270-2020; Bernhard, Germar H/B-4460-2018; Meinander, Outi/AAN-1460-2020; Lakkala, Kaisa/AAN-4342-2020; Bernhard, Germar/AAZ-7169-2020</t>
  </si>
  <si>
    <t>Delia, Garcia Rosa/0000-0002-9451-1631; Redondas, Alberto/0000-0002-4826-6823; Torres, Carlos/0000-0002-5382-8835; de Leeuw, Gerrit/0000-0002-1649-6333; Meinander, Outi/0000-0001-6608-3951; Lakkala, Kaisa/0000-0003-2840-1132; Bernhard, Germar/0000-0002-1264-0756</t>
  </si>
  <si>
    <t>Academy of Finland through project FARPOCC; Academy of Finland through project SAARA; National R+D Plan of the Spanish Ministry of Science and Technology (National Research Program in the Antarctic) [REN2000-0245-C02-01]; U.S. National Science Foundation's Office of Polar Programs</t>
  </si>
  <si>
    <t>Academy of Finland through project FARPOCC(Research Council of Finland); Academy of Finland through project SAARA; National R+D Plan of the Spanish Ministry of Science and Technology (National Research Program in the Antarctic); U.S. National Science Foundation's Office of Polar Programs(National Science Foundation (NSF))</t>
  </si>
  <si>
    <t>The Academy of Finland supported this work financially through projects FARPOCC and SAARA. The MAR Project was financed by the National R+D Plan of the Spanish Ministry of Science and Technology (National Research Program in the Antarctic) under contract REN2000-0245-C02-01. The SUV-100 spectroradiometer UV data from Ushuaia were provided by the NSF UV Monitoring Network, operated by Biospherical Instruments Inc. and funded by the U.S. National Science Foundation's Office of Polar Programs. We thank the operators of the MAR project at Marambio and Ushuaia. Arne Dahlback and Bjorn Johnsen are acknowledged for the calibration of the NILU-UVs. We thank the operators of the FMI Brewers at Sodankyla and Jokioinen. Tapani Koskela is acknowledged for processing the Brewer data of Jokioinen. The OMI/AURA and TOMS teams are thanked for the satellite ozone data. We thank Eija Asmi and Edith Rodriguez from FMI for logistics, and Lasse Ylianttila from the Finnish Radiation and Nucleation Safety Authority (STUK) for calibration of SL501A radiometers.</t>
  </si>
  <si>
    <t>10.5194/acp-18-16019-2018</t>
  </si>
  <si>
    <t>GZ6OC</t>
  </si>
  <si>
    <t>WOS:000449556900001</t>
  </si>
  <si>
    <t>Lanfranchi, AL; Braicovich, PE; Cantatore, DMP; Irigoitia, MM; Farber, MD; Taglioretti, V; Timi, JT</t>
  </si>
  <si>
    <t>Lanfranchi, Ana L.; Braicovich, Paola E.; Cantatore, Delfina M. P.; Irigoitia, Manuel M.; Farber, Marisa D.; Taglioretti, Veronica; Timi, Juan T.</t>
  </si>
  <si>
    <t>Influence of confluent marine currents in an ecotonal region of the South-West Atlantic on the distribution of larval anisakids (Nematoda: Anisakidae)</t>
  </si>
  <si>
    <t>PARASITES &amp; VECTORS</t>
  </si>
  <si>
    <t>Anisakis pegreffii; Anisakis berlandi; Anisakis typica; Zenopsis conchifer; Zoogeographical indicators</t>
  </si>
  <si>
    <t>FLATHEAD PERCOPHIS-BRASILIENSIS; SIMPLEX S. S.; SOUTHWESTERN ATLANTIC; PARASITE COMMUNITIES; BIOLOGICAL TAGS; STOCK DISCRIMINATION; AMERICAN ATLANTIC; GENETIC IDENTIFICATION; INTEGRATIVE TAXONOMY; STRANDED CETACEANS</t>
  </si>
  <si>
    <t>BackgroundIn the marine environment, transitional zones between major water masses harbour high biodiversity, mostly due to their productivity and by containing representatives of species characteristic of adjacent communities. With the aim of assessing the value of larval Anisakis as zoogeographical indicators in a transitional zone between subtropical and sub-Antarctic marine currents, larvae obtained from Zenopsis conchifer were genetically identified. Larvae from Pagrus pagrus and Merluccius hubbsi from two adjacent zoogeographical provinces were also sequenced.ResultsFour species were genetically identified in the whole sample, including Anisakis typica, A. pegreffii, A. berlandi and a probably new species related to A. paggiae. Anisakis typica and A. pegreffii were identified as indicators of tropical/subtropical and sub-Antarctic waters, respectively, and their presence evidenced the transitional conditions of the region. Multivariate analyses on prevalence and mean abundance of Anisakis spp. of 18 samples represented by 9 fish species caught south of 35 degrees S determined that host trophic level and locality of capture were the main drivers of the distribution of parasites across zoogeographical units in the South-West Atlantic.ConclusionsMost samples followed a clear zoogeographical pattern, but the sample of Z. conchifer, composed mostly of A. typica, was an exception. This finding suggests that population parameters of A. typica and A. pegreffii could differ enough to be considered as a surrogates of the identity of larvae parasitizing a given host population and, therefore, a step forward the validation of the use of larval Anisakis as biological indicators for studies on host zoogeography.</t>
  </si>
  <si>
    <t>[Lanfranchi, Ana L.; Braicovich, Paola E.; Cantatore, Delfina M. P.; Irigoitia, Manuel M.; Taglioretti, Veronica; Timi, Juan T.] Univ Nacl Mar del Plata, Consejo Nacl Invest Cient &amp; Tecn CONICET, Fac Ciencias Exactas &amp; Nat, Lab Ictioparasitol,IIMyC, RA-3350 Mar Del Plata, Funes, Argentina; [Farber, Marisa D.] INTA, Inst Biotecnol, Hurlingham, Buenos Aires, Argentina</t>
  </si>
  <si>
    <t>National University of Mar del Plata; Consejo Nacional de Investigaciones Cientificas y Tecnicas (CONICET); Instituto Nacional de Tecnologia Agropecuaria (INTA)</t>
  </si>
  <si>
    <t>Lanfranchi, AL (corresponding author), Univ Nacl Mar del Plata, Consejo Nacl Invest Cient &amp; Tecn CONICET, Fac Ciencias Exactas &amp; Nat, Lab Ictioparasitol,IIMyC, RA-3350 Mar Del Plata, Funes, Argentina.</t>
  </si>
  <si>
    <t>lanfra@mdp.edu.ar</t>
  </si>
  <si>
    <t>Timi, Juan T./AEQ-0334-2022; Timi, Juan/HJI-2016-2023</t>
  </si>
  <si>
    <t>CONICET [112-201501-009763]; ANPCYT; UNMdP [Exa 915/18]</t>
  </si>
  <si>
    <t>CONICET(Consejo Nacional de Investigaciones Cientificas y Tecnicas (CONICET)); ANPCYT(ANPCyT); UNMdP</t>
  </si>
  <si>
    <t>Financial support was provided by grants from CONICET (PIP #112-201501-009763), ANPCYT (PICT 2015 #2013) and UNMdP (Exa 915/18).</t>
  </si>
  <si>
    <t>1756-3305</t>
  </si>
  <si>
    <t>PARASITE VECTOR</t>
  </si>
  <si>
    <t>Parasites Vectors</t>
  </si>
  <si>
    <t>10.1186/s13071-018-3119-7</t>
  </si>
  <si>
    <t>GZ9NY</t>
  </si>
  <si>
    <t>WOS:000449828200001</t>
  </si>
  <si>
    <t>Vieli, GJMCL; Martín, C; Hindmarsh, RCA; Lüthi, MP</t>
  </si>
  <si>
    <t>Vieli, G. J-M C. Leysinger; Martin, C.; Hindmarsh, R. C. A.; Luthi, M. P.</t>
  </si>
  <si>
    <t>Basal freeze-on generates complex ice-sheet stratigraphy</t>
  </si>
  <si>
    <t>GREENLAND ICE; FLOW; DEFORMATION; VARIABILITY; GLACIER; PATCHES; SURFACE; BENEATH; ORIGIN; MODEL</t>
  </si>
  <si>
    <t>Large, plume-like internal ice-layer-structures have been observed in radar images from both Antarctica and Greenland, rising from the ice-sheet base to up to half of the ice thickness. Their origins are not yet understood. Here, we simulate their genesis by basal freeze-on using numerical ice-flow modelling and analyse the transient evolution of the emerging ice-plume and the surrounding ice-layer structure as a function of both freeze-on rate and ice flux. We find good agreement between radar observations, modelled ice-plume geometry and internal layer structure, and further show that plume height relates primarily to ice-flux and only secondarily to freeze-on. An in-depth analysis, performed for Northern Greenland of observed spatial plume distribution related to ice flow, basal topography and water availability supports our findings regarding ice flux and suggests freeze-on is controlled by ascending subglacial water flow. Our results imply that widespread basal freeze-on strongly affects ice stratigraphy and consequently ice-core interpretations.</t>
  </si>
  <si>
    <t>[Vieli, G. J-M C. Leysinger; Luthi, M. P.] Univ Zurich, Dept Geog, Glaciol &amp; Geomorphodynam Grp, Winterthurerstr 190, CH-8057 Zurich, Switzerland; [Martin, C.; Hindmarsh, R. C. A.] British Antarctic Survey, Nat Environm Res Council, Madingley Rd, Cambridge CB3 0ET, England</t>
  </si>
  <si>
    <t>University of Zurich; UK Research &amp; Innovation (UKRI); Natural Environment Research Council (NERC); NERC British Antarctic Survey</t>
  </si>
  <si>
    <t>Vieli, GJMCL (corresponding author), Univ Zurich, Dept Geog, Glaciol &amp; Geomorphodynam Grp, Winterthurerstr 190, CH-8057 Zurich, Switzerland.</t>
  </si>
  <si>
    <t>gwendolyn.leysinger@geo.uzh.ch</t>
  </si>
  <si>
    <t>Hindmarsh, Richard/N-1195-2019; Martin, Carlos/S-2778-2018</t>
  </si>
  <si>
    <t>Hindmarsh, Richard/0000-0003-1633-2416; Leysinger Vieli, Gwendolyn/0000-0003-1817-0641; Martin, Carlos/0000-0002-2661-169X</t>
  </si>
  <si>
    <t>Faculty of Science, University of Zurich, Switzerland; Polar Science for Planet Earth from the Natural Environment Research Council (NERC); University of Kansas; NASA Operation IceBridge grant [NNX16AH54G]; NSF [ACI-1443054]; Royal Society BP Dorothy Hodgkin Fellowship; NERC [NE/J009768/1, NE/J008176/1, NE/J008087/1, bas0100034, NE/J008095/1, NE/J005754/1] Funding Source: UKRI; Natural Environment Research Council [NE/J008087/1, NE/J008095/1, NE/J009768/1, NE/J008176/1] Funding Source: researchfish</t>
  </si>
  <si>
    <t>Faculty of Science, University of Zurich, Switzerland; Polar Science for Planet Earth from the Natural Environment Research Council (NERC); University of Kansas; NASA Operation IceBridge grant; NSF(National Science Foundation (NSF)); Royal Society BP Dorothy Hodgkin Fellowship; NERC(UK Research &amp; Innovation (UKRI)Natural Environment Research Council (NERC)); Natural Environment Research Council(UK Research &amp; Innovation (UKRI)Natural Environment Research Council (NERC))</t>
  </si>
  <si>
    <t>G.J.-M.C.L.V. and M.P.L. were funded by the Faculty of Science, University of Zurich, Switzerland. While at Department of Geography, Durham University, UK, G.J.-M.C.L.V. was funded by a Royal Society BP Dorothy Hodgkin Fellowship. C.M. and R.C.A.H. were partly supported as part of the Polar Science for Planet Earth funding from the Natural Environment Research Council (NERC) to the British Antarctic Survey, UK. We acknowledge the use of data and/or data products from CReSIS generated with support from the University of Kansas, NASA Operation IceBridge grant NNX16AH54G, and NSF grant ACI-1443054. We thank Andreas Vieli for many constructive discussions and comments.</t>
  </si>
  <si>
    <t>NOV 7</t>
  </si>
  <si>
    <t>10.1038/s41467-018-07083-3</t>
  </si>
  <si>
    <t>GZ4KO</t>
  </si>
  <si>
    <t>WOS:000449363900018</t>
  </si>
  <si>
    <t>Wu, X; Griessbach, S; Hoffmann, L</t>
  </si>
  <si>
    <t>Wu, Xue; Griessbach, Sabine; Hoffmann, Lars</t>
  </si>
  <si>
    <t>Long-range transport of volcanic aerosol from the 2010 Merapi tropical eruption to Antarctica</t>
  </si>
  <si>
    <t>STRATOSPHERIC OZONE DEPLETION; SULFUR-DIOXIDE; POLAR STRATOSPHERE; MIPAS OBSERVATIONS; DATA PRODUCTS; TROPOSPHERE; CLIMATE; IMPACT; LAYER; SIMULATIONS</t>
  </si>
  <si>
    <t>Volcanic sulfate aerosol is an important source of sulfur for Antarctica, where other local sources of sulfur are rare. Midlatitude and high-latitude volcanic eruptions can directly influence the aerosol budget of the polar stratosphere. However, tropical eruptions can also enhance polar aerosol load following long-range transport. In the present work, we analyze the volcanic plume of a tropical eruption, Mount Merapi in 2010, and investigate the transport pathway of the volcanic aerosol from the tropical tropopause layer (TTL) to the lower stratosphere over Antarctica. We use the Lagrangian particle dispersion model Massive-Parallel Trajectory Calculations (MPTRAC) and Atmospheric Infrared Sounder (AIRS) SO2 measurements to reconstruct the altitude-resolved SO2 injection time series during the explosive eruption period and simulate the transport of the volcanic plume using the MPTRAC model. AIRS SO2 and aerosol measurements, the aerosol cloud index values provided by Michelson Interferometer for Passive Atmospheric Sounding (MIPAS), are used to verify and complement the simulations. The Lagrangian transport simulation of the volcanic plume is compared with MIPAS aerosol measurements and shows good agreement. Both the simulations and the observations presented in this study suggest that volcanic plumes from the Merapi eruption were transported to the south of 60 degrees S 1 month after the eruption and even further to Antarctica in the following months. This relatively fast meridional transport of volcanic aerosol was mainly driven by quasi-horizontal mixing from the TTL to the extratropical lower stratosphere, and most of the quasi-horizontal mixing occurred between the isentropic surfaces of 360 to 430 K. When the plume went to Southern Hemisphere high lati-tudes, the polar vortex was displaced from the South Pole, so that the volcanic plume was carried to the South Pole without penetrating the polar vortex. Although only 4% of the sulfur injected by the Merapi eruption was transported into the lower stratosphere south of 60 degrees S, the Merapi eruption contributed up to 8800 t of sulfur to the Antarctic lower stratosphere. This indicates that the long-range transport under favorable meteorological conditions enables a moderate tropical volcanic eruption to be an important remote source of sulfur for the Antarctic stratosphere.</t>
  </si>
  <si>
    <t>[Wu, Xue; Griessbach, Sabine; Hoffmann, Lars] Forschungszentrum Julich, Julich Supercomp Ctr, Julich, Germany; [Wu, Xue] Chinese Acad Sci, Inst Atmospher Phys, Key Lab Middle Atmosphere &amp; Global Environm Obser, Beijing, Peoples R China</t>
  </si>
  <si>
    <t>Helmholtz Association; Research Center Julich; Chinese Academy of Sciences; Institute of Atmospheric Physics, CAS</t>
  </si>
  <si>
    <t>Wu, X (corresponding author), Forschungszentrum Julich, Julich Supercomp Ctr, Julich, Germany.;Wu, X (corresponding author), Chinese Acad Sci, Inst Atmospher Phys, Key Lab Middle Atmosphere &amp; Global Environm Obser, Beijing, Peoples R China.</t>
  </si>
  <si>
    <t>xu.wu@fz-juelich.de</t>
  </si>
  <si>
    <t>Wu, Xue/R-9302-2019; Hoffmann, Lars/ABI-3746-2020; Hoffmann, Lars/A-5173-2013</t>
  </si>
  <si>
    <t>Wu, Xue/0000-0002-0427-782X; Hoffmann, Lars/0000-0003-3773-4377; Hoffmann, Lars/0000-0003-3773-4377; Griessbach, Sabine/0000-0003-3792-3573</t>
  </si>
  <si>
    <t>National Natural Science Foundation of China [41605023]; China Postdoctoral Science Foundation [2018T110131]; International Postdoctoral Exchange Fellowship Program [20151006]</t>
  </si>
  <si>
    <t>National Natural Science Foundation of China(National Natural Science Foundation of China (NSFC)); China Postdoctoral Science Foundation(China Postdoctoral Science Foundation); International Postdoctoral Exchange Fellowship Program</t>
  </si>
  <si>
    <t>This work was supported by the National Natural Science Foundation of China under grant no. 41605023, the China Postdoctoral Science Foundation under grant no. 2018T110131 and the International Postdoctoral Exchange Fellowship Program 2015 under grant no. 20151006.</t>
  </si>
  <si>
    <t>NOV 6</t>
  </si>
  <si>
    <t>10.5194/acp-18-15859-2018</t>
  </si>
  <si>
    <t>GZ5QA</t>
  </si>
  <si>
    <t>WOS:000449479300001</t>
  </si>
  <si>
    <t>Liu, YB; Li, ZX; Pisarevsky, SA; Kirscher, U; Mitchell, RN; Stark, JC; Clark, C; Hand, M</t>
  </si>
  <si>
    <t>Liu, Yebo; Li, Zheng-Xiang; Pisarevsky, Sergei A.; Kirscher, Uwe; Mitchell, Ross N.; Stark, J. Camilla; Clark, Chris; Hand, Martin</t>
  </si>
  <si>
    <t>First Precambrian palaeomagnetic data from the Mawson Craton (East Antarctica) and tectonic implications</t>
  </si>
  <si>
    <t>ALBANY-FRASER OROGEN; DRONNING MAUD LAND; BUNGER HILLS; WESTERN-AUSTRALIA; DYKE SWARM; ZIRCON GEOCHRONOLOGY; BASEMENT PROVINCES; COATS LAND; EVOLUTION; PALEOGEOGRAPHY</t>
  </si>
  <si>
    <t>A pilot palaeomagnetic study was conducted on the recently dated with in situ SHRIMP U-Pb method at 1134 +/- 9 Ma (U-Pb, zircon and baddeleyite) Bunger Hills dykes of the Mawson Craton (East Antarctica). Of the six dykes sampled, three revealed meaningful results providing the first well-dated Mesoproterozoic palaeopole at 40.5 degrees S, 150.1 degrees E (A(95) = 20 degrees) for the Mawson Craton. Discordance between this new pole and two roughly coeval poles from Dronning Maud Land and Coats Land (East Antarctica) demonstrates that these two terranes were not rigidly connected to the Mawson Craton ca. 1134 Ma. Comparison between the new pole and that of the broadly coeval Lakeview dolerite from the North Australian Craton supports the putative similar to 40 degrees late Neoproterozoic relative rotation between the North Australian Craton and the combined South and West Australian cratons. A mean ca. 1134 Ma pole for the Proto-Australia Craton is calculated by combining our new pole and that of the Lakeview dolerite after restoring the 40 degrees intracontinental rotation. A comparison of this mean pole with the roughly coeval Abitibi dykes pole from Laurentia confirms that the SWEAT reconstruction of Australia and Laurentia was not viable for ca. 1134 Ma.</t>
  </si>
  <si>
    <t>[Liu, Yebo; Li, Zheng-Xiang; Pisarevsky, Sergei A.; Kirscher, Uwe; Mitchell, Ross N.; Stark, J. Camilla] Curtin Univ, ARC Ctr Excellence Core Crust Fluid Syst CCFS, Earth Dynam Res Grp, GPO Box U1987, Bentley, WA 6845, Australia; [Liu, Yebo; Li, Zheng-Xiang; Pisarevsky, Sergei A.; Kirscher, Uwe; Mitchell, Ross N.; Stark, J. Camilla] Curtin Univ, Sch Earth &amp; Planetary Sci, Inst Geosci Res TIGeR, GPO Box U1987, Bentley, WA 6845, Australia; [Clark, Chris] Curtin Univ, Sch Earth &amp; Planetary Sci, GPO Box U1987, Bentley, WA 6845, Australia; [Hand, Martin] Univ Adelaide, Sch Phys Sci, Dept Earth Sci, Adelaide, SA 5005, Australia</t>
  </si>
  <si>
    <t>Curtin University; Curtin University; Curtin University; University of Adelaide</t>
  </si>
  <si>
    <t>Liu, YB (corresponding author), Curtin Univ, ARC Ctr Excellence Core Crust Fluid Syst CCFS, Earth Dynam Res Grp, GPO Box U1987, Bentley, WA 6845, Australia.;Liu, YB (corresponding author), Curtin Univ, Sch Earth &amp; Planetary Sci, Inst Geosci Res TIGeR, GPO Box U1987, Bentley, WA 6845, Australia.</t>
  </si>
  <si>
    <t>yebo.liu@postgrad.curtin.edu.au</t>
  </si>
  <si>
    <t>Kirscher, Uwe/GYI-8992-2022; Kirscher, Uwe/AAG-9960-2020; Clark, Chris/B-6471-2008; Pisarevsky, Sergei/T-2882-2019; Li, Zheng-Xiang/B-8827-2008</t>
  </si>
  <si>
    <t>Kirscher, Uwe/0000-0003-4203-1430; Clark, Chris/0000-0001-9982-7849; Li, Zheng-Xiang/0000-0003-4350-5976; Liu, Yebo/0000-0002-5752-0854; hand, martin/0000-0003-3743-9706; Pisarevskiy, Sergei/0000-0002-8033-5630</t>
  </si>
  <si>
    <t>ARC Laureate Fellowship Grant [FL150100133]; Australian Antarctic Science Project [4191]</t>
  </si>
  <si>
    <t>ARC Laureate Fellowship Grant(Australian Research Council); Australian Antarctic Science Project</t>
  </si>
  <si>
    <t>This is a contribution to IGCP648. This work was funded by ARC Laureate Fellowship Grant (FL150100133) to ZXL and Australian Antarctic Science Project 4191 to MH and CC. Constructive comments from two anonymous reviewers and editor Chenglong Deng greatly improved the manuscript and are gratefully acknowledged.</t>
  </si>
  <si>
    <t>10.1038/s41598-018-34748-2</t>
  </si>
  <si>
    <t>GZ3GB</t>
  </si>
  <si>
    <t>WOS:000449274000036</t>
  </si>
  <si>
    <t>Song, SJ; Angot, H; Selin, NE; Gallée, H; Sprovieri, F; Pirrone, N; Helmig, D; Savarino, J; Magand, O; Dommergue, A</t>
  </si>
  <si>
    <t>Song, Shaojie; Angot, Helene; Selin, Noelle E.; Gallee, Hubert; Sprovieri, Francesca; Pirrone, Nicola; Helmig, Detlev; Savarino, Joel; Magand, Olivier; Dommergue, Aurelien</t>
  </si>
  <si>
    <t>Understanding mercury oxidation and air-snow exchange on the East Antarctic Plateau: a modeling study</t>
  </si>
  <si>
    <t>GASEOUS ELEMENTAL MERCURY; ATMOSPHERIC NITROGEN-OXIDES; COASTAL DUMONT DURVILLE; BOUNDARY-LAYER; DOME C; OXIDIZED MERCURY; INTERSTITIAL AIR; SURFACE OZONE; SOUTH-POLE; SEA-SALT</t>
  </si>
  <si>
    <t>Distinct diurnal and seasonal variations of mercury (Hg) have been observed in near-surface air at Concordia Station on the East Antarctic Plateau, but the processes controlling these characteristics are not well understood. Here, we use a box model to interpret the Hg-0 (gaseous elemental mercury) measurements in thes year 2013. The model includes atmospheric Hg-0 oxidation (by OH, O-3, or bromine), surface snow Hg-II (oxidized mercury) reduction, and air-snow exchange, and is driven by meteorological fields from a regional climate model. The simulations suggest that a photochemically driven mercury diurnal cycle occurs at the air-snow interface in austral summer. The fast oxidation of Hg-0 in summer may be provided by a two-step bromine-initiated scheme, which is favored by low temperature and high nitrogen oxides at Concordia. The summertime diurnal variations of Hg-0 (peaking during daytime) may be confined within several tens of meters above the snow surface and affected by changing mixed layer depths. Snow re-emission of Hg-0 is mainly driven by photoreduction of snow HgII in summer. Intermittent warming events and a hypothesized reduction of Hg-II occurring in snow in the dark may be important processes controlling the mercury variations in the non-summer period, although their relative importance is uncertain. The Br-initiated oxidation of Hg-0 is expected to be slower at Summit Station in Greenland than at Concordia (due to their difference in temperature and levels of nitrogen oxides and ozone), which may contribute to the observed differences in the summertime diurnal variations of Hg-0 between these two polar inland stations.</t>
  </si>
  <si>
    <t>[Song, Shaojie; Selin, Noelle E.] MIT, Dept Earth Atmospher &amp; Planetary Sci, Cambridge, MA 02139 USA; [Angot, Helene; Selin, Noelle E.] MIT, Inst Data Syst &amp; Soc, 77 Massachusetts Ave, Cambridge, MA 02139 USA; [Gallee, Hubert; Savarino, Joel; Magand, Olivier; Dommergue, Aurelien] Univ Grenoble Alpes, CNRS, IRD, Grenoble INP,IGE, Grenoble, France; [Sprovieri, Francesca] CNR, Inst Atmospher Pollut Res, Arcavacata Di Rende, Italy; [Pirrone, Nicola] CNR, Inst Atmospher Pollut Res, Rome, Italy; [Helmig, Detlev] Univ Colorado, Inst Arctic &amp; Alpine Res INSTAAR, Boulder, CO 80309 USA; [Song, Shaojie] Harvard Univ, Sch Engn &amp; Appl Sci, Cambridge, MA 02138 USA</t>
  </si>
  <si>
    <t>Massachusetts Institute of Technology (MIT); Massachusetts Institute of Technology (MIT); Communaute Universite Grenoble Alpes; Institut National Polytechnique de Grenoble; Institut de Recherche pour le Developpement (IRD); Centre National de la Recherche Scientifique (CNRS); Universite Grenoble Alpes (UGA); Consiglio Nazionale delle Ricerche (CNR); Istituto Sull'inquinamento Atmosferico (IIA-CNR); Consiglio Nazionale delle Ricerche (CNR); Istituto Sull'inquinamento Atmosferico (IIA-CNR); University of Colorado System; University of Colorado Boulder; Harvard University</t>
  </si>
  <si>
    <t>Song, SJ (corresponding author), MIT, Dept Earth Atmospher &amp; Planetary Sci, Cambridge, MA 02139 USA.;Song, SJ (corresponding author), Harvard Univ, Sch Engn &amp; Appl Sci, Cambridge, MA 02138 USA.</t>
  </si>
  <si>
    <t>songs@seas.harvard.edu</t>
  </si>
  <si>
    <t>Pirrone, Nicola/IXD-5019-2023; Selin, Noelle E/A-4158-2008; dommergue, aurelien/HLP-6539-2023; Song, Shaojie/A-1948-2012; Savarino, Joel/H-9730-2012</t>
  </si>
  <si>
    <t>Selin, Noelle E/0000-0002-6396-5622; dommergue, aurelien/0000-0002-8185-9604; Song, Shaojie/0000-0001-6395-7422; Savarino, Joel/0000-0002-6708-9623</t>
  </si>
  <si>
    <t>US NSF Atmospheric Chemistry Program [1053648]; IPEV GMOstral Program 1028; French Polar Institute (Program 1011, SUNITEDC); US NSF Office of Polar Programs [1142145]; LEFE/INSU; Directorate For Geosciences; Office of Polar Programs (OPP) [1142145] Funding Source: National Science Foundation</t>
  </si>
  <si>
    <t>US NSF Atmospheric Chemistry Program; IPEV GMOstral Program 1028; French Polar Institute (Program 1011, SUNITEDC); US NSF Office of Polar Programs(National Science Foundation (NSF)); LEFE/INSU; Directorate For Geosciences; Office of Polar Programs (OPP)(National Science Foundation (NSF)NSF - Directorate for Geosciences (GEO))</t>
  </si>
  <si>
    <t>The authors acknowledge the MISTI Global Seed Funds (MIT-France). The model work at MIT is supported by the US NSF Atmospheric Chemistry Program no. 1053648. Mercury measurements at Concordia Station were initiated with the FP7 GMOS project and are supported by IPEV GMOstral Program 1028. Detlev Helmig acknowledges logistical and financial support by the French Polar Institute (Program 1011, SUNITEDC) and support from the US NSF Office of Polar Programs through grant no. 1142145. Aurelien Dommergue and Joel Savarino thank LEFE/INSU for their financial support. Shaojie Song thanks the MIT Henry Houghton Fund, and Helene Angot the Univ. Grenoble Alpes Doctoral School for Earth, Planetary and Environmental Sciences for travel support. We thank Tomas Sherwen for providing GEOS-Chem bromine model results, Xin Yang for p-TOMCAT bromine model results, Oleg Travnikov for GLEMOS mercury model results, Michel Legrand for ozone observational data, Christophe Genthon for the meteorological observational data, and Jack Dibb for access to the measurement data from Summit Station. We thank Susan Solomon, Ronald Prinn, Daniel Jaffe, Jennie Thomas, Warren Cairns, Jeroen Sonke, Roberto Grilli, Michel Legrand, and Christopher Holmes for comments and/or helpful discussions.</t>
  </si>
  <si>
    <t>NOV 5</t>
  </si>
  <si>
    <t>10.5194/acp-18-15825-2018</t>
  </si>
  <si>
    <t>GZ3YG</t>
  </si>
  <si>
    <t>WOS:000449324300001</t>
  </si>
  <si>
    <t>Ebbing, J; Haas, P; Ferraccioli, F; Pappa, F; Szwillus, W; Bouman, J</t>
  </si>
  <si>
    <t>Ebbing, Joerg; Haas, Peter; Ferraccioli, Fausto; Pappa, Folker; Szwillus, Wolfgang; Bouman, Johannes</t>
  </si>
  <si>
    <t>Earth tectonics as seen by GOCE - Enhanced satellite gravity gradient imaging</t>
  </si>
  <si>
    <t>TRANSANTARCTIC MOUNTAINS; MANTLE; LITHOSPHERE; EVOLUTION; ANTARCTICA; INVERSION; THICKNESS; GEOLOGY; SURFACE; INLAND</t>
  </si>
  <si>
    <t>Curvature components derived from satellite gravity gradients provide new global views of Earth's structure. The satellite gravity gradients are based on the GOCE satellite mission and we illustrate by curvature images how the Earth is seen differently compared to seismic imaging. Tectonic domains with similar seismic characteristic can exhibit distinct differences in satellite gravity gradients maps, which points to differences in the lithospheric build-up. This is particularly apparent for the cratonic regions of the Earth. The comparisons demonstrate that the combination of seismological, and satellite gravity gradient imaging has significant potential to enhance our knowledge of Earth's structure. In remote frontiers like the Antarctic continent, where even basic knowledge of lithospheric scale features remains incomplete, the curvature images help unveil the heterogeneity in lithospheric structure, e.g. between the composite East Antarctic Craton and the West Antarctic Rift System.</t>
  </si>
  <si>
    <t>[Ebbing, Joerg; Haas, Peter; Pappa, Folker; Szwillus, Wolfgang] Univ Kiel, Inst Geowissensch, Kiel, Germany; [Ferraccioli, Fausto] British Antarctic Survey, Cambridge, England; [Bouman, Johannes] BKG, Frankfurt, Germany</t>
  </si>
  <si>
    <t>University of Kiel; UK Research &amp; Innovation (UKRI); Natural Environment Research Council (NERC); NERC British Antarctic Survey</t>
  </si>
  <si>
    <t>Ebbing, J (corresponding author), Univ Kiel, Inst Geowissensch, Kiel, Germany.</t>
  </si>
  <si>
    <t>joerg.ebbing@ifg.uni-kiel.de</t>
  </si>
  <si>
    <t>Haas, Peter/AAD-7589-2022; Ebbing, Joerg/B-8796-2013</t>
  </si>
  <si>
    <t>Haas, Peter/0000-0002-2693-6670; Ebbing, Joerg/0000-0001-7492-5338; Ferraccioli, Fausto/0000-0002-9347-4736</t>
  </si>
  <si>
    <t>European Space Agency (ESA); NERC [bas0100029] Funding Source: UKRI</t>
  </si>
  <si>
    <t>European Space Agency (ESA)(European Space Agency); NERC(UK Research &amp; Innovation (UKRI)Natural Environment Research Council (NERC))</t>
  </si>
  <si>
    <t>This work was supported by the European Space Agency (ESA) as part of the Support to Science Elements GOCE + Antarctica and 3D Earth.</t>
  </si>
  <si>
    <t>10.1038/s41598-018-34733-9</t>
  </si>
  <si>
    <t>GZ3FI</t>
  </si>
  <si>
    <t>WOS:000449272100050</t>
  </si>
  <si>
    <t>Lagostina, E; Dal Grande, F; Andreev, M; Printzen, C</t>
  </si>
  <si>
    <t>Lagostina, Elisa; Dal Grande, Francesco; Andreev, Mikhail; Printzen, Christian</t>
  </si>
  <si>
    <t>The use of microsatellite markers for species delimitation in Antarctic Usnea subgenus Neuropogon</t>
  </si>
  <si>
    <t>MYCOLOGIA</t>
  </si>
  <si>
    <t>DAPC; gene flow; haplotype network; ITS; Parmeliaceae</t>
  </si>
  <si>
    <t>GROUP-I INTRON; GENUS USNEA; PAIR CONCEPT; PHYSCIA-AIPOLIA; BETA-TUBULIN; ASCOMYCOTA; LICHENS; DNA; PARMELIACEAE; FUNGI</t>
  </si>
  <si>
    <t>Lichens are symbiotic associations consisting of a fungal (mycobiont) and one or more photosynthetic (photobionts) partners and are the dominant component, and most important primary producers, of Antarctic terrestrial ecosystems. The most common lichens in the maritime Antarctic are Usnea antarctica and U. aurantiacoatra, a so-called species pair in which U. antarctica shows asexual reproduction and propagation via soredia and U. aurantiacoatra forms ascospores in apothecia. Previous molecular analyses were not able to unambiguously distinguish the two morphotypes as species. Therefore, the goal of this study was to find out whether fast-evolving SSR (single sequence repeat) markers are able to separate morphotypes more clearly and help to clarify their taxonomy. We investigate 190 individuals from five mixed stands of both morphotypes collected in King George Island and Elephant Island (South Shetland Islands, Antarctica). Based on 23 microsatellite markers designed from sequenced genomes, discriminant analysis of principal components (DAPC), Bayesian clustering analysis, and coalescent-based estimation of gene flow show clear evidence for the existence of two different species distinguishable by reproductive mode. We did not detect any statistical association between genetic clusters and three previously reported chemical races of each species.</t>
  </si>
  <si>
    <t>[Lagostina, Elisa; Printzen, Christian] Senckenberg Res Inst, Dept Bot &amp; Mol Evolut, Senckenberganlage 25, D-60325 Frankfurt, Germany; [Lagostina, Elisa; Printzen, Christian] Nat Hist Museum Frankfurt, Senckenberganlage 25, D-60325 Frankfurt, Germany; [Lagostina, Elisa] Goethe Univ Frankfurt, Biozentrum, Fachbereich 15 Biowissensch, Campus Riedberg,Max von Laue Str 9, D-60438 Frankfurt, Germany; [Dal Grande, Francesco] Senckenberg Biodivers &amp; Climate Res Ctr SBiK F, Senckenberganlage 25, D-60325 Frankfurt, Germany; [Andreev, Mikhail] Russian Acad Sci, Komarov Bot Inst, Prof Popov St 2, St Petersburg 197376, Russia</t>
  </si>
  <si>
    <t>Senckenberg Gesellschaft fur Naturforschung (SGN); Goethe University Frankfurt; Senckenberg Biodiversitat &amp; Klima- Forschungszentrum (BiK-F); Senckenberg Gesellschaft fur Naturforschung (SGN); Russian Academy of Sciences; Komarov Botanical Institute, Russian Academy of Sciences</t>
  </si>
  <si>
    <t>Lagostina, E (corresponding author), Senckenberg Res Inst, Dept Bot &amp; Mol Evolut, Senckenberganlage 25, D-60325 Frankfurt, Germany.;Lagostina, E (corresponding author), Nat Hist Museum Frankfurt, Senckenberganlage 25, D-60325 Frankfurt, Germany.;Lagostina, E (corresponding author), Goethe Univ Frankfurt, Biozentrum, Fachbereich 15 Biowissensch, Campus Riedberg,Max von Laue Str 9, D-60438 Frankfurt, Germany.</t>
  </si>
  <si>
    <t>elisa.lagostina@senckenberg.de</t>
  </si>
  <si>
    <t>Printzen, Christian/ABF-8242-2021; Andreev, Mikhail P./JAC-9420-2023; Dal Grande, Francesco/K-1914-2016; Andreev, Mikhail P./U-9847-2017</t>
  </si>
  <si>
    <t>Dal Grande, Francesco/0000-0002-1865-6281; Printzen, Christian/0000-0002-0871-0803; Andreev, Mikhail/0000-0002-5688-0751</t>
  </si>
  <si>
    <t>Deutsche Forschungsgemeinschaft (DFG) [PR 567/18-1]; Komarov Botanical Institute of the Russian Academy of Sciences [0126-2018-0011]</t>
  </si>
  <si>
    <t>Deutsche Forschungsgemeinschaft (DFG)(German Research Foundation (DFG)); Komarov Botanical Institute of the Russian Academy of Sciences</t>
  </si>
  <si>
    <t>This work was supported by the Deutsche Forschungsgemeinschaft (DFG) in the framework of the priority program Antarctic Research with comparative investigations in Arctic ice areas by grant PR 567/18-1 and by the Komarov Botanical Institute of the Russian Academy of Sciences, research project 0126-2018-0011 (Herbarium collections of BIN RAS).</t>
  </si>
  <si>
    <t>0027-5514</t>
  </si>
  <si>
    <t>1557-2536</t>
  </si>
  <si>
    <t>Mycologia</t>
  </si>
  <si>
    <t>NOV 2</t>
  </si>
  <si>
    <t>10.1080/00275514.2018.1512304</t>
  </si>
  <si>
    <t>HI8HT</t>
  </si>
  <si>
    <t>WOS:000456697300004</t>
  </si>
  <si>
    <t>Christiansen, H; Dettai, A; Heindler, FM; Collins, MA; Duhamel, G; Hautecoeur, M; Steinke, D; Volckaert, FAM; Van de Putte, AP</t>
  </si>
  <si>
    <t>Christiansen, Henrik; Dettai, Agnes; Heindler, Franz M.; Collins, Martin A.; Duhamel, Guy; Hautecoeur, Melyne; Steinke, Dirk; Volckaert, Filip A. M.; Van de Putte, Anton P.</t>
  </si>
  <si>
    <t>Diversity of Mesopelagic Fishes in the Southern Ocean - A Phylogeographic Perspective Using DNA Barcoding (vol 6, 120, 2018)</t>
  </si>
  <si>
    <t>FRONTIERS IN ECOLOGY AND EVOLUTION</t>
  </si>
  <si>
    <t>marine biodiversity; adaptation; Antarctic; COI; Myctophidae; phylogeny; rhodopsin</t>
  </si>
  <si>
    <t>[Christiansen, Henrik; Heindler, Franz M.; Volckaert, Filip A. M.; Van de Putte, Anton P.] Katholieke Univ Leuven, Lab Biodivers &amp; Evolutionary Genom, Leuven, Belgium; [Dettai, Agnes] Sorbonne Univ, Dept Systemat &amp; Evolut, EPHE, CNRS,MNHN,UMR ISYEB 7205, Paris, France; [Collins, Martin A.] Ctr Environm Fisheries &amp; Aquaculture Sci, Lowestoft, Suffolk, England; [Duhamel, Guy; Hautecoeur, Melyne] Museum Natl Hist Nat, UMR BOREA 720, Dept Milieux &amp; Peuplements Aquat, Paris, France; [Steinke, Dirk] Univ Guelph, Ctr Biodivers Genom, Guelph, ON, Canada; [Steinke, Dirk] Univ Guelph, Dept Integrat Biol, Guelph, ON, Canada; [Van de Putte, Anton P.] Royal Belgian Inst Nat Sci, OD Nat, Brussels, Belgium</t>
  </si>
  <si>
    <t>KU Leuven; Sorbonne Universite; Universite PSL; Ecole Pratique des Hautes Etudes (EPHE); Museum National d'Histoire Naturelle (MNHN); Centre National de la Recherche Scientifique (CNRS); Centre for Environment Fisheries &amp; Aquaculture Science; Museum National d'Histoire Naturelle (MNHN); University of Guelph; University of Guelph; Royal Belgian Institute of Natural Sciences</t>
  </si>
  <si>
    <t>Christiansen, H (corresponding author), Katholieke Univ Leuven, Lab Biodivers &amp; Evolutionary Genom, Leuven, Belgium.</t>
  </si>
  <si>
    <t>henrik.christiansen@kuleuven.be</t>
  </si>
  <si>
    <t>, Martin/ABE-6728-2020; Christiansen, Henrik/GXG-6057-2022; Van de Putte, Anton/S-3729-2019; Volckaert, Filip/AAC-7691-2019; Collins, Martin A/J-8560-2017; Heindler, Franz Maximilian/C-2365-2018</t>
  </si>
  <si>
    <t>, Martin/0000-0001-7132-8650; Christiansen, Henrik/0000-0001-7114-5854; Van de Putte, Anton/0000-0003-1336-5554; Heindler, Franz Maximilian/0000-0003-4305-7296</t>
  </si>
  <si>
    <t>2296-701X</t>
  </si>
  <si>
    <t>FRONT ECOL EVOL</t>
  </si>
  <si>
    <t>Front. Ecol. Evol.</t>
  </si>
  <si>
    <t>10.3389/fevo.2018.00162</t>
  </si>
  <si>
    <t>HC7CG</t>
  </si>
  <si>
    <t>WOS:000451957400001</t>
  </si>
  <si>
    <t>Chen, J; Ke, CQ; Zhou, XB</t>
  </si>
  <si>
    <t>Chen, Jun; Ke, Changqing; Zhou, Xiaobing</t>
  </si>
  <si>
    <t>Variations in the extent and elevation of the Larsen A and B ice shelves, Antarctica, derived from multiple datasets</t>
  </si>
  <si>
    <t>JOURNAL OF APPLIED REMOTE SENSING</t>
  </si>
  <si>
    <t>Larsen ice shelf; retreat; thinning; optical remote sensing images; radar altimetry; atmospheric warming</t>
  </si>
  <si>
    <t>MASS CHANGE; PENINSULA; SHEET; COLLAPSE; RETREAT; MODIS; PRECIPITATION; GREENLAND; DISCHARGE; ACCURACY</t>
  </si>
  <si>
    <t>Accurate measurements of retreat and progressive lowering of ice shelves are critical for estimating the mass balance of the Antarctic ice sheet under projected warming. Ice shelf extent was extracted from declassified aerial photographs and modern satellite images (Landsat and Moderate Resolution Imaging Spectroradiometer imagery), and a 48-year time series of the areal extents of the Larsen A ice shelf (LAIS) and the Larsen B ice shelf (LBIS) was compiled. In addition, we characterize the surface elevation changes of the LAIS and LBIS over the last two decades by combining the Ocean Topography Experiment/Poseidon and the Envisat Radar Altimeter-2 using the collinear analysis method. The Larsen ice shelf displayed no significant changes until the late 1980s, whereas the LAIS has retreated rapidly since 1986, and the LBIS has followed a similar pattern since the early 1990s. The LAIS and LBIS have already diminished by similar to 14,000 km(2) in total since 1968. As the ice shelves retreated, the surface elevations of the LAIS and LBIS exhibited progressive lowering from 1992 to 2010, with the lowering rate of the LAIS significantly greater than that of the LBIS. The remaining ice of the LAIS was lowered at a rate of 0.45 m a(-1) from 1992 to 2001, and the remnant LBIS was lowered at a rate of 0.07 m a(-1) from 1992 to 2010. In response to the continuous retreat of the LAIS and LBIS, their surface elevations are very sensitive to the collapse and retreat of the ice shelves. (C) 2018 Society of Photo-Optical Instrumentation Engineers (SPIE)</t>
  </si>
  <si>
    <t>[Chen, Jun; Ke, Changqing] Nanjing Univ, Sch Geog &amp; Oceanog Sci, Nanjing, Jiangsu, Peoples R China; [Chen, Jun; Ke, Changqing] Nanjing Univ, Jiangsu Prov Key Lab Geog Informat Sci &amp; Technol, Nanjing, Jiangsu, Peoples R China; [Chen, Jun] Anhui Jianzhu Univ, Sch Environm &amp; Energy Engn, Hefei, Anhui, Peoples R China; [Zhou, Xiaobing] Univ Montana, Montana Tech, Dept Geophys Engn, Butte, MT USA</t>
  </si>
  <si>
    <t>Nanjing University; Nanjing University; Anhui Jianzhu University; University of Montana System; University of Montana; Montana Technological University</t>
  </si>
  <si>
    <t>Ke, CQ (corresponding author), Nanjing Univ, Sch Geog &amp; Oceanog Sci, Nanjing, Jiangsu, Peoples R China.;Ke, CQ (corresponding author), Nanjing Univ, Jiangsu Prov Key Lab Geog Informat Sci &amp; Technol, Nanjing, Jiangsu, Peoples R China.</t>
  </si>
  <si>
    <t>kecq@nju.edu.cn</t>
  </si>
  <si>
    <t>University Natural Sciences Research Project of the Anhui Educational Committee [KJ2018JD08]; Program for National Nature Science Foundation of China [41830105]; Fundamental Research Funds for the Central Universities [GK201803047]</t>
  </si>
  <si>
    <t>University Natural Sciences Research Project of the Anhui Educational Committee; Program for National Nature Science Foundation of China(National Natural Science Foundation of China (NSFC)); Fundamental Research Funds for the Central Universities(Fundamental Research Funds for the Central Universities)</t>
  </si>
  <si>
    <t>This work was supported financially by the University Natural Sciences Research Project of the Anhui Educational Committee (KJ2018JD08), the Program for National Nature Science Foundation of China (No. 41830105), and the Fundamental Research Funds for the Central Universities (GK201803047).</t>
  </si>
  <si>
    <t>SPIE-SOC PHOTO-OPTICAL INSTRUMENTATION ENGINEERS</t>
  </si>
  <si>
    <t>1000 20TH ST, PO BOX 10, BELLINGHAM, WA 98225 USA</t>
  </si>
  <si>
    <t>1931-3195</t>
  </si>
  <si>
    <t>J APPL REMOTE SENS</t>
  </si>
  <si>
    <t>J. Appl. Remote Sens.</t>
  </si>
  <si>
    <t>10.1117/1.JRS.12.046019</t>
  </si>
  <si>
    <t>GZ8CA</t>
  </si>
  <si>
    <t>WOS:000449712800006</t>
  </si>
  <si>
    <t>Manno, C; Giglio, F; Stowasser, G; Fielding, S; Enderlein, P; Tarling, GA</t>
  </si>
  <si>
    <t>Manno, C.; Giglio, F.; Stowasser, G.; Fielding, S.; Enderlein, P.; Tarling, G. A.</t>
  </si>
  <si>
    <t>Threatened species drive the strength of the carbonate pump in the northern Scotia Sea</t>
  </si>
  <si>
    <t>TERRA-NOVA BAY; ZOOPLANKTON FECAL PELLETS; SOUTHERN-OCEAN; SINKING VELOCITY; BIOLOGICAL PUMP; ATMOSPHERIC CO2; VERTICAL FLUX; ACIDIFICATION; PTEROPODS; CALCIFICATION</t>
  </si>
  <si>
    <t>The efficiency of deep-ocean CO2 sequestration is regulated by the relative balance between inorganic and organic carbon export respectively acting through the biological carbon pump (BCP) and the carbonate counter pump (CCP). The composition and abundance of calcifying species in the prevailing oceanic plankton community plays a major role in driving the CCP. Here we assess the role of these calcifying organisms in regulating the strength of the CCP in a Southern Ocean region (northern Scotia Sea) known to be a major hotspot for the draw-down of atmospheric CO2. We show that, when shelled pteropods dominate the calcifying community, the total annual reduction of CO2 transferred to the deep ocean doubles (17%) compared to when other plankton calcifiers dominate (3-9%). Furthermore, predation enhances their contribution through the removal of organic soft tissue. Pteropods are threatened in polar regions by ocean warming and acidification. We determine that their potential decline would have major implications to the comparative strengths of the BCP and CCP.</t>
  </si>
  <si>
    <t>[Manno, C.; Stowasser, G.; Fielding, S.; Enderlein, P.; Tarling, G. A.] British Antarctic Survey, Nat Environm Res Council, Cambridge CB3 0ET, England; [Giglio, F.] CNR, Ismar Inst Marine Sci, Via P Gobetti 101, I-40129 Bologna, Italy</t>
  </si>
  <si>
    <t>UK Research &amp; Innovation (UKRI); Natural Environment Research Council (NERC); NERC British Antarctic Survey; Consiglio Nazionale delle Ricerche (CNR); Istituto di Scienze Marine (ISMAR-CNR)</t>
  </si>
  <si>
    <t>Manno, C (corresponding author), British Antarctic Survey, Nat Environm Res Council, Cambridge CB3 0ET, England.</t>
  </si>
  <si>
    <t>Fielding, Sophie/E-5137-2012</t>
  </si>
  <si>
    <t>Stowasser, Gabriele/0000-0002-0595-0772</t>
  </si>
  <si>
    <t>10.1038/s41467-018-07088-y</t>
  </si>
  <si>
    <t>GZ0QM</t>
  </si>
  <si>
    <t>WOS:000449069600014</t>
  </si>
  <si>
    <t>Reed, KA; Park, H; Lee, SG; Lee, W; Lee, SH; Bleau, JM; Munden, TNM; Covi, JA</t>
  </si>
  <si>
    <t>Reed, Katherine A.; Park, Hyun; Lee, Sung Gu; Lee, Wonseok; Lee, Sang-Hwan; Bleau, Jason M.; Munden, Taylor N. M.; Covi, Joseph A.</t>
  </si>
  <si>
    <t>Embryos of an Antarctic zooplankton require anoxia for dormancy, are permeable to lipophilic chemicals, and reside in sediments containing PCBs</t>
  </si>
  <si>
    <t>PERSISTENT ORGANIC POLLUTANTS; ARTEMIA-FRANCISCANA EMBRYOS; KING-GEORGE-ISLAND; POLYCHLORINATED BIPHENYL CONGENERS; ACARTIA-BIFILOSA COPEPODA; BOECKELLA-POPPEI MRAZEK; FRESH-WATER ZOOPLANKTON; BRINE SHRIMP; RESTING EGGS; SOUTHERN-OCEAN</t>
  </si>
  <si>
    <t>Zooplankton in Antarctic maritime lakes face challenges imposed by anthropogenic chemicals. Studies on temperate species suggest that lipophilic chemicals will accumulate in dormant embryos of Antarctic zooplankton and decrease hatching success, thereby threatening centuries of accumulated genetic diversity that would increase population resilience in the face of climate change. We evaluated the potential for lakes to act as sinks for legacy pollutants in the maritime Antarctic by testing sediments for polychlorinated biphenyls (PCBs) previously identified in soil, flora and fauna of lake catchments. Direct tests of embryo permeability to chemicals are confounded by potential adhesion of chemicals to the embryo surface and limited biomass available. Therefore, in order to assess the potential for lipophilic chemicals to penetrate and passively accumulate in dormant embryos of Antarctic lacustrine zooplankton, we evaluated the effect of anoxia on post-diapause development in the calanoid copepod, Boeckella poppei, and then used chemical anoxia induced by rotenone as a reporter for permeability of these embryos to moderately lipophilic chemicals. The data presented demonstrate that embryos of B. poppei from Antarctic lake sediments will passively accumulate moderately lipophilic chemicals while lying dormant in anoxic sediments. Implications for legacy POPs in sediments of Antarctic maritime lakes are discussed.</t>
  </si>
  <si>
    <t>[Reed, Katherine A.; Bleau, Jason M.; Munden, Taylor N. M.; Covi, Joseph A.] Univ North Carolina Wilmington, Dept Biol &amp; Marine Biol, 601 S Coll Rd, Wilmington, NC 28403 USA; [Park, Hyun; Lee, Sung Gu] Korea Polar Res Inst KOPRI, Unit Polar Genom, 26 Songdomirae Ro, Incheon 21990, South Korea; [Lee, Wonseok] Natl Inst Environm Res, Incheon 22689, South Korea; [Lee, Sang-Hwan] Korea Mine Reclamation Corp, Mine Reclamat Technol Ctr, Wonjusi 26464, Gangwando, South Korea</t>
  </si>
  <si>
    <t>University of North Carolina; University of North Carolina Wilmington; Korea Polar Research Institute (KOPRI); National Institute of Environmental Research (NIER), Republic of Korea; Mine Reclamation Corporation</t>
  </si>
  <si>
    <t>Covi, JA (corresponding author), Univ North Carolina Wilmington, Dept Biol &amp; Marine Biol, 601 S Coll Rd, Wilmington, NC 28403 USA.</t>
  </si>
  <si>
    <t>covij@uncw.edu</t>
  </si>
  <si>
    <t>Lee, Woojin/AAZ-1735-2020</t>
  </si>
  <si>
    <t>Lee, Woojin/0000-0002-7082-5687; Park, Hyun/0000-0002-8055-2010; REED, KATHERINE/0000-0003-4142-0952</t>
  </si>
  <si>
    <t>Korea Polar Research Institute (KOPRI) Polar Genome 101 project [PE18080]; University of North Carolina at Wilmington (UNCW); UNCW Summer Undergraduate Research and Creativity award</t>
  </si>
  <si>
    <t>Korea Polar Research Institute (KOPRI) Polar Genome 101 project(Korea Polar Research Institute of Marine Research Placement (KOPRI)); University of North Carolina at Wilmington (UNCW); UNCW Summer Undergraduate Research and Creativity award</t>
  </si>
  <si>
    <t>Funding and logistic support for this project was provided by Korea Polar Research Institute (KOPRI) Polar Genome 101 project grant PE18080 and the University of North Carolina at Wilmington (UNCW). Support for undergraduate student involvement was provided by a UNCW Summer Undergraduate Research and Creativity award. Access to shipping logistics with Damco was provided by the National Science Foundation Office of Polar Programs, United States Antarctic Program.</t>
  </si>
  <si>
    <t>10.1038/s41598-018-34689-w</t>
  </si>
  <si>
    <t>GZ0SK</t>
  </si>
  <si>
    <t>WOS:000449075100027</t>
  </si>
  <si>
    <t>Pnyushkov, AV; Polyakov, IV; Rember, R; Ivanov, VV; Alkire, MB; Ashik, IM; Baumann, TM; Alekseev, GV; Sundfjord, A</t>
  </si>
  <si>
    <t>Pnyushkov, Andrey, V; Polyakov, Igor, V; Rember, Robert; Ivanov, Vladimir V.; Alkire, Matthew B.; Ashik, Igor M.; Baumann, Till M.; Alekseev, Genrikh, V; Sundfjord, Arild</t>
  </si>
  <si>
    <t>Heat, salt, and volume transports in the eastern Eurasian Basin of the Arctic Ocean from 2 years of mooring observations</t>
  </si>
  <si>
    <t>OCEAN SCIENCE</t>
  </si>
  <si>
    <t>WATER BOUNDARY CURRENT; SEA-ICE LOSS; ATLANTIC WATER; CONTINENTAL-SLOPE; FRAM STRAIT; SEASONAL VARIABILITY; CURRENT NORTH; LAPTEV SEA; HALOCLINE; SVALBARD</t>
  </si>
  <si>
    <t>This study discusses along-slope volume, heat, and salt transports derived from observations collected in 2013-2015 using a cross-slope array of six moorings ranging from 250 to 3900 m in the eastern Eurasian Basin (EB) of the Arctic Ocean. These observations demonstrate that in the upper 780 m layer, the along-slope boundary current advected, on average, 5.1 +/- 0.1 Sv of water, predominantly in the eastward (shallow-to-right) direction. Monthly net volume transports across the Laptev Sea slope vary widely, from similar to 0.3 +/- 0.8 in April 2014 to similar to 9.9 +/- 0.8 Sv in June 2014; 3.1 +/- 0.1 Sv (or 60 %) of the net transport was associated with warm and salty intermediate-depth Atlantic Water (AW). Calculated heat transport for 2013-2015 (relative to -1.8 degrees C) was 46.0 +/- 1.7 TW, and net salt transport (relative to zero salinity) was 172 +/- 6 Mkg s(-1). Estimates for AW heat and salt transports were 32.7 +/- 1.3 TW (71 % of net heat transport) and 112 +/- 4 Mkg s(-1) (65 % of net salt transport). The variability of currents explains similar to 90 % of the variability in the heat and salt transports. The remaining similar to 10 % is controlled by temperature and salinity anomalies together with the temporal variability of the AW layer thickness. The annual mean volume transports decreased by 25 % from 5.8 +/- 0.2 Sv in 2013-2014 to 4.4 +/- 0.2 Sv in 2014-2015, suggesting that changes in the transports at interannual and longer timescales in the eastern EB may be significant.</t>
  </si>
  <si>
    <t>[Pnyushkov, Andrey, V; Polyakov, Igor, V; Rember, Robert; Baumann, Till M.] Univ Alaska Fairbanks, Int Arctic Res Ctr, Fairbanks, AK 99775 USA; [Polyakov, Igor, V] Univ Alaska Fairbanks, Coll Nat Sci &amp; Math, Fairbanks, AK USA; [Alkire, Matthew B.] Univ Washington, Appl Phys Lab, Seattle, WA 98105 USA; [Ivanov, Vladimir V.; Ashik, Igor M.; Alekseev, Genrikh, V] Arctic &amp; Antarctic Res Inst, St Petersburg, Russia; [Sundfjord, Arild] Norwegian Polar Res Inst, Fram Ctr, Tromso, Norway; [Ivanov, Vladimir V.] Moscow MV Lomonosov State Univ, Geog Dept, Moscow, Russia</t>
  </si>
  <si>
    <t>University of Alaska System; University of Alaska Fairbanks; University of Alaska System; University of Alaska Fairbanks; University of Washington; University of Washington Seattle; Arctic &amp; Antarctic Research Institute; Norwegian Polar Institute; Lomonosov Moscow State University</t>
  </si>
  <si>
    <t>Pnyushkov, AV (corresponding author), Univ Alaska Fairbanks, Int Arctic Res Ctr, Fairbanks, AK 99775 USA.</t>
  </si>
  <si>
    <t>avpnyushkov@alaska.edu</t>
  </si>
  <si>
    <t>Pnyushkov, Andrey/M-3156-2019; Baumann, Till/AAX-3198-2020; Ivanov, Vladimir/J-5979-2014; Bloshkina, Ekaterina/I-6901-2015</t>
  </si>
  <si>
    <t>Pnyushkov, Andrey/0000-0001-9112-6458; Baumann, Till/0000-0002-2887-205X; Ivanov, Vladimir/0000-0003-2569-6027; Bloshkina, Ekaterina/0000-0002-2078-7459; Alkire, Matthew/0000-0001-7324-3159; Sundfjord, Arild/0000-0002-6913-3368</t>
  </si>
  <si>
    <t>NSF [1708427, AON-1203473, AON-1338948, AON-1203146]; Ministry of Education and Science of the Russian Federation [RFMEFI61617X0076]; RFBR [18-05-60107]; Fram Centre Arctic Ocean A-TWAIN project; Directorate For Geosciences; Office of Polar Programs (OPP) [1708427] Funding Source: National Science Foundation</t>
  </si>
  <si>
    <t>NSF(National Science Foundation (NSF)); Ministry of Education and Science of the Russian Federation(Ministry of Education and Science, Russian Federation); RFBR(Russian Foundation for Basic Research (RFBR)); Fram Centre Arctic Ocean A-TWAIN project; Directorate For Geosciences; Office of Polar Programs (OPP)(National Science Foundation (NSF)NSF - Directorate for Geosciences (GEO))</t>
  </si>
  <si>
    <t>The authors thank the editor, Maria Luneva, and Benjamin Rabe for assistance in evaluating this paper. This study was supported by NSF grant 1708427 (A. Pnyushkov, I. Polyakov). The mooring-and ship-based oceanographic observations in the eastern EB were conducted within the framework of the NABOS project, with support from the NSF (grants AON-1203473, AON-1338948, and AON-1203146). V. Ivanov acknowledges funding from the Ministry of Education and Science of the Russian Federation (project RFMEFI61617X0076). G. Alekseev was supported by RFBR grant 18-05-60107. A. Sundfjord was supported by the Fram Centre Arctic Ocean A-TWAIN project.</t>
  </si>
  <si>
    <t>1812-0784</t>
  </si>
  <si>
    <t>OCEAN SCI</t>
  </si>
  <si>
    <t>Ocean Sci.</t>
  </si>
  <si>
    <t>10.5194/os-14-1349-2018</t>
  </si>
  <si>
    <t>GZ1TU</t>
  </si>
  <si>
    <t>WOS:000449156200001</t>
  </si>
  <si>
    <t>Cao, SN; Zhang, F; Zheng, HY; Peng, F; Liu, CP; Zhou, QM</t>
  </si>
  <si>
    <t>Cao, Shunan; Zhang, Fang; Zheng, Hongyuan; Peng, Fang; Liu, Chuanpeng; Zhou, Qiming</t>
  </si>
  <si>
    <t>Coccomyxa greatwallensis sp nov (Trebouxiophyceae, Chlorophyta), a lichen epiphytic alga from Fildes Peninsula, Antarctica</t>
  </si>
  <si>
    <t>PHYTOKEYS</t>
  </si>
  <si>
    <t>Lichen epiphyte; Morphology; TEM; Phylogeny</t>
  </si>
  <si>
    <t>FUNGI</t>
  </si>
  <si>
    <t>A single-celled green alga Coccomyxa greatwallensis Shunan Cao &amp; Qiming Zhou, sp. nov., isolated from a specimen of Antarctic lichen Psoroma hypnorum (Vahl) Gray, is described and illustrated based on a comprehensive investigation of morphology, ultrastructure, ecology and phylogeny. The cells of C. greatwallensis are ovoid to long ellipsoidal and measured 3-5 mu m x 6-12 mu m. The new species has distinct ITS rDNA and SSU rDNA sequences and differs from the phylogenetic closely related species C. antarctica, C. arvernensis and C. viridis in cell size, distribution and habitat.</t>
  </si>
  <si>
    <t>[Cao, Shunan; Zhang, Fang; Zheng, Hongyuan] Polar Res Inst China, Key Lab Polar Sci SOA, 451 Jinqiao Rd,Pudong Ave, Shanghai 200136, Peoples R China; [Zheng, Hongyuan] Tongji Univ, Coll Environm Sci &amp; Engn, Shanghai 200092, Peoples R China; [Peng, Fang] Wuhan Univ, CCTCC, Coll Life Sci, 299 Bayi Rd, Wuhan 430072, Hubei, Peoples R China; [Liu, Chuanpeng; Zhou, Qiming] Harbin Inst Technol, Sch Life Sci &amp; Technol, 2 Yikuang St, Harbin 150080, Heilongjiang, Peoples R China</t>
  </si>
  <si>
    <t>Polar Research Institute of China; Tongji University; Wuhan University; Harbin Institute of Technology</t>
  </si>
  <si>
    <t>Liu, CP; Zhou, QM (corresponding author), Harbin Inst Technol, Sch Life Sci &amp; Technol, 2 Yikuang St, Harbin 150080, Heilongjiang, Peoples R China.</t>
  </si>
  <si>
    <t>liucp74@hotmail.com; genbank@vip.sina.com</t>
  </si>
  <si>
    <t>ZHENG, HONGYUAN/ABF-9513-2020; zhou, qi/JEF-7253-2023; Zhou, Qi/JTT-3417-2023</t>
  </si>
  <si>
    <t>ZHENG, HONGYUAN/0000-0002-0225-3883; zhou, qi ming/0000-0002-2892-6329</t>
  </si>
  <si>
    <t>Natural Science Foundation of Shanghai [16ZR1439800]; National Infrastructure of Natural Resources for Science and Technology Program of China [NIMR-2017-8]</t>
  </si>
  <si>
    <t>Natural Science Foundation of Shanghai(Natural Science Foundation of Shanghai); National Infrastructure of Natural Resources for Science and Technology Program of China</t>
  </si>
  <si>
    <t>Samples Information and Data issued by the Resource-sharing Platform of Polar Samples (http://birds.chinare.org.cn), which was established by one of the National Science &amp; Technology Infrastructures Polar Research Institute of China (PRIC) and Chinese National Arctic &amp; Antarctic Data Centre (CN-NADC). We are grateful to the Chinese Arctic and Antarctic Administration for the help in carrying out the project in the Great Wall Station during the 30th Chinese National Antarctic Expedition (2012GW03003). This research was supported by the Natural Science Foundation of Shanghai (No. 16ZR1439800) and National Infrastructure of Natural Resources for Science and Technology Program of China (No. NIMR-2017-8).</t>
  </si>
  <si>
    <t>PENSOFT PUBL</t>
  </si>
  <si>
    <t>1314-2011</t>
  </si>
  <si>
    <t>1314-2003</t>
  </si>
  <si>
    <t>PhytoKeys</t>
  </si>
  <si>
    <t>10.3897/phytokeys.110.26961</t>
  </si>
  <si>
    <t>GZ0KK</t>
  </si>
  <si>
    <t>WOS:000449051300001</t>
  </si>
  <si>
    <t>Yu, N; Cheng, PF; Cheng, YY; Wen, HJ; Kuang, KF; Cao, XY</t>
  </si>
  <si>
    <t>Yu, Nan; Cheng, Pengfei; Cheng, Yingyan; Wen, Hanjiang; Kuang, Kaifa; Cao, Xinyun</t>
  </si>
  <si>
    <t>The geocentre inversion based on the global climate models and GPS site displacements</t>
  </si>
  <si>
    <t>SURVEY REVIEW</t>
  </si>
  <si>
    <t>Geocentre motion; ITRF; Surface load variation; Degree-1 load deformation; GPS Sites displacement</t>
  </si>
  <si>
    <t>TERRESTRIAL REFERENCE FRAME; SURFACE LOADING DATA; MOTION; DEFORMATION; EARTH; ORIGIN; IMPACT; GRACE; OCEAN; WATER</t>
  </si>
  <si>
    <t>The geocentre is not static, reflecting the relative motion between CM and the ITRF origin. The degree-1 deformation of the earth surface involves the horizontal transport of the earth's fluid envelope including mass transport of the non-tidal ocean, dynamics of atmosphere, and hydrological mass redistribution in the continents, which can be estimated through the global climate models and the global GNSS-based deformation monitoring. We use climate models of ECCO, NCEP and GLDAS to calculate the geocentre motion caused by the non-tidal ocean, atmosphere, and ground water, respectively. We calculate the 'surface load moment' using the displacement of 132 sites of IGS05, and then inverse geocentre by GPS. We find that the higher-degree terms would be induced in the degree-1 computing process and they will result in unmodelled errors. The number of GPS sites for inversion is not the more the better, while the even distribution is much more critical.</t>
  </si>
  <si>
    <t>[Yu, Nan; Kuang, Kaifa; Cao, Xinyun] Wuhan Univ, Sch Geodesy &amp; Geomat, Wuhan 430079, Hubei, Peoples R China; [Yu, Nan; Cheng, Pengfei; Cheng, Yingyan; Wen, Hanjiang] Chinese Acad Surveying &amp; Mapping, Beijing 100830, Peoples R China</t>
  </si>
  <si>
    <t>Wuhan University; Chinese Academy of Surveying &amp; Mapping</t>
  </si>
  <si>
    <t>Yu, N (corresponding author), Wuhan Univ, Sch Geodesy &amp; Geomat, Wuhan 430079, Hubei, Peoples R China.;Yu, N (corresponding author), Chinese Acad Surveying &amp; Mapping, Beijing 100830, Peoples R China.</t>
  </si>
  <si>
    <t>yunan@whu.edu.cn</t>
  </si>
  <si>
    <t>CHENG, PENG/HNP-4206-2023; Rodríguez, César/ISB-6652-2023</t>
  </si>
  <si>
    <t>key technology of milli-meter level's global epoch terrestrial reference frame building [2016YFB0501405]; Fundamental Research Funds for the Central Universities [2015214020202]; sea ice and ice-sheet mass variations in Antarctic and its contributions to the global sea level change [41274031]</t>
  </si>
  <si>
    <t>key technology of milli-meter level's global epoch terrestrial reference frame building; Fundamental Research Funds for the Central Universities(Fundamental Research Funds for the Central Universities); sea ice and ice-sheet mass variations in Antarctic and its contributions to the global sea level change</t>
  </si>
  <si>
    <t>We would like to thank the IGS for providing the observation data via its data centres. We thank the QOCA software developed by NASA. The figures in this paper were generated using the public domain Generic Mapping Tools (GMT) software. This work was completed with the support of grants from the key technology of milli-meter level's global epoch terrestrial reference frame building [No. 2016YFB0501405], the Fundamental Research Funds for the Central Universities [No. 2015214020202] and the sea ice and ice-sheet mass variations in Antarctic and its contributions to the global sea level change [41274031].</t>
  </si>
  <si>
    <t>0039-6265</t>
  </si>
  <si>
    <t>1752-2706</t>
  </si>
  <si>
    <t>SURV REV</t>
  </si>
  <si>
    <t>Surv. Rev.</t>
  </si>
  <si>
    <t>10.1080/00396265.2017.1329077</t>
  </si>
  <si>
    <t>Engineering, Civil; Geosciences, Multidisciplinary; Remote Sensing</t>
  </si>
  <si>
    <t>Engineering; Geology; Remote Sensing</t>
  </si>
  <si>
    <t>GX8XZ</t>
  </si>
  <si>
    <t>WOS:000448080900004</t>
  </si>
  <si>
    <t>Zuev, VV; Savelieva, ES; Parezheva, TV</t>
  </si>
  <si>
    <t>Zuev, V. V.; Savelieva, E. S.; Parezheva, T. V.</t>
  </si>
  <si>
    <t>Study of the Possible Impact of the Calbuco Volcano Eruption on the Abnormal Destruction of Stratospheric Ozone over the Antarctic in Spring 2015</t>
  </si>
  <si>
    <t>Calbuco volcano eruption; Antarctic ozone hole; the southern polar vortex</t>
  </si>
  <si>
    <t>DEPLETION; CHEMISTRY; TRANSPORT; AEROSOLS</t>
  </si>
  <si>
    <t>One of the strongest stratospheric ozone depletion events over the Antarctic was observed in October-November 2015. The increase in the ozone hole was associated with the eruption of Calbuco volcano (Chile) in April 2015, with a maximum plume altitude of similar to 17 km. Based on the ERA-Interim reanalysis data and the NOAA HYSPLIT trajectory model we estimate the possibility of the volcanic aerosol penetrating the polar vortex. It is shown that volcanic aerosol could not contribute to the intensification of ozone depletion reactions since it was outside the stable polar vortex.</t>
  </si>
  <si>
    <t>[Zuev, V. V.; Savelieva, E. S.; Parezheva, T. V.] Russian Acad Sci, Siberian Branch, Inst Monitoring Climat &amp; Ecol Syst, Tomsk 634055, Russia; [Zuev, V. V.] Natl Res Tomsk State Univ, Tomsk 634050, Russia</t>
  </si>
  <si>
    <t>Institute of Monitoring of Climatic &amp; Ecological Systems of the Siberian Branch of the RAS; Russian Academy of Sciences; Tomsk State University</t>
  </si>
  <si>
    <t>Zuev, VV (corresponding author), Russian Acad Sci, Siberian Branch, Inst Monitoring Climat &amp; Ecol Syst, Tomsk 634055, Russia.;Zuev, VV (corresponding author), Natl Res Tomsk State Univ, Tomsk 634050, Russia.</t>
  </si>
  <si>
    <t>vvzuev@imces.ru; kapitosha89@gmail.com</t>
  </si>
  <si>
    <t>Zuev, Vladimir Vladimirovich/E-5470-2014; Savelieva, Ekaterina S/E-4782-2014; Savelieva, Ekaterina/HCH-5908-2022</t>
  </si>
  <si>
    <t>Savelieva, Ekaterina S/0000-0002-6560-7386;</t>
  </si>
  <si>
    <t>NOV</t>
  </si>
  <si>
    <t>10.1134/S1024856018060192</t>
  </si>
  <si>
    <t>HP1BD</t>
  </si>
  <si>
    <t>WOS:000461399500015</t>
  </si>
  <si>
    <t>Zatsepa, SN; Ivchenko, AA; Korotenko, KA; Solbakov, VV; Stanovoy, VV</t>
  </si>
  <si>
    <t>Zatsepa, S. N.; Ivchenko, A. A.; Korotenko, K. A.; Solbakov, V. V.; Stanovoy, V. V.</t>
  </si>
  <si>
    <t>Phenomenological Model of Natural Dispersion of an Oil Spill in the Sea and Some Associated Parameterization Processes</t>
  </si>
  <si>
    <t>BREAKING</t>
  </si>
  <si>
    <t>The paper proposes a new parameterization of natural dispersion of a marine oil spill due to wind-wave breakup of the oil slick and penetration of oil droplets into the water. The quantity of oil returning to the surface due to positive buoyancy in the time between wind wave overturns is estimated. The role of vertical turbulent exchange as a factor limiting oil droplet flux from the sea surface into the water column is discussed.</t>
  </si>
  <si>
    <t>[Zatsepa, S. N.; Ivchenko, A. A.; Solbakov, V. V.] Zubov State Oceanog Inst, Moscow 119034, Russia; [Korotenko, K. A.] Russian Acad Sci, Shirshov Inst Oceanol, Moscow 117218, Russia; [Solbakov, V. V.] Russian Acad Sci, Fed Res Ctr Comp Sci &amp; Control, Moscow 119333, Russia; [Stanovoy, V. V.] State Res Ctr Arctic &amp; Antarctic Res Inst, St Petersburg 199397, Russia</t>
  </si>
  <si>
    <t>Zubov State Oceanographic Institute; Russian Academy of Sciences; Shirshov Institute of Oceanology; Russian Academy of Sciences; Federal Research Center Computer Science &amp; Control of RAS</t>
  </si>
  <si>
    <t>Zatsepa, SN (corresponding author), Zubov State Oceanog Inst, Moscow 119034, Russia.</t>
  </si>
  <si>
    <t>zatsepa@gmail.com</t>
  </si>
  <si>
    <t>Solbakov, Vyacheslav/AAB-6735-2019; Korotenko, Konstantin Alex/K-3917-2017; Korotenko, Konstantin/AGS-0466-2022</t>
  </si>
  <si>
    <t>Solbakov, Vyacheslav/0000-0002-9396-1905; Korotenko, Konstantin/0000-0003-1581-1300; ZATSEPA, Sergei/0000-0002-7072-3920</t>
  </si>
  <si>
    <t>Russian Foundation for Basic Research [14-07-00513, 14-07-00434, 15-07-04871]</t>
  </si>
  <si>
    <t>The study was financially supported by the Russian Foundation for Basic Research (project nos. 14-07-00513, 14-07-00434 and 15-07-04871).</t>
  </si>
  <si>
    <t>10.1134/S0001437018060152</t>
  </si>
  <si>
    <t>HN8UY</t>
  </si>
  <si>
    <t>WOS:000460473300001</t>
  </si>
  <si>
    <t>Ericson, JA; Hellessey, N; Nichols, PD; Kawaguchi, S; Nicol, S; Hoem, N; Virtue, P</t>
  </si>
  <si>
    <t>Ericson, Jessica A.; Hellessey, Nicole; Nichols, Peter D.; Kawaguchi, So; Nicol, Stephen; Hoem, Nils; Virtue, Patti</t>
  </si>
  <si>
    <t>Seasonal and interannual variations in the fatty acid composition of adult Euphausia superba Dana, 1850 (Euphausiacea) samples derived from the Scotia Sea krill fishery</t>
  </si>
  <si>
    <t>Antarctic krill; fatty acid biomarkers; fishing; inferred diet; lipids; Southern Ocean</t>
  </si>
  <si>
    <t>ANTARCTIC KRILL; LIPID-COMPOSITION; ABUNDANCE; DIET; EXTRACTION; BIOMARKERS; DOMINANCE; MARKERS; WINTER</t>
  </si>
  <si>
    <t>The fatty acid content and composition of the Antarctic krill Euphausia superba Dana, 1850 were investigated using samples collected by a commercial fishing vessel. This dataset allowed comparison between seasons, years (2013-2016), and different fishing locations. Quantities of omega 3 fatty acids 20: 5n-3 and 22: 6n-3 (mg/g dry mass; DM) were highest in autumn and decreased through winter to reach a spring low. Quantities of the flagellate marker 18: 4n-3 and diatom marker 16: 1n-7c were variable and did not display the same seasonal fluctuations. In summer, krill had high percentages (% total fatty acids) of 20: 5n-3 and 22: 6n-3, total PUFA, and low 18: 1n-9c/18: 1n-7c ratios, indicating a more herbivorous diet. Krill became more omnivorous from autumn to spring, indicated by increasing ratios of 18: 1n-9c/18: 1n-7c and percentages of Sigma 20: 1 + 22: 1 isomers. Bacterial fatty acids (Sigma C-15 + C-17 + C-19 isomers) were minor components year-round (0.9-1.8 %). Seasonal levels of herbivory and omnivory differed between years, and levels of specific fatty acid ratios differed between fishing locations. The fatty acid 18: 4n-3 was a major driver of variability in krill fatty acid composition, with no obvious seasonal driver. This is the first study to report krill fatty acid data during all four seasons over consecutive years. This large-scale study highlights the value of using fisheries samples to examine seasonal and annual fluctuations in krill diet and condition.</t>
  </si>
  <si>
    <t>[Ericson, Jessica A.; Hellessey, Nicole; Nichols, Peter D.; Nicol, Stephen; Virtue, Patti] Univ Tasmania, Inst Marine &amp; Antarctic Studies, 20 Castray Esplanade, Battery Point, Tas 7004, Australia; [Ericson, Jessica A.; Hellessey, Nicole; Kawaguchi, So; Virtue, Patti] Antarctic Climate &amp; Ecosyst Cooperat Res Ctr, 20 Castray Esplanade, Battery Point, Tas 7004, Australia; [Ericson, Jessica A.; Hellessey, Nicole; Nichols, Peter D.; Virtue, Patti] CSIRO Oceans &amp; Atmosphere, Battery Point, Tas 7004, Australia; [Kawaguchi, So] Australian Antarctic Div, 203 Channel Highway, Kingston, Tas 7050, Australia; [Hoem, Nils] Aker Biomarine, Oksenoyveien 10,POB 496, Lysaker, Norway</t>
  </si>
  <si>
    <t>University of Tasmania; Antarctic Climate &amp; Ecosystems Cooperative Research Centre (ACE CRC); Commonwealth Scientific &amp; Industrial Research Organisation (CSIRO); Australian Antarctic Division</t>
  </si>
  <si>
    <t>Ericson, JA (corresponding author), Univ Tasmania, Inst Marine &amp; Antarctic Studies, 20 Castray Esplanade, Battery Point, Tas 7004, Australia.;Ericson, JA (corresponding author), Antarctic Climate &amp; Ecosyst Cooperat Res Ctr, 20 Castray Esplanade, Battery Point, Tas 7004, Australia.;Ericson, JA (corresponding author), CSIRO Oceans &amp; Atmosphere, Battery Point, Tas 7004, Australia.</t>
  </si>
  <si>
    <t>Hellessey, Nicole G/E-6511-2013; Hellessey, Nicole/B-1695-2016; Nichols, Peter D/C-5128-2011; Ericson, Jessica/AAP-1976-2020</t>
  </si>
  <si>
    <t>Hellessey, Nicole/0000-0002-3053-8720; Ericson, Jessica/0000-0001-5220-8493; Hoem, Nils/0000-0002-3124-8290</t>
  </si>
  <si>
    <t>Australian Research Council [LP140100412]; Australian Research Council [LP140100412] Funding Source: Australian Research Council</t>
  </si>
  <si>
    <t>We thank Peter Mansour and Mina Brock for technical assistance in the laboratory and the crew on FV Saga Sea for collecting krill samples. This research was funded by an Australian Research Council Linkage Grant LP140100412 between the AAD, CSIRO, IMAS and Aker Biomarine. We thank the two anonymous reviewers and the editors for their helpful comments on the manuscript.</t>
  </si>
  <si>
    <t>10.1093/jcbiol/ruy032</t>
  </si>
  <si>
    <t>HI8FQ</t>
  </si>
  <si>
    <t>WOS:000456691100003</t>
  </si>
  <si>
    <t>Hellessey, N; Ericson, JA; Nichols, PD; Kawaguchi, S; Nicol, S; Hoem, N; Virtue, P</t>
  </si>
  <si>
    <t>Hellessey, Nicole; Ericson, Jessica A.; Nichols, Peter D.; Kawaguchi, So; Nicol, Stephen; Hoem, Nils; Virtue, Patti</t>
  </si>
  <si>
    <t>Seasonal and interannual variation in the lipid content and composition of Euphausia superba Dana, 1850 (Euphausiacea) samples derived from the Scotia Sea fishery</t>
  </si>
  <si>
    <t>Antarctic krill; Convention on the Conservation of Antarctic Marine Living Resources (CCAMLR); phospholipids; South Atlantic; triacylglycerols</t>
  </si>
  <si>
    <t>FATTY-ACID-COMPOSITION; NORVEGICA M-SARS; RASCHII M-SARS; ANTARCTIC KRILL; MEGANYCTIPHANES-NORVEGICA; ECOLOGICAL INVESTIGATIONS; BIOCHEMICAL-COMPOSITION; OVERWINTERING STRATEGY; ZOOPLANKTON COMMUNITY; NORTHERN NORWAY</t>
  </si>
  <si>
    <t>The Antarctic krill (Euphausia superba Dana, 1850) is an important trophic link between phytoplankton and higher trophic levels. Knowledge of the lipid biochemistry of krill assists in understanding their seasonal biology and predicting their responses to ecological changes. We collected daily samples of krill from a commercial fishing vessel operating in the Atlantic Sector of the Southern Ocean from 2014 to 2016. We analysed the total lipid content of krill sampled every two weeks and the relative distribution of lipid class levels to examine seasonal trends. Krill total lipid content varied significantly within and between seasons and sexes. An annual sinusoidal trend was seen in total lipid content with the highest values in autumn and the lowest in spring (average 380 and 87 mg/g dry mass, respectively). Total lipids in krill increased during summer, peaking in autumn, with the total lipids in winter individuals decreasing towards spring. The relative distribution of lipid class levels varied between season and year. Levels of triacylglycerol showed the same seasonal trend as total lipid content, whilst phospholipid showed the inverse trend indicating the contrasting roles of these two dominant lipid classes. These data provide high-resolution information on the seasonality of krill lipid content and composition. This information has both ecological and commercial utility.</t>
  </si>
  <si>
    <t>[Hellessey, Nicole; Ericson, Jessica A.; Nichols, Peter D.; Nicol, Stephen; Virtue, Patti] Univ Tasmania, Inst Marine &amp; Antarctic Studies, 20 Castray Esplanade, Battery Point, Tas 7004, Australia; [Hellessey, Nicole; Ericson, Jessica A.; Nichols, Peter D.; Virtue, Patti] CSIRO Oceans &amp; Atmosphere, Battery Point, Tas 7004, Australia; [Hellessey, Nicole; Ericson, Jessica A.; Kawaguchi, So; Nicol, Stephen; Virtue, Patti] Antarctic Climate &amp; Ecosyst Cooperat Res Ctr, 20 Castray Esplanade, Battery Point, Tas 7004, Australia; [Kawaguchi, So] Australian Antarctic Div, 203 Channel Highway, Kingston, Tas 7050, Australia; [Hoem, Nils] Aker BioMarine Antarctic AS, Oksenoyveien 10,POB 496, NO-1327 Lysaker, Norway</t>
  </si>
  <si>
    <t>University of Tasmania; Commonwealth Scientific &amp; Industrial Research Organisation (CSIRO); Antarctic Climate &amp; Ecosystems Cooperative Research Centre (ACE CRC); Australian Antarctic Division</t>
  </si>
  <si>
    <t>Hellessey, N (corresponding author), Univ Tasmania, Inst Marine &amp; Antarctic Studies, 20 Castray Esplanade, Battery Point, Tas 7004, Australia.;Hellessey, N (corresponding author), CSIRO Oceans &amp; Atmosphere, Battery Point, Tas 7004, Australia.;Hellessey, N (corresponding author), Antarctic Climate &amp; Ecosyst Cooperat Res Ctr, 20 Castray Esplanade, Battery Point, Tas 7004, Australia.</t>
  </si>
  <si>
    <t>n.hellessey@gmail.com</t>
  </si>
  <si>
    <t>Australian Research Council Linkage Project [LP140100412]; Aker BioMarine; Commonwealth Scientific and Industrial Research Organisation (CSIRO); Australian Antarctic Division; University of Tasmania; Institute for Marine and Antarctic Studies; Australian Research Council [LP140100412] Funding Source: Australian Research Council</t>
  </si>
  <si>
    <t>Australian Research Council Linkage Project(Australian Research Council); Aker BioMarine; Commonwealth Scientific and Industrial Research Organisation (CSIRO)(Commonwealth Scientific &amp; Industrial Research Organisation (CSIRO)); Australian Antarctic Division; University of Tasmania; Institute for Marine and Antarctic Studies; Australian Research Council(Australian Research Council)</t>
  </si>
  <si>
    <t>This project is performed under the funding and approval of the Australian Research Council Linkage Project LP140100412, in partnership with Aker BioMarine, Commonwealth Scientific and Industrial Research Organisation (CSIRO), Australian Antarctic Division, University of Tasmania, and Institute for Marine and Antarctic Studies. We thank Peter Mansour, Mina Brock, Andy Revill, and Ben Gaskell who helped us immeasurably in the CSIRO lipid laboratory. We gratefully acknowledge the captain and crew of FV Saga Sea for their time and great care in collecting, packaging, and storing krill samples. We would also like to thank Stig Falk-Petersen and two anonymous reviewers for their useful comments and suggestions to the manuscript.</t>
  </si>
  <si>
    <t>10.1093/jcbiol/ruy053</t>
  </si>
  <si>
    <t>WOS:000456691100004</t>
  </si>
  <si>
    <t>Melvin, JE; Kawaguchi, S; King, R; Swadling, KM</t>
  </si>
  <si>
    <t>Melvin, Jessica E.; Kawaguchi, So; King, Robert; Swadling, Kerrie M.</t>
  </si>
  <si>
    <t>The carapace matters: refinement of the instantaneous growth rate method for Antarctic krill Euphausia superba Dana, 1850 (Euphausiacea)</t>
  </si>
  <si>
    <t>gravid females; Instantaneous Growth Rate (IGR) method; life history; sex dependent; Southern Ocean; sexual dimorphism</t>
  </si>
  <si>
    <t>INDIAN-OCEAN SECTOR; MODELING GROWTH; SOUTHERN-OCEAN; BODY LENGTH; SEX; FOOD; TEMPERATURE; SHRINKAGE</t>
  </si>
  <si>
    <t>Growth of Antarctic krill Euphausia superba Dana, 1850 is commonly calculated using the Instantaneous Growth Rate (IGR) method based on the difference between the uropod lengths of the moulted exoskeleton and the uropod lengths after moulting. To date, this method has not accounted for sex-dependent differences in body proportion, relying only upon uropod measurements. We measured the carapace, uropod, and total body lengths of gravid females, non-gravid females, males, and juvenile krill from the Indian Sector of the Southern Ocean. Growth rates derived using a combination of the carapace and uropod measurements for gravid females were different from those derived through the traditional uropod-only based IGR, whereas non-gravid females, male, and juvenile growth rates showed no significant difference between methods. The refined method we propose successfully reflects dimorphism in growth between the sexes of krill, with gravid females having enlarged carapaces during the reproductive season. The interaction between growth and reproduction must be considered to improve the reliability of predictions from krill life history models, which is possible through the use of sex-dependent IGR measurements. We propose that, whenever possible, measurements of carapace and total length should be made along with uropod measurements. Together with assessments of maturity stages of krill that did not moult during experiments, these measurements will aid in further informing krill stock assessments.</t>
  </si>
  <si>
    <t>[Melvin, Jessica E.; Swadling, Kerrie M.] Univ Tasmania, Inst Marine &amp; Antarctic Studies, Private Bag 129, Hobart, Tas 7001, Australia; [Melvin, Jessica E.; Kawaguchi, So; Swadling, Kerrie M.] Antarctic Climate &amp; Ecosyst Cooperat Res Ctr, Private Bag 80, Hobart, Tas 7001, Australia; [Kawaguchi, So; King, Robert] Australian Antarctic Div, Kingston, Tas 7050, Australia</t>
  </si>
  <si>
    <t>University of Tasmania; Antarctic Climate &amp; Ecosystems Cooperative Research Centre (ACE CRC); Australian Antarctic Division</t>
  </si>
  <si>
    <t>Melvin, JE (corresponding author), Univ Tasmania, Inst Marine &amp; Antarctic Studies, Private Bag 129, Hobart, Tas 7001, Australia.;Melvin, JE (corresponding author), Antarctic Climate &amp; Ecosyst Cooperat Res Ctr, Private Bag 80, Hobart, Tas 7001, Australia.</t>
  </si>
  <si>
    <t>jessica.melvin@utas.edu.au</t>
  </si>
  <si>
    <t>King, Robert/0000-0002-4650-2335; Melvin, Jessica/0000-0002-0625-0049; Swadling, Kerrie/0000-0002-7620-841X</t>
  </si>
  <si>
    <t>Australian Antarctic Science [4344, 4331, 4037]; Australian Government's Business Cooperative Research Centres Programme through the Antarctic Climate and Ecosystems Cooperative Research Centre (ACE CRC)</t>
  </si>
  <si>
    <t>Australian Antarctic Science; Australian Government's Business Cooperative Research Centres Programme through the Antarctic Climate and Ecosystems Cooperative Research Centre (ACE CRC)(Australian GovernmentDepartment of Industry, Innovation and ScienceCooperative Research Centres (CRC) Programme)</t>
  </si>
  <si>
    <t>We express our gratitude to the captain and crew of RSV Aurora Australis for their skills and support and to Simon Wotherspoon, Dale Maschette, and Mike Sumner for their advice on statistical analyses. Thanks also goes to the researchers and watercraft operators on-board the RSV Aurora Australis for all their help whilst experiments were running; particular thanks to Sarah McCulloch and Blair Smith during this time. We also thank two anonymous reviewers who reviewed an earlier version of this manuscript. This work was supported by Australian Antarctic Science grants 4344, 4331, and 4037. This work was also supported by the Australian Government's Business Cooperative Research Centres Programme through the Antarctic Climate and Ecosystems Cooperative Research Centre (ACE CRC).</t>
  </si>
  <si>
    <t>10.1093/jcbiol/ruy069</t>
  </si>
  <si>
    <t>WOS:000456691100006</t>
  </si>
  <si>
    <t>Piccolin, F; Meyer, B; Biscontin, A; De Pittà, C; Kawaguchi, S; Teschke, M</t>
  </si>
  <si>
    <t>Piccolin, Fabio; Meyer, Bettina; Biscontin, Alberto; De Pitta, Cristiano; Kawaguchi, So; Teschke, Mathias</t>
  </si>
  <si>
    <t>Photoperiodic modulation of circadian functions in Antarctic krill Euphausia superba Dana, 1850 (Euphausiacea)</t>
  </si>
  <si>
    <t>circadian clock; clock genes; clock output; extreme light conditions; high latitude; midnight sun; Southern Ocean</t>
  </si>
  <si>
    <t>LONGSPURS CALCARIUS-LAPPONICUS; SIMULATED LIGHT REGIMES; DIEL VERTICAL MIGRATION; ADAPTIVE SIGNIFICANCE; PLASMA MELATONIN; TIME; ZOOPLANKTON; CLOCK; GENES; ORGANIZATION</t>
  </si>
  <si>
    <t>An endogenous circadian clock influences metabolic output rhythms in the Antarctic krill (Euphausia superba Dana, 1850), a key species in the Southern Ocean ecosystem. Seasonal changes in photoperiod in Antarctica, ranging from midnight sun (24 h light) during mid-summer to very short days (3-4 h light) during mid-winter, represent a challenge for the synchronization of the krill circadian clock. We analyzed clock gene activity and clock output functions in krill exposed to different light conditions during a long-term photoperiodic simulation in the laboratory. In simulated early-autumn (light/dark or LD 16: 8) and late-winter (LD 8: 16) conditions, the circadian clock of krill was functional and the metabolic output was synchronized to the light/dark cycle, the clock genes Esper and Esclk peaked in antiphase around simulated dusk/dawn and most metabolic-related genes showed upregulation around simulated dusk. In contrast, in simulated mid-summer (light/light or LL) and mid-winter (LD 3: 21) conditions, the synchronization of the circadian clock and the metabolic output appeared to be weaker, with clock gene expression becoming arrhythmic and upregulation of metabolic genes occurring at different times during the day. Early-autumn and late-winter photoperiodic cues in the laboratory thus seem to be sufficient to entrain the krill clock and promote metabolic synchronization, whereas midwinter and mid-summer photoperiodic cues seem to be insufficient for krill entrainment. Krill in the field may overcome the seasonal lack of overt photoperiodic cycle occurring during midsummer and mid-winter by using alternative light-related Zeitgebers (i.e., varying light intensity rather than the presence or absence of light) to promote basic homeostatic rhythms over 24 h.</t>
  </si>
  <si>
    <t>[Piccolin, Fabio; Meyer, Bettina; Teschke, Mathias] Helmholtz Zentrum Polar &amp; Meeresforsch, Alfred Wegener Inst, Polar Biol Oceanog Sect, Handelshafen 12, D-27570 Bremerhaven, Germany; [Meyer, Bettina] Carl von Ossietzky Univ Oldenburg, Inst Chem &amp; Biol Marine Environm ICBM, Carl von Ossietzky Str 9-11, D-26111 Oldenburg, Germany; [Meyer, Bettina] Carl von Ossietzky Univ Oldenburg, HIFMB, D-26111 Oldenburg, Germany; [Biscontin, Alberto] Charite, Lab Chronobiol, Hess Str 3-4, D-10117 Berlin, Germany; [Biscontin, Alberto; De Pitta, Cristiano] Univ Padua, Dept Biol, Via Ugo Bassi 58-b, I-35121 Padua, Italy; [Kawaguchi, So] Australian Antarct Div, Environm &amp; Energy Dept, 203 Channel Hwy, Kingston, Tas 7050, Australia; [Kawaguchi, So] Antarctic Climate &amp; Ecosyst Cooperat Res Ctr, Battery Point, Tas 7004, Australia</t>
  </si>
  <si>
    <t>Helmholtz Association; Alfred Wegener Institute, Helmholtz Centre for Polar &amp; Marine Research; Carl von Ossietzky Universitat Oldenburg; Carl von Ossietzky Universitat Oldenburg; Free University of Berlin; Humboldt University of Berlin; Charite Universitatsmedizin Berlin; University of Padua; Australian Antarctic Division; Antarctic Climate &amp; Ecosystems Cooperative Research Centre (ACE CRC)</t>
  </si>
  <si>
    <t>Piccolin, F (corresponding author), Helmholtz Zentrum Polar &amp; Meeresforsch, Alfred Wegener Inst, Polar Biol Oceanog Sect, Handelshafen 12, D-27570 Bremerhaven, Germany.</t>
  </si>
  <si>
    <t>fabiopiccolo@hotmail.com</t>
  </si>
  <si>
    <t>Meyer, Bettina/ABB-5311-2020; De Pitta, Cristiano/AAY-7302-2020</t>
  </si>
  <si>
    <t>Meyer, Bettina/0000-0001-6804-9896; De Pitta, Cristiano/0000-0001-8013-8162; Piccolin, Fabio/0000-0001-5275-3416; Biscontin, Alberto/0000-0003-1492-7715</t>
  </si>
  <si>
    <t>Helmholtz Virtual Institute PolarTime [VH-VI-500]; Italian Programma Nazionale di Ricerche in Antartide [2013/C1.05]; Australian Antarctic Science Program of the Antarctic Climate and Ecosystems Research Cooperative Centre [4037, R2.2]</t>
  </si>
  <si>
    <t>Helmholtz Virtual Institute PolarTime; Italian Programma Nazionale di Ricerche in Antartide(Ministry of Education, Universities and Research (MIUR)); Australian Antarctic Science Program of the Antarctic Climate and Ecosystems Research Cooperative Centre</t>
  </si>
  <si>
    <t>This work was funded by the Helmholtz Virtual Institute PolarTime (VH-VI-500: Biological timing in a changing marine environment - clocks and rhythms in polar pelagic organisms) and by the Italian Programma Nazionale di Ricerche in Antartide (grant 2013/C1.05). This work contributes to the PACES (Polar Regions and Coasts in a Changing Earth System) program (Topic 1, WP 5) of the Alfred-Wegener-Institut Helmholtz-Zentrum fur Polar- und Meeresforschung, as well as to the Australian Antarctic Science Program Project #4037 (Experimental krill biology: Response of krill to environmental change), and Project R2.2 (Biological responses to environmental change) of the Antarctic Climate and Ecosystems Research Cooperative Centre. We would like to thank the captain and crew of RV Aurora Australis for their support on sampling of krill during cruise V1 07/08. We thank Rob King and Tasha Waller at the Australian Antarctic Division for their support with krill maintenance during the experiment. We are grateful to the anonymous reviewers, who provided useful comments that helped us to improve the manuscript.</t>
  </si>
  <si>
    <t>10.1093/jcbiol/ruy035</t>
  </si>
  <si>
    <t>WOS:000456691100008</t>
  </si>
  <si>
    <t>Tarling, GA; Thorpe, SE; Fielding, S; Klevjer, T; Ryabov, A; Somerfield, PJ</t>
  </si>
  <si>
    <t>Tarling, Geraint A.; Thorpe, Sally E.; Fielding, Sophie; Klevjer, Thor; Ryabov, Alexey; Somerfield, Paul J.</t>
  </si>
  <si>
    <t>Varying depth and swarm dimensions of open-ocean Antarctic krill Euphausia superba Dana, 1850 (Euphausiacea) over diel cycles</t>
  </si>
  <si>
    <t>behaviour; diel vertical migration (DVM); echosounder; Southern Ocean</t>
  </si>
  <si>
    <t>VERTICAL MIGRATION; SCOTIA SEA; BACKSCATTERING STRENGTH; ATLANTIC SECTOR; HIGH ABUNDANCE; BIOMASS; AGGREGATION; PREDATORS; BEHAVIOR; SOUTH</t>
  </si>
  <si>
    <t>Diel vertical migration (DVM) behaviour in swarms of Antarctic krill (Euphausia superba Dana, 1850) is notoriously variable, with swarms being found at a range of depths and in different shapes, sizes, and packing concentrations throughout the day-night cycle. Because social aggregation can potentially serve the same purpose as DVM in minimising predation risk, krill may use both strategies to varying extents. Diel variation was examined in swarm depth, length, perimeter, area, thickness, and packing concentration across 4,130 open-ocean swarms in the Scotia Sea during summer. Inter-relationships between each of the swarm descriptors were complex but multivariate analyses identified pairings in levels of similarity between area and perimeter, thickness and packing concentration, and depth and length. Second-stage analysis further identified diel cyclicity in these relationships. Swarm parameters were more variable than depth over the diel cycle, identifying swarming to be the primary diel response to which DVM is a secondary contributor.</t>
  </si>
  <si>
    <t>[Tarling, Geraint A.; Thorpe, Sally E.; Fielding, Sophie] British Antarctic Survey, Nat Environm Res Council, Madingley Rd, Cambridge CB3 0ET, England; [Klevjer, Thor] Inst Marine Res, POB 1870 Nordnes, N-5817 Bergen, Norway; [Ryabov, Alexey] Carl von Ossietzky Univ Oldenburg, Inst Chem &amp; Biol Marine Environm, D-26111 Oldenburg, Germany; [Somerfield, Paul J.] Plymouth Marine Lab, Prospect Pl, Plymouth PL1 3DH, Devon, England</t>
  </si>
  <si>
    <t>UK Research &amp; Innovation (UKRI); Natural Environment Research Council (NERC); NERC British Antarctic Survey; Institute of Marine Research - Norway; Carl von Ossietzky Universitat Oldenburg; Plymouth Marine Laboratory</t>
  </si>
  <si>
    <t>Tarling, GA (corresponding author), British Antarctic Survey, Nat Environm Res Council, Madingley Rd, Cambridge CB3 0ET, England.</t>
  </si>
  <si>
    <t>gant@bas.ac.uk</t>
  </si>
  <si>
    <t>Fielding, Sophie/E-5137-2012; Somerfield, Paul J/J-9189-2014</t>
  </si>
  <si>
    <t>NERC [bas0100035, NE/R015953/1, pml010004, pml010009] Funding Source: UKRI</t>
  </si>
  <si>
    <t>10.1093/jcbiol/ruy040</t>
  </si>
  <si>
    <t>WOS:000456691100009</t>
  </si>
  <si>
    <t>Abrahao, VP; Pupo, FM; Shibatta, OA</t>
  </si>
  <si>
    <t>Abrahao, Vitor Pimenta; Pupo, Fabio Mueller; Shibatta, Oscar Akio</t>
  </si>
  <si>
    <t>Comparative brain gross morphology of the Neotropical catfish family Pseudopimelodidae (Osteichthyes, Ostariophysi, Siluriformes), with phylogenetic implications</t>
  </si>
  <si>
    <t>ZOOLOGICAL JOURNAL OF THE LINNEAN SOCIETY</t>
  </si>
  <si>
    <t>evolution; freshwater; neural complex; phylogenetic systematics</t>
  </si>
  <si>
    <t>ANTARCTIC NOTOTHENIOID FISHES; SENSE ORGAN ANATOMY; ICTALURUS-PUNCTATUS; BULLHEAD CATFISH; CHANNEL CATFISH; GAS BLADDER; FACIAL LOBE; TELEOSTEAN FISHES; TACTILE NEURONS; CYPRINUS-CARPIO</t>
  </si>
  <si>
    <t>The Neotropical catfish family Pseudopimelodidae includes seven genera and 50 valid species, widely distributed in South America. To address the lack of comparative information on siluriform brains, the gross morphology of the major brain subdivisions of Pseudopimelodidae is described, illustrated and interpreted. A comprehensive comparison based on the shape, relative size and position of main brain subdivisions is presented for representative species of all valid genera in the family. Comparisons with species of other phylogenetically related families, Pimelodidae and Heptapteridae, and non-related species provide a broader context for understanding transformations in the pseudopimelodid brain. The phylogenetic implications of the observed modifications in the brain are discussed and new possible synapomorphies proposed. Using this new information, almost all genera were recovered as monophyletic using neuroanatomical characters. Additional morphological modification was hierarchically interpreted against previously proposed phylogenetic hypotheses. The results of this study provide further information with phylogenetic implications within Pseudopimelodidae and their position with respect to closely related families.</t>
  </si>
  <si>
    <t>[Abrahao, Vitor Pimenta; Shibatta, Oscar Akio] Univ Estadual Londrina, Programa Posgrad Ciencias Biol, Dept Biol Anim &amp; Vegetal, Ctr Ciencias Biol, Rodovia Celso Garcia Cid PR445 Km 380, BR-86051990 Londrina, PR, Brazil; [Abrahao, Vitor Pimenta] Univ Sao Paulo, Museu Zool, Ave Nazare 481, BR-04263000 Sao Paulo, SP, Brazil; [Pupo, Fabio Mueller] Univ Fed Rio de Janeiro, Museu Nacl, Setor Ictiol, Dept Vertebrados, Quinta Boa Vista S-N, BR-20940040 Rio de Janeiro, RJ, Brazil</t>
  </si>
  <si>
    <t>Universidade Estadual de Londrina; Universidade de Sao Paulo; Universidade Federal do Rio de Janeiro</t>
  </si>
  <si>
    <t>Abrahao, VP (corresponding author), Univ Estadual Londrina, Programa Posgrad Ciencias Biol, Dept Biol Anim &amp; Vegetal, Ctr Ciencias Biol, Rodovia Celso Garcia Cid PR445 Km 380, BR-86051990 Londrina, PR, Brazil.;Abrahao, VP (corresponding author), Univ Sao Paulo, Museu Zool, Ave Nazare 481, BR-04263000 Sao Paulo, SP, Brazil.</t>
  </si>
  <si>
    <t>abrahaovp@usp.br</t>
  </si>
  <si>
    <t>Shibatta, Oscar A/I-1392-2012</t>
  </si>
  <si>
    <t>CNPq (Conselho Nacional de Desenvolvimento Cientifico e Tecnologico) [304868/2015-9]; CAPES (Coordenacao de Aperfeicoamento de Pessoal de Nivel Superior); FAPESP (Fundacao de Amparo a Pesquisa do Estado de Sao Paulo/process) [2014/11397-1]; Fundacao de Amparo a Pesquisa do Estado de Sao Paulo (FAPESP) [14/11397-1] Funding Source: FAPESP</t>
  </si>
  <si>
    <t>CNPq (Conselho Nacional de Desenvolvimento Cientifico e Tecnologico)(Conselho Nacional de Desenvolvimento Cientifico e Tecnologico (CNPQ)); CAPES (Coordenacao de Aperfeicoamento de Pessoal de Nivel Superior)(Coordenacao de Aperfeicoamento de Pessoal de Nivel Superior (CAPES)); FAPESP (Fundacao de Amparo a Pesquisa do Estado de Sao Paulo/process); Fundacao de Amparo a Pesquisa do Estado de Sao Paulo (FAPESP)(Fundacao de Amparo a Pesquisa do Estado de Sao Paulo (FAPESP))</t>
  </si>
  <si>
    <t>The authors are grateful to Luiz Peixoto and Gustavo Ballen (MZUSP) for reading and commenting on the manuscript. We thank Mario de Pinna (MZUSP), Ricardo Castro (LIRP), Lucia Py Daniel (INPA), Luiz Malabarba (MCP), Pablo Lehmann (MCP), Francisco Provenzano (MBUCV), Mary Burridge (ROM) and German Parra (INCIVA-IMCN) for the loan of specimens and permission to dissect them. This project had the logistical support of Edson Santana (UEL) in collections and laboratorial issues, and Silvia Ponzoni (UEL) for assistance in the physiological laboratory. The authors are extremely grateful to two anonymous reviewers and to Louise Allcock, the editor of this journal. The careful and constructive comments certainly benefited the paper. O.A.S. is a research fellow of the CNPq (Conselho Nacional de Desenvolvimento Cientifico e Tecnologico/process 304868/2015-9). V.P.A. is funded by a scholarship associated under CAPES (Coordenacao de Aperfeicoamento de Pessoal de Nivel Superior) and FAPESP (Fundacao de Amparo a Pesquisa do Estado de Sao Paulo/process 2014/11397-1).</t>
  </si>
  <si>
    <t>0024-4082</t>
  </si>
  <si>
    <t>1096-3642</t>
  </si>
  <si>
    <t>ZOOL J LINN SOC-LOND</t>
  </si>
  <si>
    <t>Zool. J. Linn. Soc.</t>
  </si>
  <si>
    <t>10.1093/zoolinnean/zly011</t>
  </si>
  <si>
    <t>HH9SE</t>
  </si>
  <si>
    <t>WOS:000456079100007</t>
  </si>
  <si>
    <t>Ye, LP; Zhang, RF; Sun, QZ; Jin, J; Zhang, J</t>
  </si>
  <si>
    <t>Ye Liping; Zhang Ruifeng; Sun Qizhen; Jin Jie; Zhang Jing</t>
  </si>
  <si>
    <t>Hydrochemistry of the meltwater streams on Fildes Peninsula, King George Island, Antarctica</t>
  </si>
  <si>
    <t>JOURNAL OF OCEANOLOGY AND LIMNOLOGY</t>
  </si>
  <si>
    <t>hydrochemistry; runoffs; seasalt; water-rock interaction; Fildes Peninsula; Antarctica</t>
  </si>
  <si>
    <t>CHEMICAL DENUDATION; ICE CAP; DISSOCIATION-CONSTANTS; CARBONIC-ACID; CO2 DRAWDOWN; GLACIER; CHEMISTRY; BASALT; SEAWATER; RATES</t>
  </si>
  <si>
    <t>King George Island, situated in the South Shetland Islands archipelago, is one of the most visited sites in Antarctica. Antarctica attracts much attention because it is one of the most sensitive areas under the influence of global warming. To understand its hydrochemistry characteristics, we collected various types of water samples, including samples from streams, meltwaters, ground waters, snow and ice from around the Great Wall Station, Fildes Peninsula, King George Island, from January to February, 2015. Major ions, alkalinities, silicate, pH, dissolved oxygen, temperature, and electric conductivities were measured. Several approaches were applied to identify processes that affect the hydrochemistry on Fildes Peninsula, including ternary diagrams, principal components analysis and cluster analysis. Our data suggest that atmospheric seasalt deposition is the main factor controlling the hydrochemistry on Fildes Peninsula. After atmospheric influences were corrected for seasalt, we defined the weathering of local rocks to be another important factor on the Peninsula's hydrochemistry. Processes such as Ca dissolution from the Ca-bearing basalt, Si loss through secondary mineralization and biological uptake influence the chemical composition of runoffs on the peninsula. Cluster analysis identified 4 groups of streams based on their hydrochemical features, which reflect their original weathering characters under icecap and the combined effects with melt snow, biological activity and the anthropogenic input.</t>
  </si>
  <si>
    <t>[Ye Liping; Zhang Ruifeng; Jin Jie; Zhang Jing] East China Normal Univ, State Key Lab Estuarine &amp; Coastal Res, Shanghai 200062, Peoples R China; [Zhang Ruifeng] Shanghai Jiao Tong Univ, Inst Oceanog, Shanghai 200030, Peoples R China; [Sun Qizhen] Natl Marine Environm Forecasting Ctr, Dept Polar Res &amp; Forecast, Beijing 100081, Peoples R China</t>
  </si>
  <si>
    <t>East China Normal University; Shanghai Jiao Tong University; National Marine Environmental Forecasting Center</t>
  </si>
  <si>
    <t>Zhang, RF (corresponding author), East China Normal Univ, State Key Lab Estuarine &amp; Coastal Res, Shanghai 200062, Peoples R China.;Zhang, RF (corresponding author), Shanghai Jiao Tong Univ, Inst Oceanog, Shanghai 200030, Peoples R China.</t>
  </si>
  <si>
    <t>ruifengzhang@sjtu.edu.cn</t>
  </si>
  <si>
    <t>Sun, Qizhen/JCE-6070-2023; Zhang, Ruifeng/L-1841-2017</t>
  </si>
  <si>
    <t>Zhang, Ruifeng/0000-0002-4411-8153</t>
  </si>
  <si>
    <t>Chinese Arctic and Antarctic Administration [2014GW08008]; SKLEC/ECNU [2011KYYW02]; National Natural Science Foundation of China [41676175]</t>
  </si>
  <si>
    <t>Chinese Arctic and Antarctic Administration; SKLEC/ECNU; National Natural Science Foundation of China(National Natural Science Foundation of China (NSFC))</t>
  </si>
  <si>
    <t>Supported by the Chinese Arctic and Antarctic Administration (No. 2014GW08008), the SKLEC/ECNU (No. 2011KYYW02), and the National Natural Science Foundation of China (No. 41676175)</t>
  </si>
  <si>
    <t>2096-5508</t>
  </si>
  <si>
    <t>J OCEANOL LIMNOL</t>
  </si>
  <si>
    <t>J. Oceanol. Limnol.</t>
  </si>
  <si>
    <t>10.1007/s00343-019-7193-2</t>
  </si>
  <si>
    <t>HG0JF</t>
  </si>
  <si>
    <t>WOS:000454629000022</t>
  </si>
  <si>
    <t>Song, W; Zhu, YF; Wang, LM; Jiang, KJ; Zhang, FY; Ma, CY; Ma, LB</t>
  </si>
  <si>
    <t>Song Wei; Zhu Yefei; Wang Lumin; Jiang Keji; Zhang Fengying; Ma Chunyan; Ma Lingbo</t>
  </si>
  <si>
    <t>Identification and profiling of microRNAs of Euphausia superba using Illumina deep sequencing</t>
  </si>
  <si>
    <t>microRNA; Antarctic krill; Illumina deep-sequencing; eyestalk; muscle</t>
  </si>
  <si>
    <t>WIDE IDENTIFICATION; EXPRESSION; DROSOPHILA; EVOLUTION; TARGET; DIFFERENTIATION; DISCOVERY; PEPTIDE; GENES; RNAS</t>
  </si>
  <si>
    <t>MicroRNAs (miRNAs) are an abundant class of conserved, non-coding small RNAs that play important role in gene regulation at post translational level. There have been no reports on the miRNAs of the Antarctic krill Euphausia superba despite the specie's crucial position in Antarctic food webs. Two small RNA libraries were constructed from eyestalk and muscle, subsequently, and deep sequencing analysis was performed to investigate and profile E. superba miRNAs. A total of 19 304 586 and 23 005 104 unique sequences were obtained from the eyestalk and muscle, respectively. After compared the small RNA sequences with the Rfam database, 12 342 039 and 7 907 477 reads in eyestalk and muscle were matched to the transcriptome sequence of E. superba. A total of 236 distinct miRNAs were identified after annotation to known animal miRNAs registered in miRBase 21. In both libraries, the most abundant known miRNA were miR-750 with 92 583 reads in muscle and miR-1304-3p with 56 386 reads in eyestalk while the average value was less than 106, revealing a wide range of different expression levels. In addition, niR-277a enriched in both libraries and may be involved in modulating Krebs cycle by targeting to Vimar. Differential expression analysis showed that 56 mature miRNAs were significantly up/down regulated according to expression fold change. It appeared that the expression of several abundant miRNAs maybe tissue-specific or tissue-bias. Notably, the expression pattern of miR-750 and miR-1 family, which was suggested as the crucial candidates, involved in muscle development. Taken together, this study provides the first miRNA profile of E. superba and some of these miRNAs were expected to play important role in immune response, reproduction, energy metabolism, and muscle development and so on. Thus, the results provides a reference for functional studies of miRNAs in E. superba.</t>
  </si>
  <si>
    <t>[Song Wei; Zhu Yefei; Jiang Keji; Zhang Fengying; Ma Chunyan; Ma Lingbo] Chinese Acad Fishery Sci, East China Sea Fisheries Res Inst, Minist Agr, Key Lab Ocean &amp; Polar Fisheries, Shanghai 200090, Peoples R China; [Wang Lumin] Chinese Acad Fishery Sci, Minist Agr, East China Sea Fisheries Res Inst, Key Lab East China Sea Fishery Resources Exploita, Shanghai 200090, Peoples R China</t>
  </si>
  <si>
    <t>Ministry of Agriculture &amp; Rural Affairs; Chinese Academy of Fishery Sciences; East China Sea Fisheries Research Institute, CAFS; Chinese Academy of Fishery Sciences; East China Sea Fisheries Research Institute, CAFS; Ministry of Agriculture &amp; Rural Affairs</t>
  </si>
  <si>
    <t>Ma, LB (corresponding author), Chinese Acad Fishery Sci, East China Sea Fisheries Res Inst, Minist Agr, Key Lab Ocean &amp; Polar Fisheries, Shanghai 200090, Peoples R China.;Wang, LM (corresponding author), Chinese Acad Fishery Sci, Minist Agr, East China Sea Fisheries Res Inst, Key Lab East China Sea Fishery Resources Exploita, Shanghai 200090, Peoples R China.</t>
  </si>
  <si>
    <t>lntwang@ecsf.ac.cn; malingbo@vip.sina.com</t>
  </si>
  <si>
    <t>Jiang, keji/F-1519-2010</t>
  </si>
  <si>
    <t>Sub-project under National Science &amp; Technology Support Plan [2013BAD13B03]; Special Fund for Agroscientific Research in the Public Interest [201203018]</t>
  </si>
  <si>
    <t>Sub-project under National Science &amp; Technology Support Plan; Special Fund for Agroscientific Research in the Public Interest</t>
  </si>
  <si>
    <t>Supported by the Sub-project under National Science &amp; Technology Support Plan (No. 2013BAD13B03) and the Special Fund for Agroscientific Research in the Public Interest (No. 201203018)</t>
  </si>
  <si>
    <t>10.1007/s00343-019-7229-7</t>
  </si>
  <si>
    <t>WOS:000454629000030</t>
  </si>
  <si>
    <t>Utevsky, A; Utevsky, S</t>
  </si>
  <si>
    <t>Utevsky, Andriy; Utevsky, Serge</t>
  </si>
  <si>
    <t>New Antarctic deep-sea weird leech (Hirudinida: Piscicolidae): morphological features and phylogenetic relationships</t>
  </si>
  <si>
    <t>SYSTEMATIC PARASITOLOGY</t>
  </si>
  <si>
    <t>OLIGOCHAETA; SEQUENCES</t>
  </si>
  <si>
    <t>A new fish leech Ambulobdella shandikovi n. g., n. sp. (Hirudinida: Piscicolidae), a parasite of Whitson's grenadier Macrourus whitsoni (Regan) (Macrouridae: Gadiformes) collected in the Ross Sea at depths from 1,221 to 1,433 m, is described and compared with related taxa based on morphological and molecular characters. Ambulobdella shandikovi n. sp. is characterised by prominent segmental tubercles on the venter and dorsal segmental tubercles, an uncommon appearance of its anterior sucker with ear-like edges and an inner membrane around the mouthpore, well-developed musculature and a unique combination of features of the reproductive and digestive systems. The presence of uncommon tubercles can be attributed, in part, to temporary associations of A. shandikovi n. sp. with its fish hosts and a need for well-developed sensory and locomotory organs. A certain locomotory function of ventrolateral tubercles of A. shandikovi n. sp. is hypothesised and discussed. Further deep-sea surveys are obviously needed to shed light on the behaviour and mode of locomotion of this species.</t>
  </si>
  <si>
    <t>[Utevsky, Andriy; Utevsky, Serge] Kharkov Natl Univ, 4 Maidan Svobody, UA-61022 Kharkov, Ukraine; [Utevsky, Andriy] State Inst Natl Antarctic Sci Ctr, 16 T Shevchenka Blvd, UA-01601 Kiev, Ukraine</t>
  </si>
  <si>
    <t>Ministry of Education &amp; Science of Ukraine; VN Karazin Kharkiv National University; Ministry of Education &amp; Science of Ukraine; State Institution National Antarctic Scientific Center</t>
  </si>
  <si>
    <t>Utevsky, A (corresponding author), Kharkov Natl Univ, 4 Maidan Svobody, UA-61022 Kharkov, Ukraine.</t>
  </si>
  <si>
    <t>andriy.utevsky@karazin.ua</t>
  </si>
  <si>
    <t>Utevsky, Serge/HJA-1084-2022</t>
  </si>
  <si>
    <t>Utevsky, Andriy/0000-0002-8336-1105</t>
  </si>
  <si>
    <t>Ministry of Education and Science of Ukraine [0117U004836]; CAML/SCAR-MarBIN TOTAL Foundation; National Antarctic Scientific Center of Ukraine</t>
  </si>
  <si>
    <t>Ministry of Education and Science of Ukraine; CAML/SCAR-MarBIN TOTAL Foundation; National Antarctic Scientific Center of Ukraine</t>
  </si>
  <si>
    <t>This research was supported in part by the National Antarctic Scientific Center of Ukraine, Ministry of Education and Science of Ukraine (grant 0117U004836) and a CAML/SCAR-MarBIN TOTAL Foundation minigrant.</t>
  </si>
  <si>
    <t>0165-5752</t>
  </si>
  <si>
    <t>1573-5192</t>
  </si>
  <si>
    <t>SYST PARASITOL</t>
  </si>
  <si>
    <t>Syst. Parasitol.</t>
  </si>
  <si>
    <t>8-9</t>
  </si>
  <si>
    <t>10.1007/s11230-018-9816-y</t>
  </si>
  <si>
    <t>Parasitology</t>
  </si>
  <si>
    <t>HG1RQ</t>
  </si>
  <si>
    <t>WOS:000454737500007</t>
  </si>
  <si>
    <t>Frey, DI; Morozov, EG; Fomin, VV; Diansky, NA</t>
  </si>
  <si>
    <t>Frey, D. I.; Morozov, E. G.; Fomin, V. V.; Diansky, N. A.</t>
  </si>
  <si>
    <t>Spatial Structure of the Antarctic Water Flow in the Vema Fracture Zone of the Mid-Atlantic Ridge</t>
  </si>
  <si>
    <t>numerical simulation; bottom currents; Antarctic Bottom Water; Vema Fracture Zone; CTD and LADCP measurements</t>
  </si>
  <si>
    <t>BOTTOM WATER; TRANSPORT; CIRCULATION; MODEL</t>
  </si>
  <si>
    <t>We study the Antarctic Bottom Water (AABW) flow in the Vema Fracture Zone of the Mid-Atlantic Ridge using the high-resolution Institute of Numerical Mathematics Ocean Model (INMOM) and data from field measurements. The key feature of this numerical modeling is high horizontal and vertical resolution in the bottom layer for the simulation of the flow in the narrow deepwater fracture, as well as the use of high-quality topography based on multibeam echo sounder measurements. Direct CTD and LADCP measurements performed onboard the R/V Akademik Sergey Vavilov in 2006 and 2014-2016 were used to verify the model. In this work, we analyze both the thermohaline structure of the bottom layer in the Vema Fracture Zone and kinematics of the flow over its entire length.</t>
  </si>
  <si>
    <t>[Frey, D. I.; Morozov, E. G.] Russian Acad Sci, Shirshov Inst Oceanol, Moscow 117997, Russia; [Fomin, V. V.; Diansky, N. A.] Zubov State Oceanog Inst, Moscow 119034, Russia; [Diansky, N. A.] Russian Acad Sci, Inst Numer Math, Moscow 119333, Russia; [Diansky, N. A.] Moscow MV Lomonosov State Univ, Moscow 119991, Russia</t>
  </si>
  <si>
    <t>Russian Academy of Sciences; Shirshov Institute of Oceanology; Zubov State Oceanographic Institute; Russian Academy of Sciences; Lomonosov Moscow State University</t>
  </si>
  <si>
    <t>Frey, DI (corresponding author), Russian Acad Sci, Shirshov Inst Oceanol, Moscow 117997, Russia.</t>
  </si>
  <si>
    <t>egmorozov@mail.ru</t>
  </si>
  <si>
    <t>Fomin, Vladimir/C-2124-2017; Fomin, Vladimir/AAQ-2838-2020; Diansky, Nikolay A/R-8307-2018; Morozov, Eugene G/L-3023-2018</t>
  </si>
  <si>
    <t>Frey, Dmitry/0000-0001-8141-9513; Diansky, Nikolay/0000-0002-6785-1956; Fomin, Vladimir/0000-0001-8857-1518; Morozov, Eugene/0000-0002-0251-3454</t>
  </si>
  <si>
    <t>Russian Foundation for Basic Research [17-08-00085]; Russian Science Foundation [14-50-00095, 17-17-01295]; Russian Science Foundation [17-17-01295] Funding Source: Russian Science Foundation</t>
  </si>
  <si>
    <t>The work of E.G. Morozov (oceanic measurements) was performed within the state task of the Federal Agency of Scientific Organizations of Russia (theme no. 0149-2014-0008) and supported in part by expedition grant of the Russian Foundation for Basic Research 17-08-00085. The work of D.I. Frey (modeling) was supported by the Russian Science Foundation (grant no. 14-50-00095). The investigations of N.A. Diansky and V.V. Fomin were supported by the Russian Science Foundation (grant no. 17-17-01295).</t>
  </si>
  <si>
    <t>10.1134/S0001433818060063</t>
  </si>
  <si>
    <t>HF7KR</t>
  </si>
  <si>
    <t>WOS:000454418700013</t>
  </si>
  <si>
    <t>McCauley, RD; Gavrilov, AN; Jolliffe, CD; Ward, R; Gill, PC</t>
  </si>
  <si>
    <t>McCauley, Robert D.; Gavrilov, Alexander N.; Jolliffe, Capri D.; Ward, Rhianne; Gill, Peter C.</t>
  </si>
  <si>
    <t>Pygmy blue and Antarctic blue whale presence, distribution and population parameters in southern Australia based on passive acoustics</t>
  </si>
  <si>
    <t>DEEP-SEA RESEARCH PART II-TOPICAL STUDIES IN OCEANOGRAPHY</t>
  </si>
  <si>
    <t>Blue whale; Pygmy blue whale; Antarctic blue whale; Passive acoustics; Ocean acoustics; Population growth; Whale distribution</t>
  </si>
  <si>
    <t>BALAENOPTERA-MUSCULUS; SOUND; LONG; VOCALIZATIONS; NOISE; SLOPE; SHELF; CALL; SONG</t>
  </si>
  <si>
    <t>Passive acoustic recorders set around Australia since 2004 have been used to study blue whales. Calls from New Zealand pygmy blue whales occur predominantly eastward of Bass Strait (145.8 degrees E), calls from Eastern Indian Ocean pygmy blue whales (EIO PB) west of Bass Strait, while Antarctic blue whale calls occur along the entire southern Australian coast. The only location all calls have been detected within a short space of time in the same season is Bass Strait, where inter-species mixing commonly occurs. The EIO PB shows three migratory stages: southbound from November to January during which whales travel down the Western Australian coast; southern Australian where animals spread across the Indian and Southern Oceans spanning longitudes from 74 degrees to 146 degrees E down to at least a latitude of 55 degrees S searching for food and feeding; then a northern migration where they return north to Indonesian waters post April-August. Along the southern Australian coastline EIO PB whales are more often detected towards the east, favouring an area where late summer to autumn upwelling occurs mostly over similar to 134-145 degrees E longitude. Receivers on the shelf break south of Portland (141.2 degrees E) showed 10-181 times greater EIO PB whale calling when integrated over their three month season than at sites located around the Great Australian Bight to the west. Within a season the Portland site did not show consistency of EIO PB whale presence or number of calling individuals, but when the number of calling individuals was integrated across a season and correlated with an upwelling index of seasonally integrated seabed water temperature across seven seasons, the upwelling index predicted 83% of the seasonal variance in whale presence. The strength of this correlation will be reduced by population growth of whales. By correcting EIO PB whale call rates for a variety of population growth rate values, we found a 4.3% growth rate for the population proportion visiting the Portland area, gave the maximum regression, correlation coefficient of r(2) = 90%. Time averaged levels of squared pressure produced at the upper chorus frequency of the Antarctic blue whale z-call and received via deep sound channel propagation at Portland showed a 12.6% increase rate. This is indicative of population growth rate for Antarctic blue whales using waters south of Australia, although the value of using pressure squared in this fashion and the assumptions underlying the technique need to be explored.</t>
  </si>
  <si>
    <t>[McCauley, Robert D.; Gavrilov, Alexander N.; Jolliffe, Capri D.; Ward, Rhianne] Curtin Univ, Ctr Marine Sci &amp; Technol, GPO Box U 1984, Perth, WA 6845, Australia; [Gill, Peter C.] Blue Whale Study, C PO, Narrawong, FL 3285 USA</t>
  </si>
  <si>
    <t>Curtin University</t>
  </si>
  <si>
    <t>McCauley, RD (corresponding author), Curtin Univ, Ctr Marine Sci &amp; Technol, GPO Box U 1984, Perth, WA 6845, Australia.</t>
  </si>
  <si>
    <t>R.McCauley@cmst.curtin.edu.au; A.Gavrilov@cmst.curtin.edu.au; CapriDawn.Jolliffe@postgrad.curtin.edu.au; pete@bluewhalestudy.org</t>
  </si>
  <si>
    <t>Gill, Peter/JZT-5482-2024; Gavrilov, Alexander N/B-2812-2013</t>
  </si>
  <si>
    <t>Gavrilov, Alexander/0000-0003-1907-458X; Ward, Rhianne/0000-0001-8766-6523</t>
  </si>
  <si>
    <t>Origin Energy; BP; CSIRO; South Australian Research and Development Institute (SARDI); University of Adelaide; Flinders University; Santos; Australian Government through the National Collaborative Research Infrastructure Strategy; Centre for Whale Research (WA Inc.); Australian Defence; Curtin University</t>
  </si>
  <si>
    <t>Origin Energy; BP; CSIRO(Commonwealth Scientific &amp; Industrial Research Organisation (CSIRO)); South Australian Research and Development Institute (SARDI); University of Adelaide; Flinders University; Santos; Australian Government through the National Collaborative Research Infrastructure Strategy(Australian GovernmentDepartment of Industry, Innovation and Science); Centre for Whale Research (WA Inc.); Australian Defence; Curtin University</t>
  </si>
  <si>
    <t>Origin Energy funded all deployments in Bass Strait and supported data analysis. The Great Australian Bight Research Program (GABRP) a collaboration between BP, CSIRO, the South Australian Research and Development Institute (SARDI), the University of Adelaide, and Flinders University co-funded data analysis. The GABRP aims to provide a whole-of-system understanding of the environmental, economic and social values of the region; providing an information source for all to use. Santos funded the western Tasmanian deployment, while BP Australia supported the central Great Australian Bight deployments. Through a collaborative venture led by Jason Gedamke, the Australian Antarctic Division in conjunction with CSIRO supported the mooring at 44 degrees S, south of Tasmania. SARDI carried out all Kangaroo Island mooring deployment and recovery work. The Integrated Marine Observing System (IMOS) funded moorings off NW WA, Perth Canyon, Kangaroo Island, Portland and NSW, all data which is publicly available through the portal https://acoustic.aodn.org.au/acoustic/or which can be requested from https://portal.aodn.org.au/.IMOS is supported by the Australian Government through the National Collaborative Research Infrastructure Strategy. The Bremer mooring was supported by the Centre for Whale Research (WA Inc.), Australian Defence and Curtin University. A large number of proficient and professional vessel crews were involved in data collection, notably John Richey and crew (FV Dell Richey II, Bass Strait), Curt and Micheline Jenner (RV Whale Song, south west WA), Barney O'Connor (FV Tiki II, Portland), Noel Gogerley (FV San Simone, NSW), Naturaliste Charters (Bremer) and Adam Masters (FV Carolina M, northern WA). Andrew Levings supported many of the east Australian field programs. Mal Perry, Dave Minchin and Frank Thomas were instrumental in preparing and maintaining all hardware used.</t>
  </si>
  <si>
    <t>0967-0645</t>
  </si>
  <si>
    <t>1879-0100</t>
  </si>
  <si>
    <t>DEEP-SEA RES PT II</t>
  </si>
  <si>
    <t>Deep-Sea Res. Part II-Top. Stud. Oceanogr.</t>
  </si>
  <si>
    <t>NOV-DEC</t>
  </si>
  <si>
    <t>10.1016/j.dsr2.2018.09.006</t>
  </si>
  <si>
    <t>HF4DU</t>
  </si>
  <si>
    <t>WOS:000454184200014</t>
  </si>
  <si>
    <t>Nelson, DA; Cottle, JM</t>
  </si>
  <si>
    <t>Nelson, D. A.; Cottle, J. M.</t>
  </si>
  <si>
    <t>The secular development of accretionary orogens: linking the Gondwana magmatic arc record of West Antarctica, Australia and South America</t>
  </si>
  <si>
    <t>Zircon geochronology; Hf isotopes; West Antarctica; Accretionary orogen; Polar Rock Repository</t>
  </si>
  <si>
    <t>MARIE-BYRD-LAND; U-PB GEOCHRONOLOGY; HF ISOTOPE GEOCHEMISTRY; NEW-ENGLAND BATHOLITH; CENTRAL TRANSANTARCTIC MOUNTAINS; MIGMATITE-GRANITE COMPLEX; PLASMA-MASS SPECTROMETRY; LARGE IGNEOUS PROVINCE; LU-HF; DETRITAL ZIRCONS</t>
  </si>
  <si>
    <t>Combined zircon geochronology and Hf isotopes of plutonic rocks from eastern Marie Byrd Land and Thurston Island, Antarctica, provide a detailed record of Phanerzoic arc magmatism along the paleo-Pacific margin of Gondwana. Magmatism along the Antarctic margin initiated in a dominantly contractional arc setting with an isotopically enriched lithospheric mantle source during the Ross Orogeny (c. 540-485 Ma). After termination of the Ross Orogeny through the Cretaceous, detrital zircon and zircon from igneous rocks record relative increases in zircon epsilon Hf-i inferred to represent episodes of lithospheric-scale extension and relative decreases during inferred contractional episodes along the Antarctic margin. Comparison of this secular isotopic evolutionary trend with similar data from along the paleo-Pacific margin of Gondwana demonstrates a shared history among Marie Byrd Land, Australia, and Zealandia that contrasts with the shared record of Thurston Island, Antarctic Peninsula, and South America. These two contrasting histories highlight an early Permian along arc geochemical and inferred geodynamic switch from an isotopically enriched contractional arc system in South America, Antarctic Peninsula, and Thurston Island to an isotopically depleted extensional arc system in Marie Byrd Land, Zealandia, and Australia. Despite differences in timing, all segments of the paleo-Pacific margin underwent a similar secular isotopic evolution with dramatic shifts from enriched to juvenile isotopic compositions during extensional collapse. Published by Elsevier B.V. on behalf of International Association for Gondwana Research.</t>
  </si>
  <si>
    <t>[Nelson, D. A.; Cottle, J. M.] Univ Calif Santa Barbara, Dept Earth Sci, Santa Barbara, CA 93106 USA</t>
  </si>
  <si>
    <t>University of California System; University of California Santa Barbara</t>
  </si>
  <si>
    <t>Nelson, DA (corresponding author), Univ Calif Santa Barbara, Dept Earth Sci, Santa Barbara, CA 93106 USA.</t>
  </si>
  <si>
    <t>demian@umail.ucsb.edu</t>
  </si>
  <si>
    <t>Cottle, John M/F-2799-2011</t>
  </si>
  <si>
    <t>National Science Foundation [1650114]; National Science Foundation Office of Polar Programs; [NSF-ANT-1443296]; [NSF-ANT-1043152]</t>
  </si>
  <si>
    <t>National Science Foundation(National Science Foundation (NSF)); National Science Foundation Office of Polar Programs(National Science Foundation (NSF)NSF - Directorate for Geosciences (GEO)); ;</t>
  </si>
  <si>
    <t>This material is based upon work supported by the National Science Foundation Graduate Research Fellowship under Grant No. 1650114 and support from NSF-ANT-1443296, NSF-ANT-1043152. This research used samples and/or data provided by the Polar Rock Repository (PRR). The PRR is sponsored by the National Science Foundation Office of Polar Programs. We are grateful to Anne Grunow and the PRR for providing samples and assisting with sample selection. We also acknowledge the original sample collectors: C. Craddock, I. Dalziel, V. DiVenere, P. Schmidt, B. Sporli, and C. White. Special thanks to S. Mukasa and F. Fahnestock for providing zircon separates. Constructive reviews from M. McKay and two anonymous reviewers greatly improved this manuscript. Additional analytical details and data tables are available in the Supplementary information and datasets.</t>
  </si>
  <si>
    <t>10.1016/j.gr.2018.06.002</t>
  </si>
  <si>
    <t>HF4EF</t>
  </si>
  <si>
    <t>WOS:000454185300002</t>
  </si>
  <si>
    <t>Humphries, GRW; Che-Castaldo, C; Bull, PJ; Lipstein, G; Ravia, A; Carrión, B; Bolton, T; Ganguly, A; Lynch, HJ</t>
  </si>
  <si>
    <t>Humphries, G. R. W.; Che-Castaldo, C.; Bull, P. J.; Lipstein, G.; Ravia, A.; Carrion, B.; Bolton, T.; Ganguly, A.; Lynch, H. J.</t>
  </si>
  <si>
    <t>Predicting the future is hard and other lessons from a population time series data science competition</t>
  </si>
  <si>
    <t>ECOLOGICAL INFORMATICS</t>
  </si>
  <si>
    <t>Penguins; Antarctica; MAPPPD; Forecasting; Uncertainty</t>
  </si>
  <si>
    <t>ADELIE PENGUIN POPULATION; SEA-ICE EXTENT; ENVIRONMENTAL VARIABILITY; RANDOM FORESTS; CLASSIFICATION; SURVIVAL; REVEALS; WEATHER; MODELS; KRILL</t>
  </si>
  <si>
    <t>Population forecasting, in which past dynamics are used to make predictions of future state, has many real-world applications. While time series of animal abundance are often modeled in ways that aim to capture the underlying biological processes involved, doing so is neither necessary nor sufficient for making good predictions. Here we report on a data science competition focused on modelling time series of Antarctic penguin abundance. We describe the best performing submitted models and compare them to a Bayesian model previously developed by domain experts and build an ensemble model that outperforms the individual component models in prediction accuracy. The top performing models varied tremendously in model complexity, ranging from very simple forward extrapolations of average growth rate to ensembles of models integrating recently developed machine learning techniques. Despite the short time frame for the competition, four of the submitted models outperformed the model previously created by the team of domain experts. We discuss the structure of the best performing models and components therein that might be useful for other ecological applications, the benefit of creating ensembles of models for ecological prediction, and the costs and benefits of including detailed domain expertise in ecological modelling. Additionally, we discuss the benefits of data science competitions, among which are increased visibility for challenging science questions, the generation of new techniques not yet adopted within the ecological community, and the ability to generate ensemble model forecasts that directly address model uncertainty.</t>
  </si>
  <si>
    <t>[Humphries, G. R. W.] Black Bawks Data Sci Ltd, 24 Abertarff Pl, Ft Augustus PH32 4DR, Scotland; [Che-Castaldo, C.; Lynch, H. J.] SUNY Stony Brook, Dept Ecol &amp; Evolut, Stony Brook, NY 11794 USA; [Bull, P. J.; Lipstein, G.] DrivenData Inc, Denver, CO USA; [Ravia, A.] Weizmann Inst Sci, Dept Neurobiol, Rehovot, Israel; [Ravia, A.] Weizmann Inst Sci, Dept Comp Sci &amp; Appl Math, Rehovot, Israel; [Carrion, B.] PRDW Consulting Port &amp; Coastal Engn, Santiago, Chile; [Bolton, T.] Univ Oxford, Dept Atmospher Ocean &amp; Planetary Phys, Oxford, England; [Ganguly, A.] Sect 3, Kolkata, India; [Lynch, H. J.] SUNY Stony Brook, Inst Adv Computat Sci, Stony Brook, NY 11794 USA</t>
  </si>
  <si>
    <t>State University of New York (SUNY) System; State University of New York (SUNY) Stony Brook; Weizmann Institute of Science; Weizmann Institute of Science; University of Oxford; State University of New York (SUNY) System; State University of New York (SUNY) Stony Brook</t>
  </si>
  <si>
    <t>Humphries, GRW (corresponding author), Black Bawks Data Sci Ltd, 24 Abertarff Pl, Ft Augustus PH32 4DR, Scotland.</t>
  </si>
  <si>
    <t>grwhumphries@blackbawks.net</t>
  </si>
  <si>
    <t>Che-Castaldo, Christian/0000-0002-7670-2178; Humphries, Grant/0000-0001-5783-9892; Ganguly, Ambarish/0000-0001-6142-2862</t>
  </si>
  <si>
    <t>US National Aeronautics and Space Administration [NNX14AC32G]; National Science Foundation Office of Polar Programs [NSF/OPP-1255058]</t>
  </si>
  <si>
    <t>US National Aeronautics and Space Administration(National Aeronautics &amp; Space Administration (NASA)); National Science Foundation Office of Polar Programs(National Science Foundation (NSF)NSF - Directorate for Geosciences (GEO))</t>
  </si>
  <si>
    <t>HJL, CC-C, GH gratefully acknowledge funding provided by US National Aeronautics and Space Administration [Award No. NNX14AC32G], without which there would have been no prize money for this competition, and especially Woody Turner and Cindy Schmidt for their help with that process. HJL would also like to acknowledge the National Science Foundation Office of Polar Programs Award No. NSF/OPP-1255058. We would like to thank C. Youngflesh for comments on drafts our manuscript. We would also like to greatly thank all the participants in the data science competition, and to the entire DrivenData team who managed the process.</t>
  </si>
  <si>
    <t>1574-9541</t>
  </si>
  <si>
    <t>1878-0512</t>
  </si>
  <si>
    <t>ECOL INFORM</t>
  </si>
  <si>
    <t>Ecol. Inform.</t>
  </si>
  <si>
    <t>10.1016/j.ecoinf.2018.07.004</t>
  </si>
  <si>
    <t>HE7TC</t>
  </si>
  <si>
    <t>WOS:000453641900001</t>
  </si>
  <si>
    <t>Palóczy, A; Gille, ST; McClean, JL</t>
  </si>
  <si>
    <t>Paloczy, Andre; Gille, Sarah T.; McClean, Julie L.</t>
  </si>
  <si>
    <t>Oceanic Heat Delivery to the Antarctic Continental Shelf: Large-Scale, Low-Frequency Variability</t>
  </si>
  <si>
    <t>Southern Ocean; oceanic heat transport; Antarctic marginal seas; cross-shelf exchange; global hydrodynamic modeling; decadal variability</t>
  </si>
  <si>
    <t>CIRCUMPOLAR DEEP-WATER; AMUNDSEN SEA SHELF; ICE SHELVES; BELLINGSHAUSEN SEA; TRANSPORT; CIRCULATION; EDDY; MELTWATER; GLACIER; INFLOW</t>
  </si>
  <si>
    <t>Onshore penetration of oceanic water across the Antarctic continental slope (ACS) plays a major role in global sea level rise by delivering heat to the Antarctic marginal seas, thus contributing to the basal melting of ice shelves. Here the time-mean ((mean)) and eddy ((eddy)) components of the heat transport () across the 1,000-m isobath along the entire ACS are investigated using a 0.1 degrees global coupled ocean/sea ice simulation based on the Los Alamos Parallel Ocean Program (POP) and sea ice (Community Ice CodE) models. Comparison with in situ hydrography shows that the model successfully represents the basic water mass structure, with a warm bias in the Circumpolar Deep Water layer. Segments of on-shelf , with lengths of O(100-1,000km), are found along the ACS. The circumpolar integral of the annually averaged is O(20TW), with phi(eddy) always on-shelf, while phi(mean) fluctuates between on-shelf and off-shelf. Stirring along isoneutral surfaces is often the dominant process by which eddies transport heat across the ACS, but advection of heat by both mean flow-topography interactions and eddies can also be significant depending on the along- and across-slope location. The seasonal and interannual variability of the circumpolarly integrated phi(mean) is controlled by convergence of Ekman transport within the ACS. Prominent warming features at the bottom of the continental shelf (consistent with observed temperature trends) are found both during high-Southern Annular Mode and high-Nino 3.4 periods, suggesting that climate modes can modulate the heat transfer from the Southern Ocean to the ACS across the entire Antarctic margin. Plain Language Summary The Antarctic Circumpolar Current (ACC), carrying warm Circumpolar Deep Water (CDW), flows eastward in the deep Southern Ocean basin usually far from cooler Antarctic coastal waters. However, when the ACC does approach the Antarctic coast, CDW can supply heat to the floating edges of the Antarctic ice cap. We use a realistic computer model of the global ocean and sea ice to study these processes. The model indicates that winds, ocean eddies, and current interactions with the seafloor all contribute to moving heat toward Antarctica. Seasonal wind changes around Antarctica affect the heat transport (HT) near the surface and the HT due to current-seafloor interactions but not so much the HT due to eddies. Over multi-year periods, some of the changes in the HT are related to climate variability taking place in the tropics and around Antarctica. Both the processes responsible for bringing heat to the Antarctic coast and the variability of this heat delivery represent knowledge needed to improve computer model simulations of the Antarctic ice cap's melting. In turn, improving these simulations is likely to reduce uncertainties in projections of sea level rise, allowing for the development of adaptation and mitigation policies that better address global societal impacts.</t>
  </si>
  <si>
    <t>[Paloczy, Andre; Gille, Sarah T.; McClean, Julie L.] Univ Calif San Diego, Scripps Inst Oceanog, La Jolla, CA 92093 USA</t>
  </si>
  <si>
    <t>Palóczy, A (corresponding author), Univ Calif San Diego, Scripps Inst Oceanog, La Jolla, CA 92093 USA.</t>
  </si>
  <si>
    <t>apaloczy@ucsd.edu</t>
  </si>
  <si>
    <t>Paloczy, Andre/0000-0001-8231-8298; Gille, Sarah/0000-0001-9144-4368</t>
  </si>
  <si>
    <t>US Department of Energy (DOE) [DE-SC0014440]; National Science Foundation (NSF); U.S. DOE Office of Science via a Los Alamos National Laboratory; U.S. Department of Energy (DOE) [DE-SC0014440] Funding Source: U.S. Department of Energy (DOE)</t>
  </si>
  <si>
    <t>US Department of Energy (DOE)(United States Department of Energy (DOE)); National Science Foundation (NSF)(National Science Foundation (NSF)); U.S. DOE Office of Science via a Los Alamos National Laboratory; U.S. Department of Energy (DOE)(United States Department of Energy (DOE))</t>
  </si>
  <si>
    <t>The authors gratefully acknowledge support from the US Department of Energy (DOE, grant DE-SC0014440) in the scope of the Ocean and Sea Ice and their Interactions around Greenland and the West Antarctic Peninsula in Forced Fine-Resolution Global Simulations project and high-performance computing support from Yellowstone (ark:/85065/d7wd3xhc) provided by NCAR's Climate Simulation Laboratory (CSL), sponsored by the National Science Foundation (NSF) and other agencies. J. L. M. was supported by an earlier U.S. DOE Office of Science grant entitled Ultra-High Resolution Global Climate Simulation via a Los Alamos National Laboratory subcontract to carry out the POP/CICE simulation; both Caroline Papadopoulos (SIO/UCSD) and Elena Yulaeva (UCSD) participated in its production. The analyses of the model output performed in this study were enabled by computing resources provided by Oak Ridge Leadership Computing Facility (OLCF). The marine mammal data were collected and made freely available by the International MEoP Consortium and the national programs that contribute to it (http://www.meop.net).All code and reduced data sets necessary to reproduce the results are available online at https://github.com/apaloczy/AntarcticaCircumpolarIntrusions.We are grateful to two anonymous reviewers, whose thorough work substantially improved the quality of the manuscript.</t>
  </si>
  <si>
    <t>10.1029/2018JC014345</t>
  </si>
  <si>
    <t>HF1DY</t>
  </si>
  <si>
    <t>Green Submitted, Bronze, Green Published</t>
  </si>
  <si>
    <t>WOS:000453907000003</t>
  </si>
  <si>
    <t>Jendersie, S; Williams, MJM; Langhorne, PJ; Robertson, R</t>
  </si>
  <si>
    <t>Jendersie, Stefan; Williams, Michael J. M.; Langhorne, Pat J.; Robertson, Robin</t>
  </si>
  <si>
    <t>The Density-Driven Winter Intensification of the Ross Sea Circulation</t>
  </si>
  <si>
    <t>Ross Sea circulation; HSSW; CDW; ISW; AABW; Ross Ice Shelf; wind stress and sea ice; Antarctica; Ross Sea Polynya and Terra Nova Bay Polynya</t>
  </si>
  <si>
    <t>CIRCUMPOLAR DEEP-WATER; ADVECTION TRANSPORT ALGORITHM; CROSS-SHELF EXCHANGE; ICE-SHELF; UPPER-OCEAN; MIXED-LAYER; MCMURDO SOUND; BASAL MELT; THERMOHALINE CIRCULATION; CONTINENTAL-SHELF</t>
  </si>
  <si>
    <t>The circulation over the Ross Sea continental shelf facilitates the exchange between the Southern Ocean and the Ross Ice Shelf cavity. Here transport and mixing processes control the access of oceanic heat from the Southern Ocean to the ice shelf base, the formation of sea ice, and the production of High Salinity Shelf Water (HSSW) in polynyas and hence the subsequent formation of Antarctic Bottom Water. A climatological ocean-ice shelf coupled model of the Ross Sea Sector including the cavity, with prescribed sea ice fluxes, was used to examine the details of currents and their seasonal variability over the continental shelf. A system of two cyclonic and three anticyclonic persistent circulation features has been identified. Transports steadily increase throughout winter, with individual currents carrying up to 2Sv, nearly doubling their minimum. The seasonal modulation is driven by lateral differences in density and subsequent baroclinic pressure gradients, induced through dense shelf water formation in the Ross Sea and the Terra Nova Bay Polynas. Wind plays a minor role in ocean momentum variability. Sensitivity experiments suggest a weakening of transports with increasing wind stress. Horizontal density variations at the ocean surface are smoothed by the wind. The source of momentum in the cavity is the gravity-driven bottom flow of HSSW, produced in the Ross Sea Polynya as part of the thermohaline overturning circulation. Tracer experiments suggest that HSSW forming in the Terra Nova Bay Polynya has no cavity access, but instead is the main contributor to Antarctic Bottom Water formed in the northwest slope. Plain Language Summary The cavity beneath an ice shelf (Antarctica's massive floating glaciers) contains some of the most remote and poorly sampled waters on Earth. Yet these waters control the melting and stability of ice shelves and their ability to prevent the accelerated discharge of Antarctica's grounded ice sheets into the ocean. Such catastrophic events would cause global sea level rise. Here computer simulations are used to link together sparse observations and understand the present-day behavior of the ocean beneath the Ross Ice Shelf, the largest ice shelf on Earth. We focus on the seasonal patterns and drivers of ocean currents in the Ross Sea which transport heat from deep in the Southern Ocean to the Ross Ice Shelf. The simulations show that currents are driven by horizontal differences in density induced by rapid winter sea ice formation on a wind-swept, partially open, ocean. Yet in regions of more complete sea ice cover stronger winds reduce the circulation by mixing water masses of different density and smoothing out density differences. Slower currents would carry less heat into the Ross Ice Shelf cavity, reducing melting there. Establishing the circulation's indirect wind dependency adds an important detail in predicting the future of the Ross Ice Shelf.</t>
  </si>
  <si>
    <t>[Jendersie, Stefan; Williams, Michael J. M.] Natl Inst Water &amp; Atmospher Res, Wellington, New Zealand; [Jendersie, Stefan; Langhorne, Pat J.] Univ Otago, Dept Phys, Dunedin, New Zealand; [Robertson, Robin] Xiamen Univ Malaysia, China ASEAN Coll Marine Sci, Sepang, Selangor, Malaysia; [Robertson, Robin] UNSW Canberra ADFA, Sch Phys Environm &amp; Math Sci, Canberra, ACT, Australia</t>
  </si>
  <si>
    <t>National Institute of Water &amp; Atmospheric Research (NIWA) - New Zealand; University of Otago; Xiamen University Malaysia Campus; Australian Defense Force Academy</t>
  </si>
  <si>
    <t>Jendersie, S (corresponding author), Natl Inst Water &amp; Atmospher Res, Wellington, New Zealand.;Jendersie, S (corresponding author), Univ Otago, Dept Phys, Dunedin, New Zealand.</t>
  </si>
  <si>
    <t>stefan.jendersie@niwa.co.nz</t>
  </si>
  <si>
    <t>Jendersie, Stefan/HKW-3913-2023; Robertson, Robin/T-5491-2019; Langhorne, Pat/C-3539-2018</t>
  </si>
  <si>
    <t>Langhorne, Pat/0000-0003-0239-7657; Jendersie, Stefan/0000-0002-8658-3184</t>
  </si>
  <si>
    <t>University of Otago; New Zealand Ministry of Business, Innovation, and Employment (MBIE) [CO1X1226, C01X1710]; NIWA Strategic Science Investment Fund; Deep South National Science Challenge; Ministry of Business, Innovation and Employment's Research Infrastructure programme; NIWA research grant; New Zealand Ministry of Business, Innovation &amp; Employment (MBIE) [C01X1710] Funding Source: New Zealand Ministry of Business, Innovation &amp; Employment (MBIE)</t>
  </si>
  <si>
    <t>University of Otago; New Zealand Ministry of Business, Innovation, and Employment (MBIE)(New Zealand Ministry of Business, Innovation and Employment (MBIE)); NIWA Strategic Science Investment Fund; Deep South National Science Challenge; Ministry of Business, Innovation and Employment's Research Infrastructure programme(New Zealand Ministry of Business, Innovation and Employment (MBIE)); NIWA research grant; New Zealand Ministry of Business, Innovation &amp; Employment (MBIE)(New Zealand Ministry of Business, Innovation and Employment (MBIE))</t>
  </si>
  <si>
    <t>Funding for this research was provided by: University of Otago, Departmental Scholarship; NIWA research grant; New Zealand Ministry of Business, Innovation, and Employment (MBIE) research programmes CO1X1226, Ross Sea Climate and Ecosystem, and C01X1710, ROSS RAMP; NIWA Strategic Science Investment Fund and the Deep South National Science Challenge. Takeshi Tamura kindly provided winter surface flux data for the Ross Sea. GODAS data, NCEP-DOE 2 Reanalysis, and NCEP/NCAR Reanalysis 1 data were provided by the NOAA/OAR/ESRL PSD, Boulder, Colorado, USA, from their Web site at https://www.esrl.noaa.gov/psd/.The authors wish to acknowledge the contribution of the NeSI high-performance computing facilities to this research. New Zealand's national facilities are provided by the NZ eScience Infrastructure and funded jointly by NeSI's collaborator institutions and through the Ministry of Business, Innovation and Employment's Research Infrastructure programme (https://www.nesi.org.nz).Craig Stevens and Graham Rickard contributed very helpful insights to contextualize model results with observation data. We also thank David Gwyther and another, anonymous reviewer for providing invaluable improvements to our manuscript. The Fortran build code, header file and model run time options for the Ct case can be accessed under https://github.com/sj-science/RSSM_ROMS.git.</t>
  </si>
  <si>
    <t>10.1029/2018JC013965</t>
  </si>
  <si>
    <t>WOS:000453907000004</t>
  </si>
  <si>
    <t>Liu, CY; Wang, ZM; Cheng, C; Wu, Y; Xia, RB; Li, BR; Li, X</t>
  </si>
  <si>
    <t>Liu, Chengyan; Wang, Zhaomin; Cheng, Chen; Wu, Yang; Xia, Ruibin; Li, Bingrui; Li, Xiang</t>
  </si>
  <si>
    <t>On the Modified Circumpolar Deep Water Upwelling Over the Four Ladies Bank in Prydz Bay, East Antarctica</t>
  </si>
  <si>
    <t>modified Circumpolar Deep Water; Antarctic Slope Current; potential vorticity; Prdyz Bay; onshore upwelling; topography dynamic effect</t>
  </si>
  <si>
    <t>AMERY ICE SHELF; BOTTOM WATER; SEA-ICE; SOUTHERN-OCEAN; CAPE DARNLEY; TRANSPORT; CIRCULATION; REGION; EDDY; MELT</t>
  </si>
  <si>
    <t>Analyses of hydrographic observation data sets revealed that modified Circumpolar Deep Water (mCDW) tends to flood the western flank (73-78 degrees E, 67-68 degrees S) of the Four Ladies Bank (FLB) in Prydz Bay. In this study, we investigated the mechanism responsible for mCDW upwelling over the FLB based on an eddy-resolving coupled ocean-sea ice-ice shelf model in conjunction with the latest high-accuracy bathymetry. It was found that zonal step-like declines in the seabed over the FLB are crucial for the mCDW onshore upwelling, through topographic dynamic effects on the alongshore Antarctic Slope Current. In the presence of meridional cross-shelf sigma isopycnals, warm mCDW at 500-m depth in the deep sea can make its approach to the shallower continental shelf (200- to 500-m depths), characterized as a warm layer (&gt; -1.8 degrees C) bounded by the cross-shelf sigma isopycnal surfaces of 27.5 and 27.7kg/m(3). The simulated outflow of the Prydz Bay gyre is concentrated to the eastern flank of the Prydz Channel. These results suggest that, in addition to the depressions and troughs around the Antarctic, smaller topographic features such as step-like declines in the seabed near the Antarctic Slope Current are also favorable for onshore mCDW intrusion. This study demonstrates that mCDW onshore transport around the Antarctic continental shelf might be significantly underestimated by numerical models with coarse spatial representations of the topography. Plain Language Summary Based the observational data sets, warm Circumpolar Deep Water was identified over the Four Ladies Bank in Prydz Bay, East Antarctica. The warm signals could be delivered into the ocean cavity beneath the downstream ice shelf and result in remarkable influences to the ice shelf basal melting. In order to investigate the intrusion of warm Circumpolar Deep Water, we used a numerical model to simulate the oceanic circulations in Prydz Bay. By assessing the simulated results, we found that the topographic influences of the changes in seabed on the continental shelf break jet play a dominant role in the responsible mechanism for warm water intrusion. Our findings highlighted that the improvements in the spatial resolution of the numerical model and the accuracy of the topographical representations are very useful in the investigation of warm water intrusion around the Antarctic continental shelf.</t>
  </si>
  <si>
    <t>[Liu, Chengyan; Wang, Zhaomin; Wu, Yang] Hohai Univ, Coll Oceanog, Int Polar Environm Res Lab, Nanjing, Jiangsu, Peoples R China; [Liu, Chengyan; Cheng, Chen; Xia, Ruibin] Nanjing Univ Informat Sci &amp; Technol, Sch Marine Sci, Nanjing, Jiangsu, Peoples R China; [Li, Bingrui] Polar Res Inst China, Shanghai, Peoples R China; [Li, Xiang] Chinese Acad Sci, Inst Oceanol, Key Lab Ocean Circulat &amp; Waves, Qingdao, Peoples R China</t>
  </si>
  <si>
    <t>Hohai University; Nanjing University of Information Science &amp; Technology; Polar Research Institute of China; Chinese Academy of Sciences; Institute of Oceanology, CAS</t>
  </si>
  <si>
    <t>Wang, ZM (corresponding author), Hohai Univ, Coll Oceanog, Int Polar Environm Res Lab, Nanjing, Jiangsu, Peoples R China.</t>
  </si>
  <si>
    <t>zhaomin.wang@hhu.edu.cn</t>
  </si>
  <si>
    <t>Wu, Yang/IVH-6563-2023</t>
  </si>
  <si>
    <t>Wu, Yang/0000-0003-2165-9704; Wu, Yang/0000-0001-7842-9796</t>
  </si>
  <si>
    <t>Major State Basic Research Development Program of China [2016YFA0601804]; China National Natural Science Foundation (NSFC) Project [41306208, 41276200, 41406214, 41376190, 41606217]; Fundamental Research Funds for the Central Universities [2017B04814, 2017B20714]; Ocean Public Welfare Scientific Research Project [201405031]; Chinese Polar Environment Comprehensive Investigation &amp; Assessment Program [CHINARE-2016-01-01]; Special Program for China Meteorology Trade [GYHY201306020]; Program for Innovation Research and Entrepreneurship team in Jiangsu Province; China Scholarship Council [201504180026, 201708320046]; Priority Academic Program Development of Jiangsu Higher Education Institutions (PAPD)</t>
  </si>
  <si>
    <t>Major State Basic Research Development Program of China(National Basic Research Program of China); China National Natural Science Foundation (NSFC) Project; Fundamental Research Funds for the Central Universities(Fundamental Research Funds for the Central Universities); Ocean Public Welfare Scientific Research Project; Chinese Polar Environment Comprehensive Investigation &amp; Assessment Program; Special Program for China Meteorology Trade; Program for Innovation Research and Entrepreneurship team in Jiangsu Province; China Scholarship Council(China Scholarship Council); Priority Academic Program Development of Jiangsu Higher Education Institutions (PAPD)</t>
  </si>
  <si>
    <t>This work is supported by the Major State Basic Research Development Program of China (2016YFA0601804), the China National Natural Science Foundation (NSFC) Project (41306208, 41276200, 41406214, 41376190, and 41606217), the Fundamental Research Funds for the Central Universities (2017B04814 and 2017B20714), Ocean Public Welfare Scientific Research Project (201405031), the Chinese Polar Environment Comprehensive Investigation &amp; Assessment Program (CHINARE-2016-01-01), the Special Program for China Meteorology Trade (Grant GYHY201306020), Program for Innovation Research and Entrepreneurship team in Jiangsu Province, the China Scholarship Council (201504180026 and 201708320046), and by a project funded by the Priority Academic Program Development of Jiangsu Higher Education Institutions (PAPD). Data from the 29 th CHINARE are available through the Chinese National Arctic and Antarctic Data Center (http://www.chinare.org.cn/en/difDetailPublicDataset/?id= 6725). Hydrographic data from JARPA are available through the Institute of Cetacean Research (http://www.icr-whale.org/oceanograhicdata.html).The RTopo-2 data are available through the PANGAEA Data Publisher for Earth &amp; Environmental Science (https://doi.pan-gaea.de/10.1594/PANGAEA.856844).The constructive comments of the three anonymous reviewers were greatly appreciated.</t>
  </si>
  <si>
    <t>10.1029/2018JC014026</t>
  </si>
  <si>
    <t>WOS:000453907000010</t>
  </si>
  <si>
    <t>Schroeter, S; Hobbs, W; Bindoff, NL; Massom, R; Matear, R</t>
  </si>
  <si>
    <t>Schroeter, S.; Hobbs, W.; Bindoff, N. L.; Massom, R.; Matear, R.</t>
  </si>
  <si>
    <t>Drivers of Antarctic Sea Ice Volume Change in CMIP5 Models</t>
  </si>
  <si>
    <t>Antarctic sea ice; Antarctic climate; sea ice; climate models; CMIP5; climate</t>
  </si>
  <si>
    <t>OCEAN MIXED-LAYER; CLIMATE MODEL; TRENDS; VARIABILITY; CIRCULATION; EXTENT; WATER; IMPACT</t>
  </si>
  <si>
    <t>Antarctic sea ice trends have to date been linked to surface winds, through sea ice motion and atmospheric thermal advection. This paper analyzes sea ice volume in 10 Coupled Model Intercomparison Project Phase 5 (CMIP5) model configurations under pre-industrial and historical climate forcings, to compare the relative importance of ice motion and thermodynamic processes. We find that the models' responses to historical forcings is dependent on their sea ice motion formulation; models with low-magnitude sea ice motion tend to have historical trends that are dominated by thermodynamic processes, while sea ice models with higher-magnitude motion have more spatially variable relative contributions from dynamic and thermodynamic processes. Trends at the sea ice edge during the season of sea ice advance are generally dominated by dynamic processes, whereas during retreat thermodynamic trends dominate. The models show more disagreement in the sea ice interior. This analysis highlights the different estimates and patterns of sea ice volume among global climate models and offers insight into the drivers of sea ice volume change as well as the subsequent implications for simulated atmosphere-sea ice-ocean interactions. Plain Language Summary Increasing observed Antarctic sea ice is thought to be largely driven by surface winds, through driving sea ice motion and advecting warm air southward to melt ice in some regions. However, global climate models do not reproduce observed sea ice trends. This paper analyzes the sea ice volume budget in 10 climate models to see how much simulated sea ice change is driven by dynamic processes such as wind-driven sea ice motion, and how much is due to thermodynamic freeze and melt processes. We find that the models generally agree when it comes to mean sea ice volume change, with dynamic processes dominating the sea ice edge and thermodynamic processes dominating in the interior of the sea ice pack. However, the models disagree about trends of sea ice volume. In the sea ice interior, each process dominates approximately half the models in all sea ice sectors, and thermodynamic processes tend to dominate in models with low-magnitude average sea ice motion. These results provide insight into the estimates and patterns of Antarctic sea ice in global climate models, helping to understand the disparity between simulated and observed sea ice trends.</t>
  </si>
  <si>
    <t>[Schroeter, S.; Bindoff, N. L.] Univ Tasmania, Inst Marine &amp; Antarctic Studies, Hobart, Tas, Australia; [Schroeter, S.; Hobbs, W.; Bindoff, N. L.; Massom, R.] ACE CRC, Hobart, Tas, Australia; [Schroeter, S.] ARC Ctr Excellence Climate Syst Sci ARCCSS, Hobart, Tas, Australia; [Hobbs, W.; Bindoff, N. L.] ARC Ctr Excellence Climate Extremes ARCCLEX, Hobart, Tas, Australia; [Bindoff, N. L.; Matear, R.] CSIRO Oceans &amp; Atmosphere, Hobart, Tas, Australia; [Massom, R.] Australian Antarctic Div, Kingston, Tas, Australia</t>
  </si>
  <si>
    <t>Schroeter, S (corresponding author), Univ Tasmania, Inst Marine &amp; Antarctic Studies, Hobart, Tas, Australia.;Schroeter, S (corresponding author), ACE CRC, Hobart, Tas, Australia.;Schroeter, S (corresponding author), ARC Ctr Excellence Climate Syst Sci ARCCSS, Hobart, Tas, Australia.</t>
  </si>
  <si>
    <t>serena.schroeter@utas.edu.au</t>
  </si>
  <si>
    <t>Hobbs, Will/P-8094-2019; Bindoff, Nathaniel Lee/IVV-0333-2023; Bindoff, Nathaniel Lee/C-8050-2011; matear, richard/C-5133-2011</t>
  </si>
  <si>
    <t>Hobbs, Will/0000-0002-2061-0899; Bindoff, Nathaniel Lee/0000-0001-5662-9519; Bindoff, Nathaniel Lee/0000-0001-5662-9519; Schroeter, Serena/0000-0002-8963-3044; Massom, Robert/0000-0003-1533-5084; matear, richard/0000-0002-3225-0800</t>
  </si>
  <si>
    <t>Australian Government Research Training Program Scholarship through the University of Tasmania/CSIRO Quantitative Marine Science Programme; Australian Research Council Centre of Excellence for Climate System Science; Australian Government's Cooperative Research Centres Programme through the Antarctic Climate and Ecosystems Cooperative Research Center (ACE CRC); AAS Project [4116]</t>
  </si>
  <si>
    <t>Australian Government Research Training Program Scholarship through the University of Tasmania/CSIRO Quantitative Marine Science Programme(Australian Government); Australian Research Council Centre of Excellence for Climate System Science(Australian Research Council); Australian Government's Cooperative Research Centres Programme through the Antarctic Climate and Ecosystems Cooperative Research Center (ACE CRC)(Australian GovernmentDepartment of Industry, Innovation and ScienceCooperative Research Centres (CRC) Programme); AAS Project</t>
  </si>
  <si>
    <t>The authors would like to thank Phil Reid and four anonymous reviewers for their thoughtful contributions to this article. Serena Schroeter was supported by an Australian Government Research Training Program Scholarship through the University of Tasmania/CSIRO Quantitative Marine Science Programme, and CMIP5 data management was supported by the Australian Research Council Centre of Excellence for Climate System Science. We thank the World Climate Research Programme's Working Group on Coupled Modeling and the climate modeling groups listed in Table for producing and making available CMIP5 model output (via https://cmip.llnl.gov/cmip5/data_portal.html). We thank the National Snow and Ice Data Center for access to passive microwave sea ice concentration data (via https://nsidc.org/data/NSIDC-0051), and the European Centre for Medium-Range Weather Forecasts for access to the ERA-Interim atmospheric reanalysis output (via http://apps.ecmwf.int/). For CMIP, the U.S. Department of Energy's Program for Climate Model Diagnosis and Intercomparison provides coordinating support and led development of software infrastructure in partnership with the Global Organization for Earth System Science Portals. This work was supported by the Australian Government's Cooperative Research Centres Programme through the Antarctic Climate and Ecosystems Cooperative Research Center (ACE CRC) and contributes to AAS Project 4116.</t>
  </si>
  <si>
    <t>10.1029/2018JC014177</t>
  </si>
  <si>
    <t>WOS:000453907000015</t>
  </si>
  <si>
    <t>Koenig, Z; Meyer, A; Provost, C; Sennéchael, N; Sundfjord, A; Beguery, L; Athanase, M; Gascard, JC</t>
  </si>
  <si>
    <t>Koenig, Zoe; Meyer, Amelie; Provost, Christine; Sennechael, Nathalie; Sundfjord, Arild; Beguery, Laurent; Athanase, Marylou; Gascard, Jean-Claude</t>
  </si>
  <si>
    <t>Cooling and Freshening of the West Spitsbergen Current by Shelf-Origin Cold Core Lenses</t>
  </si>
  <si>
    <t>glider; West Spitsbergen Current; Arctic Ocean; cooling and freshening; lenses; shelf; slope exchanges</t>
  </si>
  <si>
    <t>ATLANTIC WATER; DRIVEN; SVALBARD</t>
  </si>
  <si>
    <t>The West Spitsbergen Current (WSC) cools and freshens as it flows northward along the western Svalbard shelf. The cooling takes place at the ocean surface through interaction with the atmosphere and also in subsurface. We present observations with high horizontal resolution (around 2km) from a SeaExplorer glider deployed in July 2017 for 14days in the WSC offshore Kongsfjorden around 79 degrees N. They document small lenses (less than 10-km diameter) of cold (less than 3.8 degrees C) and fresh (less than 35.2g/kg) waters in the core of the WSC, coming from the shelf and contributing to its cooling and freshening. Data show that water from the shelf cascades to the bottom of the slope and then detaches on the offshore side of the WSC core where it is baroclinically unstable. The presence of these lenses from the shelf can be related to the wind regime. Strong southerly winds cause upwelling of the warm Atlantic Water onto the shelf in winter. Weak and/or northerly winds allow modified Atlantic Water formed by mixing with cold waters on the shelf to cascade down the slope, leading to lenses of colder and fresher water protruding into the WSC. If lenses are common in the WSC, they could be contributing significantly to its cooling and freshening especially in summer when the influence of the atmosphere on the cooling of the WSC is less important. Plain Language Summary The West Spitsbergen Current (WSC), which flows northward along the western Svalbard slope, carrying warm, high-salinity Atlantic Water (AW), is a main source of heat and salt to the Arctic Ocean. It cools and freshens as it flows northward. We present observations from a SeaExplorer glider deployed in July 2017 for 14days in the WSC around 79 degrees N. They document small lenses (less than 10km) of cold and fresh waters from the shelf in the core of the WSC (about 250-m depth). Water from the Svalbard shelf cascades to the bottom of the slope. Cold and fresh lenses detached from the bottom of the slope. The presence of these lenses from the shelf is related with the wind regime. Strong southerly winds cause upwelling of the warm AW onto the shelf in winter. Weak and/or northerly winds allow modified AW on the shelf to cascade down the slope, leading to lenses of colder and fresher water protruding into the WSC. If lenses were common, they could be contributing significantly to the cooling and freshening of the WSC.</t>
  </si>
  <si>
    <t>[Koenig, Zoe; Provost, Christine; Sennechael, Nathalie; Athanase, Marylou; Gascard, Jean-Claude] Univ Paris 06, Sorbonne Univ, UPMC, Lab LOCEAN,IPSL,CNRS,IRD,MNHN, Paris, France; [Meyer, Amelie] Univ Tasmania, ARC Ctr Excellence Climate Extremes, Hobart, Tas, Australia; [Meyer, Amelie] Univ Tasmania, Inst Marine &amp; Antarctic Studies, Hobart, Tas, Australia; [Meyer, Amelie; Sundfjord, Arild] Norwegian Polar Res Inst, Fram Ctr, Tromso, Norway; [Beguery, Laurent] Alseamar, Rousset, France</t>
  </si>
  <si>
    <t>Institut de Recherche pour le Developpement (IRD); Sorbonne Universite; Universite Paris Cite; Centre National de la Recherche Scientifique (CNRS); Museum National d'Histoire Naturelle (MNHN); University of Tasmania; University of Tasmania; Norwegian Polar Institute</t>
  </si>
  <si>
    <t>Koenig, Z (corresponding author), Univ Paris 06, Sorbonne Univ, UPMC, Lab LOCEAN,IPSL,CNRS,IRD,MNHN, Paris, France.</t>
  </si>
  <si>
    <t>zklod@locean-ipsl.upmc.fr</t>
  </si>
  <si>
    <t>Athanase, Marylou/AAS-8206-2021</t>
  </si>
  <si>
    <t>Athanase, Marylou/0000-0001-6603-9870; Koenig, Zoe/0000-0002-7203-3827; Sundfjord, Arild/0000-0002-6913-3368; Provost, Christine/0000-0003-4693-3685; Meyer, Amelie/0000-0003-0447-795X</t>
  </si>
  <si>
    <t>European project ACCESS; Pan-Arctic Option Belmont Forum; Australian Research Council Centre of Excellence for Climate Extremes [CE170100023]; Norwegian Polar Institute's Centre for Ice, Climate and Ecosystems; Fram Centre Arctic Ocean project A-TWAIN</t>
  </si>
  <si>
    <t>European project ACCESS; Pan-Arctic Option Belmont Forum; Australian Research Council Centre of Excellence for Climate Extremes(Australian Research Council); Norwegian Polar Institute's Centre for Ice, Climate and Ecosystems; Fram Centre Arctic Ocean project A-TWAIN</t>
  </si>
  <si>
    <t>The glider work was supported by the European project ACCESS. We thank Norwegian Polar Institute and the captain and crew on board the R/V Lance for the logistics of the glider deployment and recovery. We also thank all the glider pilots from Alseamar. Z. Koenig acknowledges a post doc funding from the Pan-Arctic Option Belmont Forum. A. Meyer was supported by the Australian Research Council Centre of Excellence for Climate Extremes (CE170100023) and by the Norwegian Polar Institute's Centre for Ice, Climate and Ecosystems. A. Sundfjord acknowledges the Fram Centre Arctic Ocean project A-TWAIN for funding. The glider data are publicly available in the SEANOE database: http://doi.org/10.17882/56366.</t>
  </si>
  <si>
    <t>10.1029/2018JC014463</t>
  </si>
  <si>
    <t>WOS:000453907000034</t>
  </si>
  <si>
    <t>Meiners, KM; Vancoppenolle, M; Carnat, G; Castellani, G; Delille, B; Delille, D; Dieckmann, GS; Flores, H; Fripiat, F; Grotti, M; Lange, BA; Lannuzel, D; Martin, A; McMinn, A; Nomura, D; Peeken, I; Rivaro, P; Ryan, KG; Stefels, J; Swadling, KM; Thomas, DN; Tison, JL; van der Merwe, P; van Leeuwe, MA; Weldrick, C; Yang, EJ</t>
  </si>
  <si>
    <t>Meiners, K. M.; Vancoppenolle, M.; Carnat, G.; Castellani, G.; Delille, B.; Delille, D.; Dieckmann, G. S.; Flores, H.; Fripiat, F.; Grotti, M.; Lange, B. A.; Lannuzel, D.; Martin, A.; McMinn, A.; Nomura, D.; Peeken, I.; Rivaro, P.; Ryan, K. G.; Stefels, J.; Swadling, K. M.; Thomas, D. N.; Tison, J. -L.; van der Merwe, P.; van Leeuwe, M. A.; Weldrick, C.; Yang, E. J.</t>
  </si>
  <si>
    <t>Chlorophyll-a in Antarctic Landfast Sea Ice: A First Synthesis of Historical Ice Core Data</t>
  </si>
  <si>
    <t>Antarctica; fast ice; ice algae; chlorophyll-a</t>
  </si>
  <si>
    <t>LUTZOW-HOLM BAY; MCMURDO SOUND; PLATELET ICE; WEDDELL SEA; ROSS SEA; MICROBIAL COMMUNITIES; HIGH-RESOLUTION; MICROALGAL COMMUNITY; PRIMARY PRODUCTIVITY; SPATIAL VARIABILITY</t>
  </si>
  <si>
    <t>Historical sea ice core chlorophyll-a (Chla) data are used to describe the seasonal, regional, and vertical distribution of ice algal biomass in Antarctic landfast sea ice. The analyses are based on the Antarctic Fast Ice Algae Chlorophyll-a data set, a compilation of currently available sea ice Chla data from landfast sea ice cores collected at circum-Antarctic nearshore locations between 1970 and 2015. Ice cores were typically sampled from thermodynamically grown first-year ice and have thin snow depths (mean=0.0520.097m). The data set comprises 888 ice cores, including 404 full vertical profile cores. Integrated ice algal Chla biomass (range: &lt;0.1-219.9mg/m(2), median=4.4mg/m(2), interquartile range=9.9mg/m(2)) peaks in late spring and shows elevated levels in autumn. The seasonal Chla development is consistent with the current understanding of physical drivers of ice algal biomass, including the seasonal cycle of irradiance and surface temperatures driving landfast sea ice growth and melt. Landfast ice regions with reported platelet ice formation show maximum ice algal biomass. Ice algal communities in the lowermost third of the ice cores dominate integrated Chla concentrations during most of the year, but internal and surface communities are important, particularly in winter. Through comparison of biomass estimates based on different sea ice sampling strategies, that is, analysis of full cores versus bottom-ice section sampling, we identify biases in common sampling approaches and provide recommendations for future survey programs: for example, the need to sample fast ice over its entire thickness and to measure auxiliary physicochemical parameters. Plain Language Summary Antarctic sea ice is a key driver of physical, chemical, and biological processes in the Southern Ocean. Importantly, sea ice serves as a substrate for microscopic algae which grow in the bottom, interior, and surface layers of the ice. These algae are considered an important food source for Antarctic marine food webs. Using a newly collated database of historical sea ice core chlorophyll-a data (a proxy for ice algal biomass) from coastal sites, we describe the seasonal and vertical variability of algal biomass in Antarctic landfast sea ice. The seasonal chlorophyll-a development is consistent with the current understanding of physical drivers of ice algal biomass, including the seasonal cycle of irradiance and surface temperatures driving landfast sea ice growth and melt. Our analyses show that algae in the lowermost third of ice cores drive the annual cycle of integrated biomass, but internal and surface communities are also important. Through comparison of biomass estimates based on different sea ice sampling strategies, that is, analysis of full cores versus bottom-ice section sampling, we identify biases in common sampling approaches and provide recommendations for future survey programs: for example, the need to sample fast ice over its entire thickness and to measure auxiliary physical parameters, in particular snow-thickness data.</t>
  </si>
  <si>
    <t>[Meiners, K. M.] Dept Environm &amp; Energy, Australian Antarctic Div, Kingston, Tas, Australia; [Meiners, K. M.; Lannuzel, D.; Swadling, K. M.; van der Merwe, P.] Univ Tasmania, Antarctic Climate &amp; Ecosyst Cooperat Res Ctr, Hobart, Tas, Australia; [Vancoppenolle, M.] UPMC Paris 6, Sorbonne Univ, LOCEAN IPSL, CNRS IRD MNHN, Paris, France; [Carnat, G.; Tison, J. -L.] Univ Libre Bruxelles, Lab Glaciol, Dept Geosci Environm &amp; Soc, Brussels, Belgium; [Castellani, G.; Dieckmann, G. S.; Flores, H.; Lange, B. A.; Peeken, I.] Helmholtz Zentrum Polar &amp; Meeresforsch, Alfred Wegener Inst, Bremerhaven, Germany; [Delille, B.] Univ Liege, FOCUS, Chem Oceanog Unit, Liege, Belgium; [Delille, D.] UPMC Paris 6, Sorbonne Univ, CNRS, Banyuls Sur Mer, France; [Flores, H.; Lange, B. A.] Univ Hamburg, Ctr Nat Hist CeNak, Zool Museum, Bioctr Grindel, Hamburg, Germany; [Fripiat, F.] Max Planck Inst Chem, Mainz, Germany; [Grotti, M.; Rivaro, P.] Univ Genoa, Dept Chem &amp; Ind Chem, Genoa, Italy; [Lange, B. A.] Fisheries &amp; Oceans Canada, Freshwater Inst, Winnipeg, MB, Canada; [Lannuzel, D.; Martin, A.; McMinn, A.; Swadling, K. M.; Weldrick, C.] Univ Tasmania, Inst Marine &amp; Antarctic Studies, Hobart, Tas, Australia; [Nomura, D.] Hokkaido Univ, Fac Fisheries Sci, Hakodate, Hokkaido, Japan; [Nomura, D.] Hokkaido Univ, Arctic Res Ctr, Sapporo, Hokkaido, Japan; [Ryan, K. G.] Victoria Univ Wellington, Sch Biol Sci, Wellington, New Zealand; [Stefels, J.; van Leeuwe, M. A.] Univ Groningen, Groningen Inst Evolutionary Life Sci, Groningen, Netherlands; [Thomas, D. N.] Bangor Univ, Sch Ocean Sci, Menai Bridge, Gwynedd, Wales; [Thomas, D. N.] Finnish Environm Inst SYKE, Marine Res Ctr, Helsinki, Finland; [Yang, E. J.] Korea Polar Res Inst, Div Polar Ocean Sci, Incheon, South Korea</t>
  </si>
  <si>
    <t>Australian Antarctic Division; Antarctic Climate &amp; Ecosystems Cooperative Research Centre (ACE CRC); University of Tasmania; Sorbonne Universite; Museum National d'Histoire Naturelle (MNHN); Institut de Recherche pour le Developpement (IRD); Universite Libre de Bruxelles; Helmholtz Association; Alfred Wegener Institute, Helmholtz Centre for Polar &amp; Marine Research; University of Liege; Sorbonne Universite; Centre National de la Recherche Scientifique (CNRS); University of Hamburg; Max Planck Society; University of Genoa; Fisheries &amp; Oceans Canada; University of Tasmania; Hokkaido University; Hokkaido University; Victoria University Wellington; University of Groningen; Bangor University; Finnish Environment Institute; Korea Polar Research Institute (KOPRI)</t>
  </si>
  <si>
    <t>Meiners, KM (corresponding author), Dept Environm &amp; Energy, Australian Antarctic Div, Kingston, Tas, Australia.;Meiners, KM (corresponding author), Univ Tasmania, Antarctic Climate &amp; Ecosyst Cooperat Res Ctr, Hobart, Tas, Australia.</t>
  </si>
  <si>
    <t>klaus.meiners@aad.gov.au</t>
  </si>
  <si>
    <t>Vancoppenolle, Martin/B-3750-2011; Castellani, Giulia/AAS-9298-2021; Fripiat, François/ABB-8918-2021; Daniel, Delille/S-9542-2019; Thomas, David Neville/B-1448-2010; Weldrick, Christine/N-2617-2017; Flores, Hauke/ABD-1888-2020; Dieckmann, Gerhard S/B-4307-2010; Lange, Benjamin/H-4733-2017; McMinn, Andrew/A-9910-2008; Grotti, Marco/HGU-3949-2022; Vancoppenolle, Martin/AAA-7711-2022; Delille, Bruno/C-3486-2008; lannuzel, delphine/J-7937-2014; van der Merwe, Pier/C-9210-2015</t>
  </si>
  <si>
    <t>Vancoppenolle, Martin/0000-0002-7573-8582; Castellani, Giulia/0000-0001-6151-015X; Thomas, David Neville/0000-0001-8832-5907; Weldrick, Christine/0000-0003-1099-438X; Flores, Hauke/0000-0003-1617-5449; Grotti, Marco/0000-0001-6956-5761; Vancoppenolle, Martin/0000-0002-7573-8582; Peeken, Ilka/0000-0003-1531-1664; Delille, Bruno/0000-0003-0502-8101; Swadling, Kerrie/0000-0002-7620-841X; lannuzel, delphine/0000-0001-6154-1837; Yang, Eun Jin/0000-0002-8639-5968; van der Merwe, Pier/0000-0002-7428-8030; Fripiat, Francois/0000-0002-2591-6301</t>
  </si>
  <si>
    <t>Scientific Committee on Antarctic Research (SCAR)-Action Group on Biogeochemical Exchange Processes at the Sea-Ice Interfaces (BEPSII); Scientific Committee on Oceanic Research (SCOR) Working Group on Measuring Essential Climate Variables in Sea Ice (ECV-Ice) [SCOR WG-152]; Climate and Cryosphere (CliC) project of the World Climate Research Programme (WCRP); Australian Governments Cooperative Research Centres Program through the Antarctic Climate and Ecosystems Cooperative Research Centre through Australian Antarctic Science (AAS) [4298]; Australian Research Council's Special Research Initiative for Antarctic Gateway Partnership [SR140300001]; HanseWissenschaftskolleg (Delmenhorst, Germany); NERC; Leverhulme Trust; Royal Society; Dutch Science Foundation (NWO) under the Polar Program [866.10.101, 866.14.101]; Foundation of Research Science and Technology (New Zealand); ARC [DP0209308]; AAS [691, 1328]; [AWI_PS89_00]; Australian Research Council [DP0209308] Funding Source: Australian Research Council</t>
  </si>
  <si>
    <t>Scientific Committee on Antarctic Research (SCAR)-Action Group on Biogeochemical Exchange Processes at the Sea-Ice Interfaces (BEPSII); Scientific Committee on Oceanic Research (SCOR) Working Group on Measuring Essential Climate Variables in Sea Ice (ECV-Ice); Climate and Cryosphere (CliC) project of the World Climate Research Programme (WCRP); Australian Governments Cooperative Research Centres Program through the Antarctic Climate and Ecosystems Cooperative Research Centre through Australian Antarctic Science (AAS)(Australian GovernmentDepartment of Industry, Innovation and ScienceCooperative Research Centres (CRC) Programme); Australian Research Council's Special Research Initiative for Antarctic Gateway Partnership(Australian Research Council); HanseWissenschaftskolleg (Delmenhorst, Germany); NERC(UK Research &amp; Innovation (UKRI)Natural Environment Research Council (NERC)); Leverhulme Trust(Leverhulme Trust); Royal Society(Royal Society); Dutch Science Foundation (NWO) under the Polar Program; Foundation of Research Science and Technology (New Zealand)(New Zealand Foundation for Research, Science and Technology); ARC(Australian Research Council); AAS; ; Australian Research Council(Australian Research Council)</t>
  </si>
  <si>
    <t>We thank the Antarctic station crews and our colleagues from many different countries that supported the sea ice sampling during the various field programs that contributed to this study. This work was carried out under the auspices of the Scientific Committee on Antarctic Research (SCAR)-Action Group on Biogeochemical Exchange Processes at the Sea-Ice Interfaces (BEPSII) and the Scientific Committee on Oceanic Research (SCOR) Working Group on Measuring Essential Climate Variables in Sea Ice (ECV-Ice, SCOR WG-152). BEPSII is also supported by the Climate and Cryosphere (CliC) project of the World Climate Research Programme (WCRP). This work was also supported by the Australian Governments Cooperative Research Centres Program through the Antarctic Climate and Ecosystems Cooperative Research Centre, received funding through Australian Antarctic Science (AAS) project 4298, and was supported under Australian Research Council's Special Research Initiative for Antarctic Gateway Partnership (Project ID SR140300001). K. M. M.'s contribution to this project was supported through a fellowship by the HanseWissenschaftskolleg (Delmenhorst, Germany). D. N. T.'s contribution was possible through support from NERC, the Leverhulme Trust, and the Royal Society. The contribution of J. S. and M. A. v. L. was funded through the Dutch Science Foundation (NWO) under the Polar Program, project numbers 866.10.101 and 866.14.101. K. G. R. acknowledges the support of the Foundation of Research Science and Technology (New Zealand). This study contributes to the Helmholtz Association Research Programme Polar regions And Coasts in the changing Earth System II (PACES II), Topic 1, WP 5 as part of the Helmholtz Association Young Investigators Group Iceflux: Ice-ecosystem carbon flux in polar oceans (VH-NG-800). Data collected near Neumayer III in 2014/2015 are allocated to expedition grant AWI_PS89_00. K. M. S. acknowledges ARC DP0209308 and AAS 691 and 1328. B. D. is a research associate at F.R.S-FNRS. The Antarctic Fast Ice Algal Chlorophyll-a (AFIAC) data set compiled for this study is available through the Australian Antarctic Data Centre (doi: 10.4225/15/589bf832b4731). We thank two anonymous reviewers for their detailed and constructive comments on this paper.</t>
  </si>
  <si>
    <t>10.1029/2018JC014245</t>
  </si>
  <si>
    <t>Green Published, Green Accepted, Bronze</t>
  </si>
  <si>
    <t>WOS:000453907000042</t>
  </si>
  <si>
    <t>Artana, C; Lellouche, JM; Sennéchael, N; Provost, C</t>
  </si>
  <si>
    <t>Artana, Camila; Lellouche, Jean-Michel; Sennechael, Nathalie; Provost, Christine</t>
  </si>
  <si>
    <t>The Open-Ocean Side of the Malvinas Current in Argo Floats and 24Years of Mercator Ocean High-Resolution (1/12) Physical Reanalysis</t>
  </si>
  <si>
    <t>Mercator Ocean; operational model; Argo floats; Malvinas Current; recirculations; mesoscale</t>
  </si>
  <si>
    <t>ANTARCTIC CIRCUMPOLAR CURRENT; SATELLITE ALTIMETRY; SOUTHERN-OCEAN; DRAKE PASSAGE; INTERMEDIATE; SURFACE; FRONTS</t>
  </si>
  <si>
    <t>Downstream of Drake Passage, the northern branches of the Antarctic Circumpolar Current, the Polar Front and the Subantarctic Front, veer northward and the latter forms the Malvinas Current (MC). The MC flows along the continental slope up to 38 degrees S where it loops southward as the Malvinas Return Flow. Using 24years of Mercator Ocean physical reanalysis outputs and Argo float data, we explore the open-ocean side of the MC. We observe the occurrence of blocking events at 49 degrees S, a region where the MC is exposed to the warm and salty anticyclonic anomalies propagating westward along the steep slope of the Malvinas Escarpment. During these events, the MC is cut off from its source, and the MC transport is considerably reduced at 49 degrees S. The open-ocean side of the MC is regularly supplied with cold polar waters from the Polar front.The polar waters accumulate and recirculate between the MC and the Malvinas Return Flow. The water characteristics of the recirculation region change over time. The recirculation region hosts significantly lighter and fresher waters during the period 1997-2003 compared with prior and later years. The 1997-2003 salinity minimum in the recirculation region corresponds to a period with reduced feeding events at 49 degrees S. Plain Language Summary The Malvinas Current (MC) is an extension of the Antarctic Circumpolar Current. It flows along the Argentinean continental slope up to 38 degrees S where it performs a sharp cyclonic loop and turns to the south as the Malvinas Return Flow. We show that recurrently, the open-ocean side of the MC is supplied with cold polar waters north of 49 degrees S. These waters accumulate and recirculate between the MC and the Malvinas Return Flow. Blocking events at 49 degrees S cut off the MC from the Antarctic Circumpolar Current. Twenty-four years of Mercator Ocean physical reanalysis outputs show recurrent blocking and feeding events and subsequent recirculation cells. Salinity in the recirculation region showed a minimum in the water column in the 1997-2003 period. The salinity minimum corresponds to a change in the occurrence of feeding and blocking events.</t>
  </si>
  <si>
    <t>[Artana, Camila; Sennechael, Nathalie; Provost, Christine] Univ Paris 06, Sorbonne Univ, UPMC, Lab LOCEAN IPSL,CNRS,IRD,MNHN, Paris, France; [Lellouche, Jean-Michel] Mercator Ocean, Parc Technol Canal, Ramonville St Agne, France</t>
  </si>
  <si>
    <t>Institut de Recherche pour le Developpement (IRD); Centre National de la Recherche Scientifique (CNRS); Sorbonne Universite; Museum National d'Histoire Naturelle (MNHN)</t>
  </si>
  <si>
    <t>Artana, C (corresponding author), Univ Paris 06, Sorbonne Univ, UPMC, Lab LOCEAN IPSL,CNRS,IRD,MNHN, Paris, France.</t>
  </si>
  <si>
    <t>cartlod@locean-ipsl.upmc.fr</t>
  </si>
  <si>
    <t>Provost, Christine/0000-0003-4693-3685</t>
  </si>
  <si>
    <t>Sorbonne Universite [ED129]</t>
  </si>
  <si>
    <t>Sorbonne Universite</t>
  </si>
  <si>
    <t>The authors are grateful to the CNES (Centre National d'Etudes Spatiales) for constant support. Camila Artana acknowledges Scholarship from Sorbonne Universite (ED129). The satellite data and model outputs are available at Copernicus Marine Environment Monitoring Service (CMEMS; http://marine.copernicus.eu/). The float data were collected and made freely available by the international ARGO program and the national programs that contribute to it (http://www.argo.ucsd.edu). The ARGO program is part of the Global Ocean Observing System.</t>
  </si>
  <si>
    <t>10.1029/2018JC014528</t>
  </si>
  <si>
    <t>WOS:000453907000044</t>
  </si>
  <si>
    <t>Leroy, EC; Royer, JY; Bonnel, J; Samaran, F</t>
  </si>
  <si>
    <t>Leroy, Emmanuelle C.; Royer, Jean-Yves; Bonnel, Julien; Samaran, Flore</t>
  </si>
  <si>
    <t>Long-Term and Seasonal Changes of Large Whale Call Frequency in the Southern Indian Ocean</t>
  </si>
  <si>
    <t>large baleen whales; blue whale calls; frequency shifts; frequency decrease; ambient noise; bioacoustics</t>
  </si>
  <si>
    <t>PYGMY BLUE WHALES; ACOUSTIC COMMUNICATION; ANTARCTIC ICEBERGS; HUMPBACK WHALES; SOUND SOURCE; NOISE; BEHAVIOR; SEISMICITY; DISCOVERY; IMPACT</t>
  </si>
  <si>
    <t>In the past decades, in the context of a changing ocean submitted to an increasing human activity, a progressive decrease in the frequencies (pitch) of blue whale vocalizations has been observed worldwide. Its causes, of natural or anthropogenic nature, are still unclear. Based on 7years of continuous acoustic recordings at widespread sites in the southern Indian Ocean, we show that this observation stands for five populations of large whales. The frequency of selected units of vocalizations of fin, Antarctic, and pygmy blue whales has steadily decreased at a rate of a few tenths of hertz per year since 2002. In addition to this interannual frequency decrease, blue whale vocalizations display seasonal frequency shifts. We show that these intra-annual shifts correlate with seasonal changes in the ambient noise near their call frequency. This ambient noise level, in turn, shows a strong correlation with the seasonal presence of icebergs, which are one of the main sources of oceanic noise in the Southern Hemisphere. Although cause-and-effect relationships are difficult to ascertain, wide-ranging changes in the acoustic environment seem to have a strong impact on the vocal behavior of large baleen whales. Seasonal frequency shifts may be due to short-term changes in the ambient noise, and the interannual frequency decline to long-term changes in the acoustic properties of the ocean and/or in postwhaling changes in whale abundances. Plain Language Summary In the past decades, a progressive decrease in the frequencies of blue whale vocalizations is observed worldwide. Its causes,of natural or anthropogenic nature, are unclear. Based on 7years of widespread acoustic records in the southern Indian Ocean, we show that the call frequency of five populations of large baleen whales decreases at a constant rate of tenths of hertz per year. We also found that seasonal shifts in the whale call frequency follow seasonal changes in the ambient noise in the same frequency band. Wide-ranging changes in the acoustic environment have thus a strong impact on the vocal behavior of large whales in the short term, but, paradoxically, not in the long term.</t>
  </si>
  <si>
    <t>[Leroy, Emmanuelle C.; Royer, Jean-Yves] Univ Brest, Plouzane, France; [Leroy, Emmanuelle C.; Royer, Jean-Yves] CNRS, Lab Geosci Ocean, IUEM, Plouzane, France; [Bonnel, Julien] Woods Hole Oceanog Inst, Falmouth, MA USA; [Samaran, Flore] ENSTA Bretagne, UMR CNRS 6285, Lab STICC, Brest, France</t>
  </si>
  <si>
    <t>Universite de Bretagne Occidentale; Universite de Bretagne Occidentale; Institut Universitaire Europeen de la Mer (IUEM); Centre National de la Recherche Scientifique (CNRS); Woods Hole Oceanographic Institution; Universite de Bretagne Occidentale; ENSTA Bretagne</t>
  </si>
  <si>
    <t>Leroy, EC (corresponding author), Univ Brest, Plouzane, France.;Leroy, EC (corresponding author), CNRS, Lab Geosci Ocean, IUEM, Plouzane, France.</t>
  </si>
  <si>
    <t>emmanuelle.leroy@unsw.edu.au</t>
  </si>
  <si>
    <t>Royer, Jean-Yves/B-4312-2010; Leroy, Emmanuelle/Q-9995-2019</t>
  </si>
  <si>
    <t>Royer, Jean-Yves/0000-0002-7653-7715; Leroy, Emmanuelle/0000-0002-6469-1758</t>
  </si>
  <si>
    <t>French Polar Institute (IPEV); INSU-CNRS; University of Brest; Regional Council of Brittany (Conseil Regional de Bretagne)</t>
  </si>
  <si>
    <t>French Polar Institute (IPEV); INSU-CNRS(Centre National de la Recherche Scientifique (CNRS)); University of Brest; Regional Council of Brittany (Conseil Regional de Bretagne)(Region Bretagne)</t>
  </si>
  <si>
    <t>The authors wish to thank the Captains and crews of RV Marion Dufresne for the successful deployments and recoveries of the hydrophones of the DEFLOHYDRO (Royer, 2008) and OHASISBIO (Royer, 2009) experiments. French cruises were funded by the French Polar Institute (IPEV) with additional support from INSU-CNRS. NOAA/PMEL also contributed to the DEFLOHYDRO project. E. C. L. was supported by a PhD fellowship from the University of Brest and from the Regional Council of Brittany (Conseil Regional de Bretagne). The contribution of Mickael Beauverger at LGO to the logistics and deployment of the OHASISBIO cruises is greatly appreciated. The data underlying this analysis (weekly averaged frequencies of Antarctic blue whales, pygmy blue whales, and fin whales and daily averaged noise levels at each site) are accessible at http://doi.org/10.17882/51007.</t>
  </si>
  <si>
    <t>10.1029/2018JC014352</t>
  </si>
  <si>
    <t>WOS:000453907000048</t>
  </si>
  <si>
    <t>Davis, PED; Jenkins, A; Nicholls, KW; Brennan, PV; Abrahamsen, EP; Heywood, KJ; Dutrieux, P; Cho, KH; Kim, TW</t>
  </si>
  <si>
    <t>Davis, Peter E. D.; Jenkins, Adrian; Nicholls, Keith W.; Brennan, Paul V.; Abrahamsen, E. Povl; Heywood, Karen J.; Dutrieux, Pierre; Cho, Kyoung-Ho; Kim, Tae-Wan</t>
  </si>
  <si>
    <t>Variability in Basal Melting Beneath Pine Island Ice Shelf on Weekly to Monthly Timescales</t>
  </si>
  <si>
    <t>AMUNDSEN SEA EMBAYMENT; CIRCUMPOLAR DEEP-WATER; GROUNDING LINE RETREAT; WEST ANTARCTICA; OCEANOGRAPHIC CONTROLS; KOHLER GLACIERS; OCEAN; CIRCULATION; INFLOW; RADAR</t>
  </si>
  <si>
    <t>Ocean-driven basal melting of Amundsen Sea ice shelves has triggered acceleration, thinning, and grounding line retreat on many West Antarctic outlet glaciers. Here we present the first year-long (2014) record of basal melt rate at sub-weekly resolution from a location on the outer Pine Island Ice Shelf. Adjustment of the upper thermocline to local wind forced variability in the vertical Ekman velocity is the dominant control on basal melting at weekly to monthly timescales. Atmosphere-ice-ocean surface heat fluxes or changes in advection of modified Circumpolar Deep Water play no discernible role at these timescales. We propose that during other years, a deepening of the thermocline in Pine Island Bay driven by longer timescale processes may have suppressed the impact of local wind forcing on high-frequency upper thermocline height variability and basal melting. This highlights the complex interplay between the different processes and their timescales that set the basal melt rate beneath Pine Island Ice Shelf. Plain Language Summary Ice shelvesthe floating extensions of the Antarctic ice sheetare melted from beneath when in contact with warm ocean waters. The rate at which they melt is especially important for controlling Antarctica's contribution to future sea level rise, and extreme basal melting may even be capable of causing the West Antarctic Ice Sheet to rapidly collapse. Here we use the first high resolution time series of basal melting observed beneath Pine Island Ice Shelf in the Amundsen Sea sector of West Antarctica to explore what sets the melt rate on short timescales. We find that during 2014, the local wind patterns are particularly important, as they are capable of changing the ocean temperature beneath Pine Island Ice Shelf. In other years, however, local wind patterns seem less important, highlighting the complex interactions that exist between the ice shelf and the ocean upon which it floats.</t>
  </si>
  <si>
    <t>[Davis, Peter E. D.; Jenkins, Adrian; Nicholls, Keith W.; Abrahamsen, E. Povl] British Antarctic Survey, Nat Environm Res Council, Cambridge, England; [Brennan, Paul V.] UCL, Dept Elect &amp; Elect Engn, London, England; [Heywood, Karen J.] Univ East Anglia, Ctr Ocean &amp; Atmospher Sci, Norwich, Norfolk, England; [Dutrieux, Pierre] Columbia Univ, Lamont Doherty Earth Observ, Palisades, NY USA; [Cho, Kyoung-Ho; Kim, Tae-Wan] Korea Polar Res Inst, Incheon, South Korea</t>
  </si>
  <si>
    <t>UK Research &amp; Innovation (UKRI); Natural Environment Research Council (NERC); NERC British Antarctic Survey; University of London; University College London; University of East Anglia; Columbia University; Korea Polar Research Institute (KOPRI)</t>
  </si>
  <si>
    <t>Davis, PED (corresponding author), British Antarctic Survey, Nat Environm Res Council, Cambridge, England.</t>
  </si>
  <si>
    <t>Kim, Tae-Wan/JGM-9981-2023; Jenkins, Adrian/IUN-2406-2023; Abrahamsen, Povl/B-2140-2008; Dutrieux, Pierre/GVS-2890-2022; Heywood, Karen/L-1757-2016</t>
  </si>
  <si>
    <t>Kim, Tae-Wan/0000-0001-5257-7256; Abrahamsen, Povl/0000-0001-5924-5350; Dutrieux, Pierre/0000-0002-8066-934X; Jenkins, Adrian/0000-0002-9117-0616; Davis, Peter/0000-0002-6471-6310; Heywood, Karen/0000-0001-9859-0026</t>
  </si>
  <si>
    <t>UK Natural Environment Research Council's iSTAR Programme; NERC [NE/L013444/1, NE/J005746/1, NE/J005630/1, NE/J005703/1, NE/J005770/1]; NSF [1643285]; Korea Polar Research Institute [KOPRI PE17060]; NERC [NE/L013770/1, NE/S006761/1, NE/J005770/1, NE/J005630/1, NE/L013444/1, bas0100033, NE/R016038/1, NE/J005746/1, NE/J005703/1] Funding Source: UKRI; Office of Polar Programs (OPP); Directorate For Geosciences [1643285] Funding Source: National Science Foundation</t>
  </si>
  <si>
    <t>UK Natural Environment Research Council's iSTAR Programme; NERC(UK Research &amp; Innovation (UKRI)Natural Environment Research Council (NERC)); NSF(National Science Foundation (NSF)); Korea Polar Research Institute(Korea Polar Research Institute of Marine Research Placement (KOPRI)); NERC(UK Research &amp; Innovation (UKRI)Natural Environment Research Council (NERC)); Office of Polar Programs (OPP); Directorate For Geosciences(National Science Foundation (NSF)NSF - Directorate for Geosciences (GEO))</t>
  </si>
  <si>
    <t>The authors would particularly like to thank Stanley Jacobs, Ben Webber, and David Shean for their useful comments and discussions during the preparation of this manuscript. We would also like to thank two anonymous reviewers for their comments that helped improve the manuscript. This work was supported by funding fromthe UK Natural Environment Research Council's iSTAR Programme and NERC grants NE/J005770/1 (P. E. D. D., A. J., and P. D.), NE/J005746/1 (A. J.), NE/J005630/1 (P. V. B.), and NE/J005703/1 (K. H.). P. D. also received funding from NSF grant 1643285 and P. V. B. received funding from NERC grant NE/L013444/1. Support for T. W. K. and K.-H. C. was provided by the Korea Polar Research Institute grant KOPRI PE17060. The oceanographic mooring data collected as part of the iSTAR program are available from the British Oceanographic Data Centre (https://www.bodc.ac.uk/data/bodc_database/nodb/data_collection/6552/), and the atmospheric reanalysis products are available from the European Centre for Medium-Range Weather Forecasts (https://www.ecmwf.int/en/forecasts/datasets/archive-datasets/reanalysis-datasets/era5) and the National Center for Atmospheric Research Data Archive (https://climatedataguide.ucar.edu/climate-data/climate-forecast-system-reanalysis-cfsr). The time series of basal melt rate is available from the UK Polar Data Centre (https://doi.org/10.5285/0cf552a6-cd62-4da0-8289-8e4bab0a35a8).</t>
  </si>
  <si>
    <t>10.1029/2018JC014464</t>
  </si>
  <si>
    <t>WOS:000453907000053</t>
  </si>
  <si>
    <t>Gardner, WD; Richardson, MJ; Mishonov, AV; Biscaye, PE</t>
  </si>
  <si>
    <t>Gardner, Wilford D.; Richardson, Mary Jo; Mishonov, Alexey, V; Biscaye, Pierre E.</t>
  </si>
  <si>
    <t>Global comparison of benthic nepheloid layers based on 52 years of nephelometer and transmissometer measurements</t>
  </si>
  <si>
    <t>SEDIMENT-TRANSPORT PROCESSES; BOTTOM BOUNDARY-LAYER; DEEP-SEA; ORGANIC-CARBON; PARTICULATE MATTER; GULF-STREAM; OCEAN; ATLANTIC; STORMS; DYNAMICS</t>
  </si>
  <si>
    <t>Global maps of maximum bottom particle concentration, benthic nepheloid layer thickness, and integrated particle mass in benthic nepheloid layers (BNL) based on 2412 global profiles collected using the Lamont Thorndike nephelometer from 1964 to 1984 are compared with maps of those same properties compiled from 6392 global profiles measured by transmissometers from 1979 to 2016. Outputs from both instruments were converted to particulate matter concentration (PM). The purposes of this paper are to compare global differences and similarities in the location and intensity of BNLs measured with these two independent instruments over slightly overlapping decadal time periods, to combine the data sets in order to expand the time scale of global in situ measurements of BNLs, and to gain insight about the factors creating/sustaining BNLs. The similarity between general locations of high and low particle concentration BNLs during the two time periods indicates that the driving forces of erosion and resuspension of bottom sediments are spatially persistent during recent decadal time spans, though in areas of strong BNLs, intensity is highly episodic. Topography and well-developed current systems play a role. These maps will help to understand deep ocean sediment dynamics, linkage with upper ocean dynamics, the potential for scavenging of adsorption-prone elements near the seafloor, and provide a comprehensive comparison of these data sets on a global scale. During both time periods, BNLs are weak or absent in most of the Pacific, Indian, and Atlantic basins away from continental margins. High surface eddy kinetic energy is associated with the Kuroshio Current east of Japan. Both data sets show weak BNLs south of the Kuroshio, but no transmissometer data have been collected beneath the Kuroshio itself. Sparse nephelometer data show moderate BNLs just north of the Kuroshio Extension, but with much lower concentrations than beneath the Gulf Stream. Strong BNLs are found in areas where eddy kinetic energy in overlying waters, mean kinetic energy near bottom, and energy dissipation within the bottom boundary layer are high. Areas of strongest BNLs include the Western North Atlantic, Argentine Basin (South Atlantic), areas around South Africa tied to the Agulhas Current region, and somewhat random locations in the Antarctic Circumpolar Current of the Southern Ocean.</t>
  </si>
  <si>
    <t>[Gardner, Wilford D.; Richardson, Mary Jo] Texas A&amp;M Univ, Dept Oceanog, College Stn, TX 77843 USA; [Mishonov, Alexey, V] Univ Maryland, Cooperat Inst Climate &amp; Satellites CICS MD, NCEI, NOAA Affiliate, Silver Spring, MD 20910 USA; [Biscaye, Pierre E.] Columbia Univ, Lamont Doherty Earth Observ, Palisades, NY 10964 USA</t>
  </si>
  <si>
    <t>Texas A&amp;M University System; Texas A&amp;M University College Station; Columbia University</t>
  </si>
  <si>
    <t>Gardner, WD (corresponding author), Texas A&amp;M Univ, Dept Oceanog, College Stn, TX 77843 USA.</t>
  </si>
  <si>
    <t>wgardner@ocean.tamu.edu; mrichardson@ocean.tamu.edu; alexey.mishonov@noaa.gov; biscaye@ldeo.columbia.edu</t>
  </si>
  <si>
    <t>Mishonov, Alexey V/F-3211-2011; Gardner, Wilford D/E-2579-2012</t>
  </si>
  <si>
    <t>Mishonov, Alexey V/0000-0002-2958-8747;</t>
  </si>
  <si>
    <t>US National Science Foundation [OCE-1536565]; CICS-MD/ESSIC/University of Maryland, (US); NCEI/NOAA, (US); US NSF [OCE-8717231, OCE-9022348, OCE-9310961, OCE-9530837, OCE-9986762]; US Office of Naval Research [N00014 -80-C-0098, N00014 -89-J-1478]</t>
  </si>
  <si>
    <t>US National Science Foundation(National Science Foundation (NSF)); CICS-MD/ESSIC/University of Maryland, (US); NCEI/NOAA, (US); US NSF(National Science Foundation (NSF)); US Office of Naval Research(Office of Naval Research)</t>
  </si>
  <si>
    <t>We thank Lawrence Sullivan and his team for their invaluable expertise in preparing and deploying the Lamont-Thorndike nephelometers, and producing quality E/ED data from the 52 cruises involved in this work for over &gt; 20 years. We also extend thanks to Mary Parsons, Adele Hanley, Adrian Heredia plus other personnel aboard numerous ships, and many colleagues for help in collecting and processing these data. We thank Rebecca Gray Thomas and Kenna Nolen for digitizing the KN74 CTD/Transmissometer data. We thank our students, colleagues and the many technicians on numerous cruises during the last 37 years for their assistance in collecting and analyzing the transmissometer data presented here. Supportive cooperation was provided by many personnel from Ocean Data Facility at Scripps, NOAA personnel, and the many chief scientists during the WOCE, JGOFS, CLIVAR Repeat Hydrography, and GO-SHIP programs. The comments improve the paper. Synthesis of these data has been supported by: US National Science Foundation (contract OCE-1536565 to Gardner and Richardson), cooperation with CICS-MD/ESSIC/University of Maryland, NCEI/NOAA, (both US) and support from the Earl F. Cook Professorship (Gardner). We received funding from US NSF for SAVE (OCE-8717231) and JGOFS programs (OCE-9022348, OCE-9310961, OCE-9530837, and OCE-9986762), and from US Office of Naval Research for HEBBLE (N00014 -80-C-0098) and for NABE (N00014 -89-J-1478).</t>
  </si>
  <si>
    <t>10.1016/j.pocean.2018.09.008</t>
  </si>
  <si>
    <t>HE0FX</t>
  </si>
  <si>
    <t>WOS:000452943300009</t>
  </si>
  <si>
    <t>Saunders, RA; Collins, MA; Shreeve, R; Ward, P; Stowasser, G; Hill, SL; Tarling, GA</t>
  </si>
  <si>
    <t>Saunders, Ryan A.; Collins, Martin A.; Shreeve, Rachael; Ward, Peter; Stowasser, Gabriele; Hill, Simeon L.; Tarling, Geraint A.</t>
  </si>
  <si>
    <t>Seasonal variation in the predatory impact of myctophids on zooplankton in the Scotia Sea (Southern Ocean)</t>
  </si>
  <si>
    <t>Myctophidae; Predation rates; Feeding ecology; Food web; Southern Ocean</t>
  </si>
  <si>
    <t>KRILL EUPHAUSIA-SUPERBA; ICEFISH CHAMPSOCEPHALUS-GUNNARI; FEEDING ECOLOGY; MESOPELAGIC FISH; INTERANNUAL VARIABILITY; COMMUNITY STRUCTURE; FAMILY MYCTOPHIDAE; DIET COMPOSITION; ILES-KERGUELEN; FOOD-WEB</t>
  </si>
  <si>
    <t>Myctophids are the biomass-dominant mesopelagic fishes in the Southern Ocean, but their trophic role within the pelagic food web south of the Antarctic Polar Front is poorly resolved from a seasonal perspective at the ocean-basin scale. In this study, the predatory impact of the predominant Southern Ocean myctophid community (Electrona antarctica, Electrona carlsbergi, Gymnoscopelus braueri, Gymnoscopelus fraseri, Gymnoscopelus nicholsi, Protomyctophum bolini, Protomyctophum tenisoni, Protomyctophum choriodon, Krefftichthys anderssoni and Nannobrachium achirus) on their zooplankton prey was examined during austral spring, summer and autumn in the Scotia Sea, one of the most productive regions of the Southern Ocean. Seasonal variations in diet and predation rates were apparent for all species. Based on the percentage index of relative importance, myctophids had high overlap in their diets, with all species mostly consuming copepods, small euphausiids and amphipods. Myctophid size was a key determinant of diet in the region, with larger species and intra-specific size classes consuming larger prey. Cluster analyses revealed myctophid feeding guilds that appeared to change seasonally, although there was little evidence of dietary specialisation. Myctophid predation on the daily productivity of most copepod species was relatively low across seasons (&lt; 7%), except for Calanus simillimus that was predated upon highly in summer (similar to 26%). From the macrozooplankton component of the prey field, the myctophid community consumed substantial proportions of the euphausiid Thysanoessa spp. in each season (similar to 7 to 76% daily productivity), particularly in summer. Relatively high proportions of the daily Antarctic krill (Euphausia superba) productivity (similar to 8-58%) were also consumed by the larger myctophid species, particularly in summer by Electrona antarctica, suggesting increased competition for krill resources during the higher predator breeding season and possible reductions in food web stability during periods of reduced krill availability at this time. The amphipod Themisto gaudichaudii formed an important part of the larger myctophid species' diet in all seasons, with between 10 and 38% of its daily productivity being consumed. Myctophid predation on the daily productivity of salps was up to 4%, whilst their impact on ostracods and pteropods was negligible (&lt; 0.1% of daily productivity) in all seasons. This study demonstrates that Southern Ocean myctophids link secondary productivity to higher predators through both krill-independent and krill-dependent trophic pathways across seasons, with myctophids comprising a more krill-dependent pathway during austral summer.</t>
  </si>
  <si>
    <t>[Saunders, Ryan A.; Shreeve, Rachael; Ward, Peter; Stowasser, Gabriele; Hill, Simeon L.; Tarling, Geraint A.] British Antarctic Survey, Nat Environm Res Council, Madingley Rd, Cambridge CB3 0ET, England; [Collins, Martin A.] Ctr Environm Fisheries &amp; Aquaculture Sci, Pakefield Rd, Lowestoft NR33 0HT, England</t>
  </si>
  <si>
    <t>UK Research &amp; Innovation (UKRI); Natural Environment Research Council (NERC); NERC British Antarctic Survey; Centre for Environment Fisheries &amp; Aquaculture Science</t>
  </si>
  <si>
    <t>Saunders, RA (corresponding author), British Antarctic Survey, Nat Environm Res Council, Madingley Rd, Cambridge CB3 0ET, England.</t>
  </si>
  <si>
    <t>ryaund@bas.ac.uk</t>
  </si>
  <si>
    <t>Simeon, Hill L/B-2307-2008; Collins, Martin A/J-8560-2017; , Martin/ABE-6728-2020</t>
  </si>
  <si>
    <t>, Martin/0000-0001-7132-8650; Tarling, Geraint/0000-0002-3753-5899; Stowasser, Gabriele/0000-0002-0595-0772</t>
  </si>
  <si>
    <t>Natural Environment Research Council, United Kingdom; NERC [bas0100035] Funding Source: UKRI</t>
  </si>
  <si>
    <t>Natural Environment Research Council, United Kingdom(UK Research &amp; Innovation (UKRI)Natural Environment Research Council (NERC)); NERC(UK Research &amp; Innovation (UKRI)Natural Environment Research Council (NERC))</t>
  </si>
  <si>
    <t>This work was carried out as part of the British Antarctic Survey's POETS and SCOOBIES Projects within the Ecosystems Programme, funded by the Natural Environment Research Council, United Kingdom. We thank the officers, crew and scientists of the RRS James Clark Ross for their assistance during the three research cruises. We also thank Emma Foster for assisting with lab work. We are grateful to the two reviewers for their constructive feedback for improving this manuscript.</t>
  </si>
  <si>
    <t>10.1016/j.pocean.2018.09.017</t>
  </si>
  <si>
    <t>WOS:000452943300011</t>
  </si>
  <si>
    <t>Torre-Fdez, I; Aramendia, J; Gomez-Nubla, L; Castro, K; Maguregui, M; de Vallejuelo, SFO; Arana, G; Madariaga, JM</t>
  </si>
  <si>
    <t>Torre-Fdez, Imanol; Aramendia, Julene; Gomez-Nubla, Leticia; Castro, Kepa; Maguregui, Maite; Fdez-Ortiz de Vallejuelo, Silvia; Arana, Gorka; Madariaga, Juan M.</t>
  </si>
  <si>
    <t>Non-destructive characterisation of the Elephant Moraine 83227 meteorite using confocal Raman, micro-energy-dispersive X-ray fluorescence and Raman-scanning electron microscope-energy-dispersive X-ray microscopies</t>
  </si>
  <si>
    <t>ANALYTICAL AND BIOANALYTICAL CHEMISTRY</t>
  </si>
  <si>
    <t>Meteorite; 4 Vesta; EET 83227; Raman; SEM-EDS; XRF</t>
  </si>
  <si>
    <t>ASTEROID 4 VESTA; ANTARCTIC METEORITES; SPECTROSCOPY; MODEL; METHODOLOGY; DIOGENITES; MINERALOGY; PYROXENES; EUCRITES; BODIES</t>
  </si>
  <si>
    <t>The application of a non-destructive analytical procedure to characterise the mineral phases in meteorites is a key issue in order to preserve this type of scarce materials. In the present work, the Elephant Moraine 83227 meteorite, found in Antarctica in 1983 and originated from 4 Vesta asteroid, was analysed by micro-Raman spectroscopy, micro-energy-dispersive X-ray fluorescence and the structural and chemical analyser (Raman spectroscopy coupled with scanning electron microscopy-energy-dispersive spectroscopy) working in both point-by-point and image modes. The combination of all these techniques allows the extraction of, at the same time, elemental, molecular and structural data of the studied microscopic area of the meteorite. The most relevant results of the Elephant Moraine 83227 were the finding of tridymite for the first time in a 4 Vesta meteorite, along with quartz, which means that the meteorite suffered high temperatures at a certain point. Moreover, both feldspar and pyroxene were found as the main mineral phases in the sample. Ilmenite, apatite, chromite and elemental sulphur were also detected as secondary minerals. Finally, calcite was found as a weathering product, which was probably formed in terrestrial weathering processes of the pyroxene present in the sample. Besides, Raman spectroscopy provided information about the conditions that the meteorite experienced; the displacements in some feldspar Raman bands were used to estimate the temperature and pressure conditions to which the Elephant Moraine 83227 was subjected, because we obtained both low and high formation temperature feldspar.</t>
  </si>
  <si>
    <t>[Torre-Fdez, Imanol; Aramendia, Julene; Gomez-Nubla, Leticia; Castro, Kepa; Fdez-Ortiz de Vallejuelo, Silvia; Arana, Gorka; Madariaga, Juan M.] Univ Basque Country, UPV EHU, Fac Sci &amp; Technol, Dept Analyt Chem, Barrio Sarriena S-N, Leioa 48940, Basque Country, Spain; [Torre-Fdez, Imanol; Aramendia, Julene; Gomez-Nubla, Leticia; Castro, Kepa; Maguregui, Maite; Fdez-Ortiz de Vallejuelo, Silvia; Arana, Gorka; Madariaga, Juan M.] Spanish Sci Team RLS Instrument, Valladolid, Spain; [Maguregui, Maite] Univ Basque Country, UPV EHU, Fac Pharm, Dept Analyt Chem, POB 450, Vitoria 01080, Basque Country, Spain</t>
  </si>
  <si>
    <t>University of Basque Country; University of Basque Country</t>
  </si>
  <si>
    <t>Torre-Fdez, I (corresponding author), Univ Basque Country, UPV EHU, Fac Sci &amp; Technol, Dept Analyt Chem, Barrio Sarriena S-N, Leioa 48940, Basque Country, Spain.;Torre-Fdez, I (corresponding author), Spanish Sci Team RLS Instrument, Valladolid, Spain.</t>
  </si>
  <si>
    <t>imanol.torre@ehu.eus</t>
  </si>
  <si>
    <t>Castro, Kepa/AAI-7842-2020; Arana, Gorka/AGW-4262-2022; Maguregui, Maite/K-5973-2014; aramendia, julene/I-4816-2015</t>
  </si>
  <si>
    <t>Castro, Kepa/0000-0002-9931-7889; Arana, Gorka/0000-0001-7854-855X; Maguregui, Maite/0000-0001-6011-3590; Torre-Fdez, Imanol/0000-0002-1891-6485; aramendia, julene/0000-0003-3728-8370</t>
  </si>
  <si>
    <t>Spanish Ministry of Economy and Competitiveness (MINECO) [ESP2014-56138-C3-2-R]; European Regional Development Fund (FEDER/UE) [ESP2014-56138-C3-2-R]; NASA; NSF</t>
  </si>
  <si>
    <t>Spanish Ministry of Economy and Competitiveness (MINECO); European Regional Development Fund (FEDER/UE)(European Union (EU)); NASA(National Aeronautics &amp; Space Administration (NASA)); NSF(National Science Foundation (NSF))</t>
  </si>
  <si>
    <t>This work was financially supported through the project Development of the Raman instrument for the ESA Mission Exomars2018: Science support, equipment testing and operation support (ref. ESP2014-56138-C3-2-R) funded by the Spanish Ministry of Economy and Competitiveness (MINECO) and the European Regional Development Fund (FEDER/UE). The thin section sample of the EET 83227 meteorite was kindly provided by the US Antarctic Meteorite Program. US Antarctic meteorite samples are recovered by the Antarctic Search for Meteorites (ANSMET) program, which has been funded by NSF and NASA, and characterised and curated by the Department of Mineral Sciences of the Smithsonian Institution and Astromaterials Curation Office at NASA Johnson Space Center. Authors thank Raman-LASPEA Laboratory from the SGIker (UPV/EHU, MICINN, GV/EJ, ERDF and ESF) of the University of the Basque Country (UPV/EHU) for their collaboration in the analyses [9].</t>
  </si>
  <si>
    <t>1618-2642</t>
  </si>
  <si>
    <t>1618-2650</t>
  </si>
  <si>
    <t>ANAL BIOANAL CHEM</t>
  </si>
  <si>
    <t>Anal. Bioanal. Chem.</t>
  </si>
  <si>
    <t>10.1007/s00216-018-1363-5</t>
  </si>
  <si>
    <t>Biochemical Research Methods; Chemistry, Analytical</t>
  </si>
  <si>
    <t>GX7WF</t>
  </si>
  <si>
    <t>WOS:000447989800021</t>
  </si>
  <si>
    <t>Amin, M</t>
  </si>
  <si>
    <t>Amin, Muhamad</t>
  </si>
  <si>
    <t>Marine protease-producing bacterium and its potential use as an abalone probiont</t>
  </si>
  <si>
    <t>AQUACULTURE REPORTS</t>
  </si>
  <si>
    <t>Bacillus amyloliquefaciens MA228; Protease</t>
  </si>
  <si>
    <t>DIGESTIVE ENZYME-ACTIVITIES; HALIOTIS-LAEVIGATA DONOVAN; LACTIC-ACID BACTERIA; GROWTH-PERFORMANCE; BACILLUS-AMYLOLIQUEFACIENS; DISEASE RESISTANCE; EXOGENOUS ENZYMES; GREENLIP ABALONE; FEED-UTILIZATION; NILE-TILAPIA</t>
  </si>
  <si>
    <t>Gastrointestinal tracts (GITs) of aquatic animals were considered as ideal sources for isolating aquaculture probiotic candidates. Thus, this study aimed to isolate protease-producing bacteria from GITs of hybrid abalone (Haliotis rubra x Haliotis laevigata), and screened them for their potential uses as abalone probionts. Ten proteolytic bacterial strains were isolated, and all isolates phenotypically referred to genus Bacillus. Among the 10 pure strains, MA228 had the highest ability to hydrolize casein and gelatine. Through 16S rRNA sequence (accession number MG976611), the isolate showed 99% similarity to Bacillus amyloliquefaciens. Further in vitro assays indicated that the bacterial strain had good viability and stability in manufactured pellets stored at 4 degrees C, seawater with a salinity of 35 mg/L, and simulated gastrointestinal tract conditions of abalone. Additionally, another in vitro study indicated that protease produced by the probiotic candidate could significantly hydrolase protein content in manufacture pellet of abalone. These results suggest that B. amyloliquefaciens MA228 is a potential probiont for increasing protein digestibility in hybrid abalone.</t>
  </si>
  <si>
    <t>[Amin, Muhamad] Univ 45 Mataram, Fisheries Fac, West Nusa Tenggara, Indonesia</t>
  </si>
  <si>
    <t>Universitas Mataram</t>
  </si>
  <si>
    <t>Amin, M (corresponding author), Univ 45 Mataram, Fisheries Fac, West Nusa Tenggara, Indonesia.</t>
  </si>
  <si>
    <t>muhamad.amin@utas.edu.au</t>
  </si>
  <si>
    <t>Amin, muhamad/IQU-3321-2023; Amin, Muhamad/R-4343-2019</t>
  </si>
  <si>
    <t>Amin, muhamad/0000-0002-7633-8388; Amin, Muhamad/0000-0002-7633-8388</t>
  </si>
  <si>
    <t>Australian Award Scholarship (AAS); Institute for Marine and Antarctic study (IMAS), University of Tasmania</t>
  </si>
  <si>
    <t>The authors thank Nick Savva for providing abalone, and the Australian Award Scholarship (AAS) for supporting the first author study. This work was also supported by the Institute for Marine and Antarctic study (IMAS), University of Tasmania.</t>
  </si>
  <si>
    <t>2352-5134</t>
  </si>
  <si>
    <t>AQUACULT REP</t>
  </si>
  <si>
    <t>Aquacult. Rep.</t>
  </si>
  <si>
    <t>10.1016/j.aqrep.2018.09.004</t>
  </si>
  <si>
    <t>HC8ZZ</t>
  </si>
  <si>
    <t>WOS:000452096100006</t>
  </si>
  <si>
    <t>Blaszczak-Boxe, CS; Saiz-Lopez, A</t>
  </si>
  <si>
    <t>Blaszczak-Boxe, Christopher S.; Saiz-Lopez, Alfonso</t>
  </si>
  <si>
    <t>Nitrate photolysis in ice and snow: A critical review of its multiphase chemistry</t>
  </si>
  <si>
    <t>SCANNING-ELECTRON-MICROSCOPE; REACTIVE NITROGEN-OXIDES; ARCTIC BOUNDARY-LAYER; QUASI-LIQUID LAYER; SOUTH-POLE; AQUEOUS NITRATE; ANTARCTIC SNOW; QUANTUM YIELDS; GAS-PHASE; PHOTOCHEMICAL PRODUCTION</t>
  </si>
  <si>
    <t>Nitrate, a member of the oxidized nitrogen family (NOy), is one of the primary species involved in the nitrogen cycle and thus plays a key role in ecosystem processes, globally. It exists as nitrate salts and as nitric acid (HNO3) in both aerosols and the gas phase. It is formed from the NO3 radical/N2O5 or directly from the oxidation of NO2 and is lost by photolysis, OH oxidation, and deposition. In regions covered with snow/ice it has a significant impact on air quality, atmospheric oxidizing capacity, greenhouse gas concentrations, and paleoclimate/isotopic data. Snow/ice environments can, at seasonal maximum, comprise similar to 30% of Earth's surface area while 10% is covered with ice/snow found at the polar cryosphere. Nitrate makes up 75-100% of the nitrogen budget deposited from the atmosphere and measured at the Arctic and Antarctica. Its concentrations in Greenland ice have risen by a factor of 2-3, reflecting the long-ranged transport of increased anthropogenic NOx (NO + NO2) emissions. The polar cryosphere is an active medium for the movement of traces gases, such as nitrate, between the snowpack/sea-ice and overlying atmosphere. Field, laboratory, and modeling efforts have quantitatively shown that the exchange of trace species between the snowpack and the air above is governed by photochemistry in combination with air moving gases between these two matrices. Polar tropospheric chemistry and dynamics immensely impact processes governing chemical composition, isotopic signatures, oxidizing capacity, and thus regional climate. This study presents a comprehensive review of laboratory and modeling efforts - contextualized by field measurements - that have elucidated physicochemical processes governing nitrate photochemistry and its impact on the polar snowpack. Specifically, after an Introduction to nitrate photochemistry in ice, we discuss the: 1) initial Arctic field measurements that sparked interest in ice photolysis in the polar regions; 2) suite of follow-up field studies that catalyzed laboratory and snow-chamber investigations that gave deeper understanding of the effects of snow/ice - air trace gas exchange due to nitrate photochemistry; 3) complementary laboratory, snow-chamber investigations; and 4) a detailed review of recent nitrate ice photolysis laboratory experiments and the potential impact of utilizing laboratory and computational models to study the role of nitrate in the nitrogen cycle.</t>
  </si>
  <si>
    <t>[Blaszczak-Boxe, Christopher S.] CUNY Medgar Evers Coll, Dept Phys Environm &amp; Comp Sci, Brooklyn, NY 11225 USA; [Blaszczak-Boxe, Christopher S.] CUNY, Grad Ctr, Earth &amp; Environm Sci Dept, New York, NY 10016 USA; [Blaszczak-Boxe, Christopher S.] Chem Div, New York, NY 10016 USA; [Saiz-Lopez, Alfonso] CSIC, Inst Phys Chem Rocasolano, Dept Atmospher Chem &amp; Climate, E-28006 Madrid, Spain</t>
  </si>
  <si>
    <t>City University of New York (CUNY) System; City University of New York (CUNY) System; Consejo Superior de Investigaciones Cientificas (CSIC); CSIC - Instituto de Quimica Fisica Rocasolano (IQFR)</t>
  </si>
  <si>
    <t>Blaszczak-Boxe, CS (corresponding author), CUNY Medgar Evers Coll, Chem &amp; Environm Sci Dept, Brooklyn, NY 11225 USA.</t>
  </si>
  <si>
    <t>cboxe@mec.cuny.edu</t>
  </si>
  <si>
    <t>Saiz-Lopez, Alfonso/0000-0002-0060-1581; Boxe, Christopher/0000-0002-5288-961X</t>
  </si>
  <si>
    <t>10.1016/j.atmosenv.2018.09.002</t>
  </si>
  <si>
    <t>GX9AT</t>
  </si>
  <si>
    <t>WOS:000448091600023</t>
  </si>
  <si>
    <t>Leane, E; Maddison, B</t>
  </si>
  <si>
    <t>Leane, Elizabeth; Maddison, Ben</t>
  </si>
  <si>
    <t>A Biography of Iceberg B09B</t>
  </si>
  <si>
    <t>AUSTRALIAN HUMANITIES REVIEW</t>
  </si>
  <si>
    <t>COMMONWEALTH BAY; ICE; GLACIERS; HISTORY</t>
  </si>
  <si>
    <t>[Leane, Elizabeth] Univ Tasmania, English, Hobart, Tas, Australia; [Leane, Elizabeth] Univ Tasmania, Sch Humanities, Hobart, Tas, Australia; [Leane, Elizabeth] Univ Tasmania, Inst Marine &amp; Antarctic Studies, Hobart, Tas, Australia; [Leane, Elizabeth] Sci Comm Antarctic Res, Standing Comm Humanities &amp; Social Sci, Cambridge, England; [Maddison, Ben] Univ Wollongong, Wollongong, NSW, Australia</t>
  </si>
  <si>
    <t>University of Tasmania; University of Tasmania; University of Tasmania; University of Cambridge; University of Wollongong</t>
  </si>
  <si>
    <t>Leane, E (corresponding author), Univ Tasmania, English, Hobart, Tas, Australia.;Leane, E (corresponding author), Univ Tasmania, Sch Humanities, Hobart, Tas, Australia.;Leane, E (corresponding author), Univ Tasmania, Inst Marine &amp; Antarctic Studies, Hobart, Tas, Australia.;Leane, E (corresponding author), Sci Comm Antarctic Res, Standing Comm Humanities &amp; Social Sci, Cambridge, England.</t>
  </si>
  <si>
    <t>Leane, Elizabeth/0000-0002-7954-6529</t>
  </si>
  <si>
    <t>AUSTRALIAN NATL UNIV, SCH HUMANITIES</t>
  </si>
  <si>
    <t>CANBERRA</t>
  </si>
  <si>
    <t>AD HOPE BLDG, STE 14, CANBERRA, ACT 0200, AUSTRALIA</t>
  </si>
  <si>
    <t>1835-8063</t>
  </si>
  <si>
    <t>1325-8338</t>
  </si>
  <si>
    <t>AUST HUMANIT REV</t>
  </si>
  <si>
    <t>Aust. Humanit. Rev.</t>
  </si>
  <si>
    <t>HC6CM</t>
  </si>
  <si>
    <t>WOS:000451889400007</t>
  </si>
  <si>
    <t>Toxopeus, J; Sinclair, BJ</t>
  </si>
  <si>
    <t>Toxopeus, Jantina; Sinclair, Brent J.</t>
  </si>
  <si>
    <t>Mechanisms underlying insect freeze tolerance</t>
  </si>
  <si>
    <t>BIOLOGICAL REVIEWS</t>
  </si>
  <si>
    <t>freeze tolerance; cold tolerance; ice; overwintering; insects; mechanisms; physiology; evolution; cryopreservation; thermal biology</t>
  </si>
  <si>
    <t>NEW-ZEALAND ALPINE; GOLDENROD GALL FLY; RICE STEM BORER; SUPPRESSALIS WALKER LEPIDOPTERA; EUROSTA-SOLIDAGINIS DIPTERA; HEMIDEINA-MAORI ORTHOPTERA; HEAT-SHOCK PROTEINS; PROTECTS DROSOPHILA-MELANOGASTER; CUCUJUS-CLAVIPES-PUNICEUS; SUB-ANTARCTIC CATERPILLAR</t>
  </si>
  <si>
    <t>Freeze tolerance - the ability to survive internal ice formation - has evolved repeatedly in insects, facilitating survival in environments with low temperatures and/or high risk of freezing. Surviving internal ice formation poses several challenges because freezing can cause cellular dehydration and mechanical damage, and restricts the opportunity to metabolise and respond to environmental challenges. While freeze-tolerant insects accumulate many potentially protective molecules, there is no apparent 'magic bullet' - a molecule or class of molecules that appears to be necessary or sufficient to support this cold-tolerance strategy. In addition, the mechanisms underlying freeze tolerance have been minimally explored. Herein, we frame freeze tolerance as the ability to survive a process: freeze-tolerant insects must withstand the challenges associated with cooling (low temperatures), freezing (internal ice formation), and thawing. To do so, we hypothesise that freeze-tolerant insects control the quality and quantity of ice, prevent or repair damage to cells and macromolecules, manage biochemical processes while frozen/thawing, and restore physiological processes post-thaw. Many of the molecules that can facilitate freeze tolerance are also accumulated by other cold- and desiccation-tolerant insects. We suggest that, when freezing offered a physiological advantage, freeze tolerance evolved in insects that were already adapted to low temperatures or desiccation, or in insects that could withstand small amounts of internal ice formation. Although freeze tolerance is a complex cold-tolerance strategy that has evolved multiple times, we suggest that a process-focused approach (in combination with appropriate techniques and model organisms) will facilitate hypothesis-driven research to understand better how insects survive internal ice formation.</t>
  </si>
  <si>
    <t>[Toxopeus, Jantina; Sinclair, Brent J.] Univ Western Ontario, Dept Biol, 1151 Richmond St N, London, ON N6A 5B7, Canada</t>
  </si>
  <si>
    <t>Western University (University of Western Ontario)</t>
  </si>
  <si>
    <t>Toxopeus, J (corresponding author), Univ Western Ontario, Dept Biol, 1151 Richmond St N, London, ON N6A 5B7, Canada.</t>
  </si>
  <si>
    <t>jtoxopeu@uwo.ca</t>
  </si>
  <si>
    <t>Sinclair, Brent J/C-6133-2012; Toxopeus, Jantina/AAU-4969-2020</t>
  </si>
  <si>
    <t>Toxopeus, Jantina/0000-0002-0761-801X</t>
  </si>
  <si>
    <t>Natural Sciences and Engineering Council of Canada (NSERC) Discovery Grant; NSERC Canada Graduate Scholarship; Ontario Graduate Scholarship</t>
  </si>
  <si>
    <t>Natural Sciences and Engineering Council of Canada (NSERC) Discovery Grant(Natural Sciences and Engineering Research Council of Canada (NSERC)); NSERC Canada Graduate Scholarship(Natural Sciences and Engineering Research Council of Canada (NSERC)); Ontario Graduate Scholarship(Ontario Graduate Scholarship)</t>
  </si>
  <si>
    <t>This research was funded by Natural Sciences and Engineering Council of Canada (NSERC) Discovery Grant to B.J.S. and an NSERC Canada Graduate Scholarship and Ontario Graduate Scholarship to J.T. Thanks to S. E. Anthony, K. E. Marshall, A. S. Torson, and two anonymous reviewers for comments on earlier drafts, and L. E. Des Marteaux for assistance in generating figures.</t>
  </si>
  <si>
    <t>1464-7931</t>
  </si>
  <si>
    <t>1469-185X</t>
  </si>
  <si>
    <t>BIOL REV</t>
  </si>
  <si>
    <t>Biol. Rev.</t>
  </si>
  <si>
    <t>10.1111/brv.12425</t>
  </si>
  <si>
    <t>GV8VK</t>
  </si>
  <si>
    <t>WOS:000446427600010</t>
  </si>
  <si>
    <t>Höring, F; Teschke, M; Suberg, L; Kawaguchi, S; Meyer, B</t>
  </si>
  <si>
    <t>Hoering, Flavia; Teschke, Mathias; Suberg, Lavinia; Kawaguchi, So; Meyer, Bettina</t>
  </si>
  <si>
    <t>Light regime affects the seasonal cycle of Antarctic krill (Euphausia superba): impacts on growth, feeding, lipid metabolism, and maturity</t>
  </si>
  <si>
    <t>CANADIAN JOURNAL OF ZOOLOGY</t>
  </si>
  <si>
    <t>Euphausia superba; Antarctic krill; latitudinal light regime; endogenous timing system; critical photoperiod; reproduction</t>
  </si>
  <si>
    <t>MODELS; TEMPERATURE; ADAPTATION; SHRINKAGE; DIAPAUSE; FOOD; SEA</t>
  </si>
  <si>
    <t>Light regime is an important zeitgeber for Antarctic krill (Euphausia superba Dana, 1850), which seems to entrain an endogenous timing system that synchronizes its life cycle to the extreme light conditions in the Southern Ocean. To understand the flexibility of Antarctic krill's seasonal cycle, we investigated its physiological and behavioural responses to different light regimes and if an endogenous timing system was involved in the regulation of these seasonal processes. We analysed growth, feeding, lipid content, and maturity in a 2-year laboratory experiment simulating the latitudinal light regimes at 52 degrees S and 66 degrees S and constant darkness under constant food level. Our results showed that light regime affected seasonal cycles of growth, feeding, lipid metabolism, and maturity in Antarctic krill. Seasonal patterns of growth, feeding, and maturity persisted under constant darkness, indicating the presence of an endogenous timing system. The maturity cycle showed differences in critical photoperiods according to the simulated latitudinal light regime. This suggests a flexible endogenous timing mechanism in Antarctic krill, which may determine its response to future environmental changes.</t>
  </si>
  <si>
    <t>[Hoering, Flavia; Teschke, Mathias; Suberg, Lavinia; Meyer, Bettina] Helmholtz Ctr Polar &amp; Marine Res, Alfred Wegener Inst, Sect Polar Biol Oceanog, Handelshafen 12, D-27570 Bremerhaven, Germany; [Hoering, Flavia; Meyer, Bettina] Carl von Ossietzky Univ Oldenburg, Inst Chem &amp; Biol Marine Environm ICBM, Carl Von Ossietzky Str 9-11, D-26111 Oldenburg, Germany; [Kawaguchi, So] Australian Antarctic Div, Dept Environm &amp; Energy, Channel Highway, Kingston, Tas 7050, Australia; [Meyer, Bettina] Carl von Ossietzky Univ Oldenburg, HIFMB, D-26111 Oldenburg, Germany</t>
  </si>
  <si>
    <t>Helmholtz Association; Alfred Wegener Institute, Helmholtz Centre for Polar &amp; Marine Research; Carl von Ossietzky Universitat Oldenburg; Australian Antarctic Division; Carl von Ossietzky Universitat Oldenburg</t>
  </si>
  <si>
    <t>Höring, F; Meyer, B (corresponding author), Helmholtz Ctr Polar &amp; Marine Res, Alfred Wegener Inst, Sect Polar Biol Oceanog, Handelshafen 12, D-27570 Bremerhaven, Germany.;Höring, F; Meyer, B (corresponding author), Carl von Ossietzky Univ Oldenburg, Inst Chem &amp; Biol Marine Environm ICBM, Carl Von Ossietzky Str 9-11, D-26111 Oldenburg, Germany.;Meyer, B (corresponding author), Carl von Ossietzky Univ Oldenburg, HIFMB, D-26111 Oldenburg, Germany.</t>
  </si>
  <si>
    <t>flavia.hoering@awi.de; bettina.meyer@awi.de</t>
  </si>
  <si>
    <t>Kawaguchi, So/N-1795-2017; Meyer, Bettina/ABB-5311-2020</t>
  </si>
  <si>
    <t>Meyer, Bettina/0000-0001-6804-9896; Horing, Flavia/0000-0002-0618-7481; Kawaguchi, So/0000-0002-2042-5095</t>
  </si>
  <si>
    <t>Helmholtz Virtual Institute PolarTime; ministry of science and culture (MWK) of Lower Saxony, Germany (Research Training Group Interdisciplinary approach to functional biodiversity research (IBR)); Australian Antarctic Program Project [4037]; PACES (Polar Regions and Coasts in a changing Earth System) programme of the Helmholtz Association</t>
  </si>
  <si>
    <t>Helmholtz Virtual Institute PolarTime; ministry of science and culture (MWK) of Lower Saxony, Germany (Research Training Group Interdisciplinary approach to functional biodiversity research (IBR)); Australian Antarctic Program Project; PACES (Polar Regions and Coasts in a changing Earth System) programme of the Helmholtz Association</t>
  </si>
  <si>
    <t>We thank the staff at the Australian Antarctic Division (namely R. King, T. Waller, A. Cooper, and B. Smith) for their advice and the maintenance of the Antarctic krill during the long-term experiments in the Antarctic krill aquarium. Sincere thanks go to F. Piccolin and F. Muller for their help in setting up the experiment and their collegial support. M. Vortkamp is acknowledged for her help in the laboratory during lipid content analysis. This study was funded by the Helmholtz Virtual Institute PolarTime (VH-VI-500: Biological timing in a changing marine environment-clocks and rhythms in polar pelagic organisms), the ministry of science and culture (MWK) of Lower Saxony, Germany (Research Training Group Interdisciplinary approach to functional biodiversity research (IBR)), and Australian Antarctic Program Project #4037. Additional funds were made available via the PACES (Polar Regions and Coasts in a changing Earth System) programme (Topic 1, WP 5) of the Helmholtz Association.</t>
  </si>
  <si>
    <t>CANADIAN SCIENCE PUBLISHING</t>
  </si>
  <si>
    <t>OTTAWA</t>
  </si>
  <si>
    <t>65 AURIGA DR, SUITE 203, OTTAWA, ON K2E 7W6, CANADA</t>
  </si>
  <si>
    <t>0008-4301</t>
  </si>
  <si>
    <t>1480-3283</t>
  </si>
  <si>
    <t>CAN J ZOOL</t>
  </si>
  <si>
    <t>Can. J. Zool.</t>
  </si>
  <si>
    <t>10.1139/cjz-2017-0353</t>
  </si>
  <si>
    <t>GZ8NS</t>
  </si>
  <si>
    <t>WOS:000449749800003</t>
  </si>
  <si>
    <t>Emanuelsson, BD; Bertler, NAN; Neff, PD; Renwick, JA; Markle, BR; Baisden, WT; Keller, ED</t>
  </si>
  <si>
    <t>Emanuelsson, B. Daniel; Bertler, Nancy A. N.; Neff, Peter D.; Renwick, James A.; Markle, Bradley R.; Baisden, W. Troy; Keller, Elizabeth D.</t>
  </si>
  <si>
    <t>The role of Amundsen-Bellingshausen Sea anticyclonic circulation in forcing marine air intrusions into West Antarctica</t>
  </si>
  <si>
    <t>Anticyclones; Precipitation rates; Amundsen Sea Low; Meridional transport; Ice cores; West Antarctica</t>
  </si>
  <si>
    <t>SOUTHERN-HEMISPHERE CIRCULATION; ROSS ICE SHELF; SURFACE TEMPERATURE; COASTAL ANTARCTICA; LEVEL PRESSURE; TIME-SERIES; VARIABILITY; BLOCKING; CLIMATE; PACIFIC</t>
  </si>
  <si>
    <t>Persistent positive 500-hPa geopotential height anomalies from the ECMWF ERA-Interim reanalysis are used to quantify Amundsen-Bellingshausen Sea (ABS) anticyclonic event occurrences associated with precipitation in West Antarctica (WA). We demonstrate that multi-day (minimum 3-day duration) anticyclones play a key role in the ABS by dynamically inducing meridional transport, which is associated with heat and moisture advection into WA. This affects surface climate variability and trends, precipitation rates and thus WA ice sheet surface mass balance. We show that the snow accumulation record from the Roosevelt Island Climate Evolution (RICE) ice core reflects interannual variability of blocking and geopotential height conditions in the ABS/Ross Sea region. Furthermore, our analysis shows that larger precipitation events are related to enhanced anticyclonic circulation and meridional winds, which cause pronounced dipole patterns in air temperature anomalies and sea ice concentrations between the eastern Ross Sea and the Bellingshausen Sea/Weddell Sea, as well as between the eastern and western Ross Sea.</t>
  </si>
  <si>
    <t>[Emanuelsson, B. Daniel; Bertler, Nancy A. N.; Neff, Peter D.] Victoria Univ Wellington, Antarctic Res Ctr, POB 600, Wellington 6140, New Zealand; [Emanuelsson, B. Daniel; Bertler, Nancy A. N.; Neff, Peter D.; Baisden, W. Troy; Keller, Elizabeth D.] GNS Sci, Natl Isotope Ctr, 30 Gracefield Rd, Lower Hutt 5010, New Zealand; [Neff, Peter D.; Markle, Bradley R.] Univ Washington, Quaternary Res Ctr, Seattle, WA 98195 USA; [Neff, Peter D.; Markle, Bradley R.] Univ Washington, Dept Earth &amp; Space Sci, Seattle, WA 98195 USA; [Renwick, James A.] Victoria Univ Wellington, Sch Geog Environm &amp; Earth Sci, POB 600, Wellington 6140, New Zealand; [Baisden, W. Troy] Univ Waikato, Hamilton 3216, New Zealand</t>
  </si>
  <si>
    <t>Victoria University Wellington; GNS Science - New Zealand; University of Washington; University of Washington Seattle; University of Washington; University of Washington Seattle; Victoria University Wellington; University of Waikato</t>
  </si>
  <si>
    <t>Emanuelsson, BD (corresponding author), Victoria Univ Wellington, Antarctic Res Ctr, POB 600, Wellington 6140, New Zealand.;Emanuelsson, BD (corresponding author), GNS Sci, Natl Isotope Ctr, 30 Gracefield Rd, Lower Hutt 5010, New Zealand.</t>
  </si>
  <si>
    <t>d.emanuelsson@gmail.com</t>
  </si>
  <si>
    <t>Neff, Peter David/ABB-7688-2021; Baisden, Troy/B-9831-2008; Keller, Elizabeth Diane/GLN-5354-2022; Markle, Bradley R/I-6132-2019; Emanuelsson, Daniel/X-9005-2019; Keller, Elizabeth/N-9428-2019; Bertler, Nancy A N/F-3967-2011</t>
  </si>
  <si>
    <t>Baisden, Troy/0000-0003-1814-1306; Emanuelsson, Daniel/0000-0002-9373-6951; Keller, Elizabeth/0000-0002-9408-9215; Markle, Bradley/0000-0002-2282-6546; Neff, Peter/0000-0003-1697-0936; Bertler, Nancy/0000-0001-6028-4891</t>
  </si>
  <si>
    <t>New Zealand Government through GNS Science (Global Change through Time Programme) [GNS-540GCT12, GNS-540GCT32]; Victoria University of Wellington [RDF-VUW-1103]</t>
  </si>
  <si>
    <t>New Zealand Government through GNS Science (Global Change through Time Programme); Victoria University of Wellington</t>
  </si>
  <si>
    <t>We thank two anonymous reviewers for their constructive comments that improved the manuscript. We are also grateful for the ERA-Interim reanalysis datasets provided by ECMWF (http://apps.ecmwf.int/datasets/data/interim-full-daily). This project was supported by the New Zealand Government through GNS Science (Global Change through Time Programme, GNS-540GCT12 and GNS-540GCT32) and Victoria University of Wellington (RDF-VUW-1103). This work is a contribution to the Roosevelt Island Climate Evolution (RICE) Program, funded by national contributions from New Zealand, Australia, Denmark, Germany, Italy, People's Republic of China, Sweden, United Kingdom and the United States of America. The main logistic support was provided by Antarctica New Zealand (K049) and the US Antarctic Program.</t>
  </si>
  <si>
    <t>9-10</t>
  </si>
  <si>
    <t>10.1007/s00382-018-4097-3</t>
  </si>
  <si>
    <t>GW9YX</t>
  </si>
  <si>
    <t>WOS:000447366100023</t>
  </si>
  <si>
    <t>Yu, TL; Guo, PW; Cheng, J; Hu, AX; Lin, PF; Yu, YQ</t>
  </si>
  <si>
    <t>Yu, Tianlei; Guo, Pinwen; Cheng, Jun; Hu, Aixue; Lin, Pengfei; Yu, Yongqiang</t>
  </si>
  <si>
    <t>Reduced connection between the East Asian Summer Monsoon and Southern Hemisphere Circulation on interannual timescales under intense global warming</t>
  </si>
  <si>
    <t>Interannual variability; East Asian Summer Monsoon; Southern Hemisphere Circulation; Global warming; Atlantic meridional overturning circulation; Freshwater hosing experiment</t>
  </si>
  <si>
    <t>ANTARCTIC OSCILLATION; CLIMATE VARIABILITY; TIBETAN PLATEAU; RIVER VALLEY; RAINFALL; IMPACTS; YANGTZE</t>
  </si>
  <si>
    <t>Previous studies show a close relationship between the East Asian Summer Monsoon (EASM) and Southern Hemisphere (SH) circulation on interannual timescales. In this study, we investigate whether this close relationship will change under intensive greenhouse-gas effect by analyzing simulations under two different climate background states: preindustrial era and Representative Concentration Pathway (RCP) 8.5 stabilization from the Community Climate System Model Version 4 (CCSM4). Results show a significantly reduced relationship under stabilized RCP8.5 climate state, such a less correlated EASM with the sea level pressure in the southern Indian Ocean and the SH branch of local Hadley Cell. Further analysis suggests that the collapse of the Atlantic Meridional Overturning Circulation (AMOC) due to this warming leads to a less vigorous northward meridional heat transport, a decreased intertropical temperature contrast in boreal summer, which produces a weaker cross-equatorial Hadley Cell in the monsoonal region and a reduced Interhemispheric Mass Exchange (IME). Since the monsoonal IME acts as a bridge connecting EASM and SH circulation, the reduced IME weakens this connection. By performing freshwater hosing experiment using the Flexible Global Ocean-Atmosphere-Land System model, Grid-point Version 2 (FGOALS-g2), we show a weakened relationship between the EASM and SH circulation as in CCSM4 when AMOC collapses. Our results suggest that a substantially weakened AMOC is the main driver leading to the EASM, which is less affected by SH circulation in the future warmer climate.</t>
  </si>
  <si>
    <t>[Yu, Tianlei; Guo, Pinwen; Cheng, Jun] Nanjing Univ Informat Sci &amp; Technol, Collaborat Innovat Ctr Forecast &amp; Evaluat Meteoro, Climate Dynam Res Ctr, Key Lab Meteorol Disaster,Minist Educ, Nanjing, Jiangsu, Peoples R China; [Hu, Aixue] Natl Ctr Atmospher Res, Climate &amp; Global Dynam Div, POB 3000, Boulder, CO 80307 USA; [Lin, Pengfei; Yu, Yongqiang] Univ Chinese Acad Sci, Coll Earth Sci, Beijing, Peoples R China; [Lin, Pengfei; Yu, Yongqiang] Chinese Acad Sci, Inst Atmospher Phys, State Key Lab Numer Modeling Atmospher Sci &amp; Geop, Beijing, Peoples R China</t>
  </si>
  <si>
    <t>Nanjing University of Information Science &amp; Technology; National Center Atmospheric Research (NCAR) - USA; Chinese Academy of Sciences; University of Chinese Academy of Sciences, CAS; Chinese Academy of Sciences; Institute of Atmospheric Physics, CAS</t>
  </si>
  <si>
    <t>Guo, PW; Cheng, J (corresponding author), Nanjing Univ Informat Sci &amp; Technol, Collaborat Innovat Ctr Forecast &amp; Evaluat Meteoro, Climate Dynam Res Ctr, Key Lab Meteorol Disaster,Minist Educ, Nanjing, Jiangsu, Peoples R China.</t>
  </si>
  <si>
    <t>guo@nuist.edu.cn; chengjun@nuist.edu.cn</t>
  </si>
  <si>
    <t>Hu, Aixue/E-1063-2013; Yu, Yongqiang/K-7808-2012; Lin, Pengfei/AAJ-5379-2020; Cheng, Jun/G-4625-2013</t>
  </si>
  <si>
    <t>Hu, Aixue/0000-0002-1337-287X; Yu, Yongqiang/0000-0001-8596-3583; Lin, Pengfei/0000-0003-2361-0066; Tianlei, Yu/0000-0002-6962-2575; Cheng, Jun/0000-0003-0168-1410</t>
  </si>
  <si>
    <t>Global Change Program of National Key Research and Development Program of China [2016YFA0600504, 2015CB953902]; National Natural Science Foundation of China [41630527, 41206024, 41305079, 41376019, 41576026]; Qing Lan project; Priority Academic Program Development of Jiangsu Higher Education Institutions (PAPD); Regional and Global Climate Modeling Program (RGCM) of the U.S. Department of Energy's, Office of Science (BER) [DE-FC02-97ER62402]; National Science Foundation; Office of Science of the U.S. Department of Energy [DE-AC02-05CH11231]</t>
  </si>
  <si>
    <t>Global Change Program of National Key Research and Development Program of China; National Natural Science Foundation of China(National Natural Science Foundation of China (NSFC)); Qing Lan project(Jiangsu Polytech Institute); Priority Academic Program Development of Jiangsu Higher Education Institutions (PAPD); Regional and Global Climate Modeling Program (RGCM) of the U.S. Department of Energy's, Office of Science (BER)(United States Department of Energy (DOE)); National Science Foundation(National Science Foundation (NSF)); Office of Science of the U.S. Department of Energy(United States Department of Energy (DOE))</t>
  </si>
  <si>
    <t>We sincerely thank the two anonymous reviewers for their helpful comments and suggestions on the manuscript. This work is supported by the Global Change Program of National Key Research and Development Program of China (Grants 2016YFA0600504 and 2015CB953902), the National Natural Science Foundation of China (Grants 41630527, 41206024,41305079,41376019 and 41576026), Qing Lan project and project funded by the Priority Academic Program Development of Jiangsu Higher Education Institutions (PAPD). A. Hu was supported by the Regional and Global Climate Modeling Program (RGCM) of the U.S. Department of Energy's, Office of Science (BER), Cooperative Agreement DE-FC02-97ER62402. Computing resources were provided by the Climate Simulation Laboratory at NCAR's Computational and Information Systems Laboratory, sponsored by the National Science Foundation and other agencies, and resources by the National Energy Research Scientific Computing Center, a DOE Office of Science User Facility supported by the Office of Science of the U.S. Department of Energy under Contract No. DE-AC02-05CH11231.</t>
  </si>
  <si>
    <t>10.1007/s00382-018-4121-7</t>
  </si>
  <si>
    <t>WOS:000447366100044</t>
  </si>
  <si>
    <t>Rosenlof, KH</t>
  </si>
  <si>
    <t>Rosenlof, Karen H.</t>
  </si>
  <si>
    <t>Changes in water vapor and aerosols and their relation to stratospheric ozone</t>
  </si>
  <si>
    <t>COMPTES RENDUS GEOSCIENCE</t>
  </si>
  <si>
    <t>Stratosphere; Water vapor; Ozone; Aerosol</t>
  </si>
  <si>
    <t>TROPICAL TROPOPAUSE; TROPOSPHERIC AEROSOL; ANTARCTIC OZONE; IMPACT; TRANSPORT; DEPLETION; MODEL; INCREASES; TRENDS; ICE</t>
  </si>
  <si>
    <t>Although catalytic chemistry involving ozone-depleting substances (ODSs) is currently a primary driver impacting the abundance of stratospheric ozone, water vapor and aerosols are constituents that also affect stratospheric ozone. Variability in both water vapor and aerosols can induce variability in ozone, and although small relative to that due to trends in ODSs, in the future may become a much more important source of ozone variability. Published by Elsevier Masson SAS on behalf of Academie des sciences.</t>
  </si>
  <si>
    <t>[Rosenlof, Karen H.] NOAA, Earth Syst Res Lab, Mail Stop R CSD 8,325 Broadway, Boulder, CO 80305 USA</t>
  </si>
  <si>
    <t>Rosenlof, KH (corresponding author), NOAA, Earth Syst Res Lab, Mail Stop R CSD 8,325 Broadway, Boulder, CO 80305 USA.</t>
  </si>
  <si>
    <t>karen.h.rosenlof@noaa.gov</t>
  </si>
  <si>
    <t>Rosenlof, Karen H/B-5652-2008</t>
  </si>
  <si>
    <t>Rosenlof, Karen H/0000-0002-0903-8270</t>
  </si>
  <si>
    <t>NOAA</t>
  </si>
  <si>
    <t>NOAA(National Oceanic Atmospheric Admin (NOAA) - USA)</t>
  </si>
  <si>
    <t>This work was funded by NOAA base and climate funding.</t>
  </si>
  <si>
    <t>1631-0713</t>
  </si>
  <si>
    <t>1778-7025</t>
  </si>
  <si>
    <t>CR GEOSCI</t>
  </si>
  <si>
    <t>C. R. Geosci.</t>
  </si>
  <si>
    <t>10.1016/j.crte.2018.06.014</t>
  </si>
  <si>
    <t>HB3EL</t>
  </si>
  <si>
    <t>WOS:000450932300007</t>
  </si>
  <si>
    <t>Langematz, U</t>
  </si>
  <si>
    <t>Langematz, Ulrike</t>
  </si>
  <si>
    <t>Future ozone in a changing climate</t>
  </si>
  <si>
    <t>Ozone; Greenhouse gases; Stratosphere; Chemistry; Climate models</t>
  </si>
  <si>
    <t>GREENHOUSE-GAS CONCENTRATIONS; TROPICAL OZONE; SENSITIVITY</t>
  </si>
  <si>
    <t>The stratospheric ozone layer is expected to recover as a result of the regulations of the Montreal Protocol on chlorine and bromine containing ozone-depleting substances (ODSs). Model simulations project a return of global annually averaged total column ozone to 1980 levels before the middle of the 21s t century, well before the ODSs will return to 1980 levels. This earlier ozone return date is due to the effects of rising greenhouse gas (GHG) concentrations. GHGs influence ozone directly by chemical reactions, but also indirectly by changing stratospheric temperature and the Brewer-Dobson circulation. Based on projections of chemistry-climate models, this article summarizes the effects of GHGs on stratospheric and total column ozone in the mid-latitude upper stratosphere, Arctic and Antarctic spring, and the tropics. The sensitivity of future ozone change to the GHG scenario is discussed, as well as the specific role of a future increase in nitrous oxide and methane. (C) 2018 Academie des sciences. Published by Elsevier Masson SAS. All rights reserved.</t>
  </si>
  <si>
    <t>[Langematz, Ulrike] Free Univ Berlin, Carl Heinrich Becker Weg 6-10, D-12165 Berlin, Germany</t>
  </si>
  <si>
    <t>Free University of Berlin</t>
  </si>
  <si>
    <t>Langematz, U (corresponding author), Free Univ Berlin, Carl Heinrich Becker Weg 6-10, D-12165 Berlin, Germany.</t>
  </si>
  <si>
    <t>ulrike.langematz@met.fu-berlin.de</t>
  </si>
  <si>
    <t>Deutsche Forschungsgemeinschaft (DFG) [FOR 1095]</t>
  </si>
  <si>
    <t>This work has been supported by the Deutsche Forschungsgemeinschaft (DFG) within the DFG Research Unit FOR 1095 Stratospheric Change and its Role for Climate Prediction'' (SHARP). The author is grateful to Sandip Dhomse and the CCMI modellers for providing Fig. 2.</t>
  </si>
  <si>
    <t>centre Mersenne pour ldition scientifique ouverte</t>
  </si>
  <si>
    <t>Grenolde Cedex 9</t>
  </si>
  <si>
    <t>Cellule Mathdoc Batiment Ceta, 150 Rue de la Chimie CS 40700, Grenolde Cedex 9, FRANCE</t>
  </si>
  <si>
    <t>10.1016/j.crte.2018.06.015</t>
  </si>
  <si>
    <t>WOS:000450932300010</t>
  </si>
  <si>
    <t>Dubrasquet, H; Reyes, J; Sanchez, RP; Valdivia, N; Guillemin, ML</t>
  </si>
  <si>
    <t>Dubrasquet, Helene; Reyes, Janette; Sanchez, Ramona Pinochet; Valdivia, Nelson; Guillemin, Marie-Laure</t>
  </si>
  <si>
    <t>Molecular-assisted revision of red macroalgal diversity and distribution along the Western Antarctic Peninsula and South Shetland Islands</t>
  </si>
  <si>
    <t>CRYPTOGAMIE ALGOLOGIE</t>
  </si>
  <si>
    <t>Biodiversity survey; Biogeography; Cryptic species; DNA barcoding; Integrative taxonomy; Rhodophyta</t>
  </si>
  <si>
    <t>SPECIES DELIMITATION; GENETIC DIVERSITY; SPATIAL STRUCTURE; DNA; BIODIVERSITY; BIOGEOGRAPHY; RHODOPHYTA; GIGARTINALES; PATTERNS; REVEALS</t>
  </si>
  <si>
    <t>The Antarctic marine flora is well known as a flora composed of relatively few species in comparison with other marine realms. Using molecular taxonomy as complementary tool for traditional taxonomy, we studied red macroalgal diversity and biogeography along the Western Antarctic Peninsula (WAP) and South Shetlands Islands (SShs) coasts and across a bathymetric gradient; in addition, we compared both methods of identification in terms of accuracy and number of observed taxa. Our results show low diversity levels at the regional and local scales, with around 50 taxa registered in total. Molecular tools allowed us to detect putative cryptic species within the genera Callophyllis, Cuadiea and Georgiella, and to identify 98% of our specimens at species level. Our results also allowed us to identify significant differences between red macroalgal assemblages of three distinct biogeographic sub-regions: SShs and Northern part of the WAP (at approximate to 63 degrees S), Central part of the WAP (at approximate to 64 degrees S) and Central-Southern part of the WAP (at approximate to 67 degrees S). Our sub-regions do not correspond to the classical separation of SShs/WAP reported in previous studies and suggest that the Bransficld Strait is not a strong biogeographic barrier for red macroalgac. Since our three sub-regions correspond to three latitude levels, we propose that past and present-day dynamics of sea-ice disturbance may have shaped the observed differences in red algal communities. We believe that the construction of accessible genetic dataset associated with voucher specimens in the present work will benefit future studies of macroalgal diversity and distribution in the region.</t>
  </si>
  <si>
    <t>[Dubrasquet, Helene; Reyes, Janette; Sanchez, Ramona Pinochet; Guillemin, Marie-Laure] Univ Austral Chile, Fac Ciencias, Inst Ciencias Ambientales &amp; Evolut, Casilla 567, Valdivia, Chile; [Dubrasquet, Helene; Guillemin, Marie-Laure] UPMC Univ Paris VI, Evolutionary Biol &amp; Ecol Algae, Stn Biol Roscoff, PUC,UACH,UMI 3614,CNRS,Sorbonne Univ, CS 90074,Pl G Teissier, F-29680 Roscoff, France; [Valdivia, Nelson] Univ Austral Chile, Fac Ciencias, Inst Ciencias Marinas &amp; Limnol, Casilla 567, Valdivia, Chile; [Valdivia, Nelson; Guillemin, Marie-Laure] Ctr FONDAP Invest Dinam Ecosistemas Marinos Altas, Valdivia, Chile</t>
  </si>
  <si>
    <t>Universidad Austral de Chile; Centre National de la Recherche Scientifique (CNRS); CNRS - Institute of Ecology &amp; Environment (INEE); Sorbonne Universite; Universidad Austral de Chile</t>
  </si>
  <si>
    <t>Guillemin, ML (corresponding author), Univ Austral Chile, Fac Ciencias, Inst Ciencias Ambientales &amp; Evolut, Casilla 567, Valdivia, Chile.;Guillemin, ML (corresponding author), UPMC Univ Paris VI, Evolutionary Biol &amp; Ecol Algae, Stn Biol Roscoff, PUC,UACH,UMI 3614,CNRS,Sorbonne Univ, CS 90074,Pl G Teissier, F-29680 Roscoff, France.;Guillemin, ML (corresponding author), Ctr FONDAP Invest Dinam Ecosistemas Marinos Altas, Valdivia, Chile.</t>
  </si>
  <si>
    <t>marielaure.guillemin@gmail.com</t>
  </si>
  <si>
    <t>Valdivia, Nelson/C-3613-2009</t>
  </si>
  <si>
    <t>Valdivia, Nelson/0000-0002-5394-2072; pinochet sanchez, ramona/0000-0002-2991-2834; Guillemin, Marie-Laure/0000-0001-5703-7662</t>
  </si>
  <si>
    <t>Instituto Antartico Chileno (INACH) [T_16-11, RG_15-16]; Comision Nacional de Investigacion Cientifica y Tecnologica [Anillo ART1101]; International Research Network Diversity, Evolution and Biotechnology of Marine Algae (GDRI) [0803]; Centro FONDAP IDEAL [15150003]; FONDECYT [1161699, 1181300]</t>
  </si>
  <si>
    <t>Instituto Antartico Chileno (INACH); Comision Nacional de Investigacion Cientifica y Tecnologica; International Research Network Diversity, Evolution and Biotechnology of Marine Algae (GDRI); Centro FONDAP IDEAL; FONDECYT(Comision Nacional de Investigacion Cientifica y Tecnologica (CONICYT)CONICYT FONDECYT)</t>
  </si>
  <si>
    <t>This research was supported by the Instituto Antartico Chileno (INACH) T_16-11 and RG_15-16 projects and sampling in King George Island was funded by the Project Anillo ART1101 from Comision Nacional de Investigacion Cientifica y Tecnologica. Additional support came from the International Research Network Diversity, Evolution and Biotechnology of Marine Algae (GDRI No 0803) and from the Centro FONDAP IDEAL no. 15150003. While writing NV was supported by FONDECYT grants no. 1161699 and 1181300. The authors thank P. Brunning, I. Garrido, J. L. Kappes, T. Heran, Y. Henriquez, and L. Vallejos for their help in the field. The authors would also like to thank the Chilean Navy (especially the captain and crew of the ships Almirante Oscar Viel and Lautaro), the staff from the Chilean Army in the O'Higgins base and the Air Force of Chile (FACh) for the logistic support of our fieldwork in sub-Antarctica and Antarctica.</t>
  </si>
  <si>
    <t>ADAC-CRYPTOGAMIE</t>
  </si>
  <si>
    <t>PARIS</t>
  </si>
  <si>
    <t>12 RUE DE BUFFON, 75005 PARIS, FRANCE</t>
  </si>
  <si>
    <t>0181-1568</t>
  </si>
  <si>
    <t>1776-0984</t>
  </si>
  <si>
    <t>CRYPTOGAMIE ALGOL</t>
  </si>
  <si>
    <t>Cryptogam. Algol.</t>
  </si>
  <si>
    <t>10.7872/crya/v39.iss4.2018.409</t>
  </si>
  <si>
    <t>HC4ZN</t>
  </si>
  <si>
    <t>WOS:000451813400002</t>
  </si>
  <si>
    <t>Viljoen, JJ; Philibert, R; Van Horsten, N; Mtshali, T; Roychoudhury, AN; Thomalla, S; Fietz, S</t>
  </si>
  <si>
    <t>Viljoen, Johannes J.; Philibert, Raissa; Van Horsten, Natasha; Mtshali, Thato; Roychoudhury, Alakendra N.; Thomalla, Sandy; Fietz, Susanne</t>
  </si>
  <si>
    <t>Phytoplankton response in growth, photophysiology and community structure to iron and light in the Polar Frontal Zone and Antarctic waters</t>
  </si>
  <si>
    <t>Bioassay; GEOTRACES; Iron fertilization; Pigments; CHEMTAX</t>
  </si>
  <si>
    <t>SOUTHERN-OCEAN PHYTOPLANKTON; PHAEOCYSTIS-ANTARCTICA; PRIMARY PRODUCTIVITY; PIGMENT COMPOSITION; DISSOLVED IRON; CELL-SIZE; ROSS SEA; IN-SITU; LIMITATION; EXPORT</t>
  </si>
  <si>
    <t>Availability of dissolved iron and light are both regulating factors for primary productivity in high (macro) nutrient, low chlorophyll regions of the Southern Ocean. Here, using on-board iron/light incubation experiments conducted in 2015 in the Atlantic sector of the Southern Ocean, we show that irradiance limited significant phytoplankton growth (in chlorophyll-a and particulate organic carbon) north of the Polar Front (46 degrees S 08 degrees E), while iron addition resulted in growth stimulation even at low light levels in the Antarctic zone (65 degrees S 0 degrees E). The phytoplankton community in the Polar Frontal Zone showed a greater functional diversity than the one in the Antarctic Zone. The community structure changed over the course of the incubations in response to increased iron and light. The observed increase in chlorophyll-a under high light in the Polar Frontal Zone was driven predominantly by an increase in pico-(0.2-2 mu m)) and large (&gt; 5 mu m) nanophytoplankton. Pigment finger-printing indicated an increase in the contribution of diatoms and Phaeocystis over the course of the incubation. In contrast, in the Antarctic Zone, the increase in chlorophyll-a after iron enrichment was predominantly due to an increase in the contribution of diatoms and large nanophytoplankton. The photochemical efficiency (Fv/Fm) was low at both sites at the beginning of the incubations, but increased upon iron fertilization in both water masses, indicating stress relief. However, the acclimation strategies fundamentally differed between the two communities. The ratio of photoprotective versus light-harvesting pigments increased under high light in the Polar Frontal Zone independent of iron enrichment, whereas this ratio declined upon iron enrichment in the Antarctic Zone even under high light. At the same time, the functional cross section of photosystem II (sigma(PSII)) decreased upon iron enrichment in the Antarctic Zone, but not in the Polar Frontal Zone. Our experiments support the need to take biogeographical differences between Southern Ocean water masses into account when interpreting ecosystem dynamics.</t>
  </si>
  <si>
    <t>[Viljoen, Johannes J.; Philibert, Raissa; Van Horsten, Natasha; Roychoudhury, Alakendra N.; Fietz, Susanne] Stellenbosch Univ, Dept Earth Sci, ZA-7600 Stellenbosch, South Africa; [Van Horsten, Natasha; Mtshali, Thato; Thomalla, Sandy] CSIR, Southern Ocean Carbon &amp; Climate Observ, ZA-7599 Stellenbosch, South Africa; [Philibert, Raissa] Hatfield Consultants, N Vancouver, BC, Canada</t>
  </si>
  <si>
    <t>Stellenbosch University; Council for Scientific &amp; Industrial Research (CSIR) - South Africa</t>
  </si>
  <si>
    <t>Fietz, S (corresponding author), Stellenbosch Univ, Dept Earth Sci, ZA-7600 Stellenbosch, South Africa.</t>
  </si>
  <si>
    <t>sfietz@sun.ac.za</t>
  </si>
  <si>
    <t>Viljoen, Johannes J./ABD-2931-2021; Thomalla, Sandy/AAS-4133-2021; Fietz, Susanne/A-8695-2012</t>
  </si>
  <si>
    <t>Viljoen, Johannes J./0000-0002-9400-2757; Fietz, Susanne/0000-0003-0896-8385</t>
  </si>
  <si>
    <t>National Research Foundation, South Africa (NRF); South African National Antarctic Programme [91313, 110731]; NRF-South Africa through a SANCOR-NRF fellowship [94915]; NRF-South Africa through a Masters Innovation Scholarship; NOAA Office of Climate Observations, USA</t>
  </si>
  <si>
    <t>National Research Foundation, South Africa (NRF)(National Research Foundation - South Africa); South African National Antarctic Programme; NRF-South Africa through a SANCOR-NRF fellowship; NRF-South Africa through a Masters Innovation Scholarship; NOAA Office of Climate Observations, USA</t>
  </si>
  <si>
    <t>The work leading to these results received funding from the National Research Foundation, South Africa (NRF), under the SA/Norway Collaboration Programme and the South African National Antarctic Programme, Grant nos. 91313 and 110731 awarded to S.F. R.P. acknowledges support from NRF-South Africa through a SANCOR-NRF fellowship under Grant no. 94915. J.V. acknowledges funding from NRF-South Africa through a Masters Innovation Scholarship. The XBT data used in this manuscript are made freely available on the Atlantic Oceanographic and Meteorological Laboratory and are funded by the NOAA Office of Climate Observations, USA. The authors thank NASA Goddard Space Flight Center, Ocean Ecology Laboratory, Ocean Biology Processing Group, for seasonal composite chl-a concentrations. The authors furthermore thank Smit Amandla crew of the R/V SA Agulhas II, Department of Environmental Affairs (DEA), and all the scientific cruise participants of SANAE 54. The authors greatly acknowledge the valuable contributions of three anonymous reviewers.</t>
  </si>
  <si>
    <t>10.1016/j.dsr.2018.09.006</t>
  </si>
  <si>
    <t>HB5MF</t>
  </si>
  <si>
    <t>WOS:000451104200011</t>
  </si>
  <si>
    <t>Horswill, C; Jackson, JA; Medeiros, R; Nowell, RW; Trathan, PN; O'Connell, TC</t>
  </si>
  <si>
    <t>Horswill, C.; Jackson, J. A.; Medeiros, R.; Nowell, R. W.; Trathan, P. N.; O'Connell, T. C.</t>
  </si>
  <si>
    <t>Minimising the limitations of using dietary analysis to assess foodweb changes by combining multiple techniques</t>
  </si>
  <si>
    <t>DNA; Macaroni penguin; Pyrosequencing; Seabird; Stable isotope analysis; Stomach contents</t>
  </si>
  <si>
    <t>PENGUINS EUDYPTES-CHRYSOLOPHUS; EGG SIZE DIMORPHISM; MACARONI PENGUINS; MARINE PREDATORS; SOUTH GEORGIA; DNA; NITROGEN; CARBON; SEGREGATION; VARIABILITY</t>
  </si>
  <si>
    <t>Dietary studies of marine predators offer an immediate signal of foodweb changes occurring at lower trophic levels, and therefore are often used to assess the ecosystem status of marine systems. Conventionally, these studies are based on morphological analysis of prey remains in stomach contents, involving invasive and destructive techniques to collect samples. More recently, the number of dietary studies based on less invasive biochemical and molecular approaches has dramatically increased. However, all three methods, morphological, biochemical and molecular, have well-documented limitations for resolving taxonomy, temporal variation or biomass composition. In this study, we minimise these limitations by considering multiple techniques in combination. As a case study, we report the target prey species and diet composition of a marine predator that has been used to assess annual change in managed fishing areas for several decades, the macaroni penguin Eudyptes ehrysolophus. We use biochemical (stable isotope) and molecular (DNA) analysis of faecal samples collected across the different phases of a single breeding season, and compare the resolved diet to a 26-year dataset of stomach contents collected from a closely located colony (0.25 km apart) that exploits identical foraging grounds. Molecular analysis increased the known target prey species for this highly monitored population by 31%, including a fish species of commercial importance. Biochemical analysis detected subtle changes in the proportion of fish and krill in the diet, demonstrating promising opportunities for using a combined molecular and biochemical method to assess inter-annual foodweb changes at lower trophic levels. The combined approach offers a less invasive sampling methodology, compared to morphological analysis, and provides more information regarding prey species diversity and the overall trophic signature of the diet. Further studies are required to examine the feasibility of using this approach for long-term dietary studies of different marine predator species.</t>
  </si>
  <si>
    <t>[Horswill, C.; Jackson, J. A.; Trathan, P. N.] British Antarctic Survey, Cambridge CB3 0ET, England; [Horswill, C.] Univ Glasgow, Inst Biodivers Anim Hlth &amp; Comparat Med, Glasgow G12 8QQ, Lanark, Scotland; [Horswill, C.] Univ Cambridge, Dept Zool, Downing St, Cambridge CB2 3DT, England; [Medeiros, R.] Cardiff Univ, Cardiff Sch Dent, Cardiff CF14 4XY, S Glam, Wales; [Nowell, R. W.] Imperial Coll London, Dept Life Sci, Silwood Pk,Buckhurst Rd, Ascot SL5 7PY, Berks, England; [O'Connell, T. C.] Univ Cambridge, Dept Archaeol, Cambridge CB2 3DZ, England</t>
  </si>
  <si>
    <t>UK Research &amp; Innovation (UKRI); Natural Environment Research Council (NERC); NERC British Antarctic Survey; University of Glasgow; University of Cambridge; Cardiff University; Imperial College London; University of Cambridge</t>
  </si>
  <si>
    <t>Horswill, C (corresponding author), Univ Glasgow, Inst Biodivers Anim Hlth &amp; Comparat Med, Glasgow G12 8QQ, Lanark, Scotland.</t>
  </si>
  <si>
    <t>catrsw@gmail.com</t>
  </si>
  <si>
    <t>Nowell, Reuben William/I-1974-2019; Jackson, Jennifer A/E-7997-2013; Medeiros, Renata/M-8616-2015</t>
  </si>
  <si>
    <t>Nowell, Reuben William/0000-0001-7546-6495; Jackson, Jennifer/0000-0003-4158-1924; Horswill, Cat/0000-0002-1795-0753; O'Connell, Tamsin/0000-0002-4744-0332; Medeiros, Renata/0000-0002-5833-309X</t>
  </si>
  <si>
    <t>Natural Environment Research Council (NERC); NERC PhD studentship [NE/I52797/X]; NERC Collaborative Gearing Scheme [CGS-76]; NERC [bas0100035] Funding Source: UKRI</t>
  </si>
  <si>
    <t>Natural Environment Research Council (NERC)(UK Research &amp; Innovation (UKRI)Natural Environment Research Council (NERC)); NERC PhD studentship(UK Research &amp; Innovation (UKRI)Natural Environment Research Council (NERC)); NERC Collaborative Gearing Scheme(UK Research &amp; Innovation (UKRI)Natural Environment Research Council (NERC)); NERC(UK Research &amp; Innovation (UKRI)Natural Environment Research Council (NERC))</t>
  </si>
  <si>
    <t>This study is part of the ecosystems component of the British Antarctic Survey Polar Science for Planet Earth Programme, funded by the Natural Environment Research Council (NERC). Many thanks to Rhiannon Stevens, Catherine Kneale (McDonald Institute for Archaeological Research, University of Cambridge) and James Rolfe (Godwin Laboratory, Department of Earth Sciences, University of Cambridge) for help with isotopic analyses and sample preparation. Thanks also to Dr Norman Ratcliffe Dr Jon Green for discussions regarding data collection, Professor Jason Matthiopoulos for discussions on statistical analysis as well as Dr. Ruth Brown, Jon Ashburner, Mick Mackey and Jennifer James for their assistance with fieldwork during 2012 and the Bird Island field assistants that supported the collection of stomach contents in previous years. CH was supported by a NERC PhD studentship grant number NE/I52797/X, and the 2012 fieldwork was funded by the NERC Collaborative Gearing Scheme grant number CGS-76.</t>
  </si>
  <si>
    <t>10.1016/j.ecolind.2018.06.035</t>
  </si>
  <si>
    <t>HD6XB</t>
  </si>
  <si>
    <t>WOS:000452692500021</t>
  </si>
  <si>
    <t>Sundstrom, SM; Angeler, DG; Barichievy, C; Eason, T; Garmestani, A; Gunderson, L; Knutson, M; Nash, KL; Spanbauer, T; Stow, C; Allen, CR</t>
  </si>
  <si>
    <t>Sundstrom, Shana M.; Angeler, David G.; Barichievy, Chris; Eason, Tarsha; Garmestani, Ahjond; Gunderson, Lance; Knutson, Melinda; Nash, Kirsty L.; Spanbauer, Trisha; Stow, Craig; Allen, Craig R.</t>
  </si>
  <si>
    <t>The distribution and role of functional abundance in cross-scale resilience</t>
  </si>
  <si>
    <t>abundance; community ecology; cross-scale resilience; functional diversity; macroecology; resilience; scales</t>
  </si>
  <si>
    <t>BODY-SIZE; ECOLOGICAL RESILIENCE; ENVIRONMENTAL-CHANGE; COMPENSATORY DYNAMICS; ECOSYSTEM PROCESSES; RESPONSE DIVERSITY; SPECIES RICHNESS; BIRD COMMUNITIES; REGIME SHIFTS; CORAL-REEFS</t>
  </si>
  <si>
    <t>The cross-scale resilience model suggests that system-level ecological resilience emerges from the distribution of species' functions within and across the spatial and temporal scales of a system. It has provided a quantitative method for calculating the resilience of a given system and so has been a valuable contribution to a largely qualitative field. As it is currently laid out, the model accounts for the spatial and temporal scales at which environmental resources and species are present and the functional roles species play but does not inform us about how much resource is present or how much function is provided. In short, it does not account for abundance in the distribution of species and their functional roles within and across the scales of a system. We detail the ways in which we would expect species' abundance to be relevant to the cross-scale resilience model based on the extensive abundance literature in ecology. We also put forward a series of testable hypotheses that would improve our ability to anticipate and quantify how resilience is generated, and how ecosystems will (or will not) buffer recent rapid global changes. This stream of research may provide an improved foundation for the quantitative evaluation of ecological resilience.</t>
  </si>
  <si>
    <t>[Sundstrom, Shana M.] Univ Nebraska, Sch Nat Resources, 103 Hardin Hall,3310 Holdrege St, Lincoln, NE 68583 USA; [Angeler, David G.] Swedish Univ Agr Sci, Dept Aquat Sci &amp; Assessment, Box 7050, SE-75007 Uppsala, Sweden; [Barichievy, Chris] Zool Soc London, Regents Pk, London NW1 4RY, England; [Barichievy, Chris] Univ Cape Town, Inst Communities &amp; Wildlife Africa, ZA-7700 Cape Town, South Africa; [Eason, Tarsha; Garmestani, Ahjond] US EPA, Natl Risk Management Res Lab, Cincinnati, OH 45268 USA; [Gunderson, Lance] Emory Univ, Dept Environm Studies, Atlanta, GA 30322 USA; [Knutson, Melinda] Reg 3 US Fish &amp; Wildlife Serv, La Crosse, WI 54603 USA; [Nash, Kirsty L.] Univ Tasmania, Ctr Marine Socioecol, Inst Marine &amp; Antarctic Studies, Hobart, Tas 7000, Australia; [Spanbauer, Trisha] Univ Texas Austin, Dept Integrat Biol, Austin, TX 78712 USA; [Stow, Craig] NOAA, Great Lakes Environm Res Lab, Ann Arbor, MI 48108 USA; [Allen, Craig R.] Univ Nebraska, Nebraska Cooperat Fish &amp; Wildlife Res Unit, US Geol Survey, Lincoln, NE 68583 USA</t>
  </si>
  <si>
    <t>University of Nebraska System; University of Nebraska Lincoln; Swedish University of Agricultural Sciences; Zoological Society of London; University of Cape Town; United States Environmental Protection Agency; Emory University; University of Tasmania; University of Texas System; University of Texas Austin; National Oceanic Atmospheric Admin (NOAA) - USA; University of Nebraska System; University of Nebraska Lincoln; United States Department of the Interior; United States Geological Survey</t>
  </si>
  <si>
    <t>Sundstrom, SM (corresponding author), Univ Nebraska, Sch Nat Resources, 103 Hardin Hall,3310 Holdrege St, Lincoln, NE 68583 USA.</t>
  </si>
  <si>
    <t>sundstrom.shana@gmail.com</t>
  </si>
  <si>
    <t>Allen, Craig R/J-4464-2012; Nash, Kirsty L/B-5456-2015; Garmestani, Ahjond/AAJ-3695-2020; Spanbauer, Trisha/P-6916-2019; Stow, Craig/AAG-8109-2020</t>
  </si>
  <si>
    <t>Nash, Kirsty L/0000-0003-0976-3197; Garmestani, Ahjond/0000-0001-5678-7293; Sundstrom, Shana/0000-0003-0823-8008; Spanbauer, Trisha/0000-0002-4014-4995; Eason, Tarsha/0000-0001-9881-3293; Stow, Craig/0000-0001-6171-7855</t>
  </si>
  <si>
    <t>USGS Powell Center for Synthesis and Analysis; USGS National Climate Change and Wildlife Center; Natural Science and Engineering Research Council of Canada; University of Nebraska-Lincoln School of Natural Resources; United States Geological Survey; Nebraska Game and Parks Commission; University of Nebraska-Lincoln; United States Fish and Wildlife Service; Wildlife Management Institute</t>
  </si>
  <si>
    <t>USGS Powell Center for Synthesis and Analysis; USGS National Climate Change and Wildlife Center; Natural Science and Engineering Research Council of Canada(Natural Sciences and Engineering Research Council of Canada (NSERC)); University of Nebraska-Lincoln School of Natural Resources; United States Geological Survey(United States Geological Survey); Nebraska Game and Parks Commission; University of Nebraska-Lincoln; United States Fish and Wildlife Service(US Fish &amp; Wildlife Service); Wildlife Management Institute</t>
  </si>
  <si>
    <t>This research arose from a workshop series funded by the USGS Powell Center for Synthesis and Analysis and the USGS National Climate Change and Wildlife Center. S. M. Sundstrom was also supported by the Natural Science and Engineering Research Council of Canada and the University of Nebraska-Lincoln School of Natural Resources. The Nebraska Cooperative Fish and Wildlife Research Unit is jointly supported by a cooperative agreement between the United States Geological Survey, the Nebraska Game and Parks Commission, the University of Nebraska-Lincoln, the United States Fish and Wildlife Service, and the Wildlife Management Institute. This is GLERL contribution number 1890. The views expressed in this article are those of the authors and do not necessarily represent the views or policies of the U.S. Environmental Protection Agency or the U.S. Fish and Wildlife Service. Sincere thanks to two anonymous reviewers for their thoughtful critiques, which greatly improved the manuscript.</t>
  </si>
  <si>
    <t>10.1002/ecy.2508</t>
  </si>
  <si>
    <t>HA0YJ</t>
  </si>
  <si>
    <t>Green Accepted, Green Published</t>
  </si>
  <si>
    <t>WOS:000449937900002</t>
  </si>
  <si>
    <t>Noell, AC; Fisher, AM; Fors-Francis, K; Sherrit, S</t>
  </si>
  <si>
    <t>Noell, Aaron C.; Fisher, Anita M.; Fors-Francis, Kisa; Sherrit, Stewart</t>
  </si>
  <si>
    <t>Subcritical water extraction of amino acids from Mars analog soils</t>
  </si>
  <si>
    <t>ELECTROPHORESIS</t>
  </si>
  <si>
    <t>Amino acids; Extraction; Mars; Soils; Subcritical water</t>
  </si>
  <si>
    <t>REACTION-KINETICS; ORGANIC-MATTER; CAPILLARY-ELECTROPHORESIS; MARTIAN SOIL; GALE CRATER; DECOMPOSITION; SEARCH; PERCHLORATE; HYDROLYSIS; MOLECULES</t>
  </si>
  <si>
    <t>For decades, the Martian regolith has stymied robotic mission efforts to catalog the organic molecules present. Perchlorate salts, found widely throughout Mars, are the main culprit as they breakdown and react with organics liberated from the regolith during pyrolysis, the primary extraction technique attempted to date on Mars. This work further develops subcritical water extraction (SCWE) as a technique for extraction of amino acids on future missions. The effect of SCWE temperature (185, 200, and 215 degrees C) and duration of extraction (10-120 min) on the total amount and distribution of amino acids recovered was explored for three Mars analog soils (JSC Mars-1A simulant, an Atacama desert soil, and an Antarctic Dry Valleys soil) and bovine serum albumin (as a control solution of known amino acid content). Total amounts of amino acids extracted increased with both time and temperature; however, the distribution shifted notably due to the destruction of the amino acids with charged or polar side chains at the higher temperatures. The pure bovine serum albumin solution and JSC Mars 1A also showed lower yields than the Atacama and Antarctic extractions suggesting that SCWE may be less effective at hydrolyzing large or aggregated proteins. Changing solvent from water to a dilute (10 mM) HCl solution allowed total extraction efficiencies comparable to the higher temperature/time combinations while using the lowest temperature/time (185 degrees C/20 min). The dilute HCl extractions also did not lead to the shift in amino acid distribution observed at the higher temperatures. Additionally, adding sodium perchlorate salt to the extraction did not interfere with recoveries. Native magnetite in the JSC Mars-1A may have been responsible for destruction of glycine, as evidenced by its uncharacteristic decrease as the temperature/time of extraction increased. This work shows that SCWE can extract high yields of native amino acids out of Mars analog soils with minimal disruption of the distribution of those amino acids, even in the presence of a perchlorate salt.</t>
  </si>
  <si>
    <t>[Noell, Aaron C.; Fisher, Anita M.; Fors-Francis, Kisa; Sherrit, Stewart] CALTECH, Jet Prop Lab, Pasadena, CA USA</t>
  </si>
  <si>
    <t>National Aeronautics &amp; Space Administration (NASA); NASA Jet Propulsion Laboratory (JPL); California Institute of Technology</t>
  </si>
  <si>
    <t>Noell, AC (corresponding author), 4800 Oak Grove Dr,MS 306-392, Pasadena, CA 91109 USA.</t>
  </si>
  <si>
    <t>anoell@jpl.nasa.gov</t>
  </si>
  <si>
    <t>Noell, Aaron/AAE-9643-2019</t>
  </si>
  <si>
    <t>Noell, Aaron/0000-0001-6244-174X</t>
  </si>
  <si>
    <t>National Aeronautics and Space Administration; NASA Astrobiology Science and Technology Instrument Development (ASTID) program</t>
  </si>
  <si>
    <t>National Aeronautics and Space Administration(National Aeronautics &amp; Space Administration (NASA)); NASA Astrobiology Science and Technology Instrument Development (ASTID) program</t>
  </si>
  <si>
    <t>The research in this article was carried out at the Jet Propulsion Laboratory, California Institute of Technology, under a contract with the National Aeronautics and Space Administration. Funding was provided by the NASA Astrobiology Science and Technology Instrument Development (ASTID) program. The authors would like to thank Valerie Scott for use of the Monowave instrument and useful discussions on SCWE, as well as Christine Lee for the Antarctic samples.</t>
  </si>
  <si>
    <t>0173-0835</t>
  </si>
  <si>
    <t>1522-2683</t>
  </si>
  <si>
    <t>Electrophoresis</t>
  </si>
  <si>
    <t>10.1002/elps.201700459</t>
  </si>
  <si>
    <t>HA6RG</t>
  </si>
  <si>
    <t>WOS:000450406900004</t>
  </si>
  <si>
    <t>Koppel, DJ; Adams, MS; King, CK; Jolley, DF</t>
  </si>
  <si>
    <t>Koppel, Darren J.; Adams, Merrin S.; King, Catherine K.; Jolley, Dianne F.</t>
  </si>
  <si>
    <t>Chronic toxicity of an environmentally relevant and equitoxic ratio of five metals to two Antarctic marine microalgae shows complex mixture interactivity</t>
  </si>
  <si>
    <t>PHAEOCYSTIS-ANTARCTICA; RISK-ASSESSMENT; CERIODAPHNIA-DUBIA; GREEN-ALGA; COPPER; CADMIUM; MODEL; ZINC; SENSITIVITY; NICKEL</t>
  </si>
  <si>
    <t>Metal contaminants are rarely present in the environment individually, yet environmental quality guidelines are derived from single-metal toxicity data. Few metal mixture studies have investigated more than binary mixtures and many are at unrealistically high effect concentrations to freshwater organisms. This study investigates the toxicity of five metals (Cd, Cu, Ni, Pb, and Zn) to the Antarctic marine microalgae Phaeocystis antarctica and Cryothecomonas armigera. Two mixtures were tested: (i) an equitoxic mixture of contaminants present at their single-metal EC10 concentrations, and (ii) an environmental mixture based on the ratio metal concentrations in a contaminated Antarctic marine bay. Observed toxicity, as chronic population growth rate inhibition, was compared to Independent Action (IA) and Concentration Addition (CA) predictions parameterised to use EC10 values. This allowed for the inclusion of metals with low toxicities. The biomarkers chlorophyll a fluorescence, cell size and complexity, and intracellular lipid concentrations were assessed to investigate possible mechanisms behind metal-mixture interactions. Both microalgae had similar responses to the equitoxic mixture: non-interactive by IA and antagonistic by CA. Toxicity from the environmental mixture was antagonistic by IA to P. antarctica; however, to C. armigera it was concentration-dependent with antagonism at low toxicities and synergism at high toxicities by both IA and CA. Differences in dissolved organic carbon production and detoxification mechanisms may be responsible for these responses and warrants further investigation. This study shows that mixture toxicity interactions can be ratio, species, and concentration dependent. The responses of the microalgae to different mixture ratios highlight the need to assess toxicity at environmentally realistic metal ratios. Parameterising IA and CA reference models to use ECIOs allowed for the inclusion of metals at low effect concentrations, which may otherwise be ignored. Reference mixture models are generally suitable for predicting chronic toxicity of metals to these marine microalgae at environmentally realistic ratios and concentrations. Crown Copyright (C) 2018 Published by Elsevier Ltd. All rights reserved.</t>
  </si>
  <si>
    <t>[Koppel, Darren J.; Jolley, Dianne F.] Univ Wollongong, Sch Chem, Wollongong, NSW, Australia; [Koppel, Darren J.; Adams, Merrin S.] CSIRO Land &amp; Water, Lucas Heights, NSW, Australia; [Koppel, Darren J.; King, Catherine K.] Australian Antarctic Div, Kingston, Tas, Australia</t>
  </si>
  <si>
    <t>University of Wollongong; Commonwealth Scientific &amp; Industrial Research Organisation (CSIRO); Australian Antarctic Division</t>
  </si>
  <si>
    <t>Jolley, DF (corresponding author), Univ Wollongong, Sch Chem, Wollongong, NSW, Australia.</t>
  </si>
  <si>
    <t>djk146@uowmail.edu.au; merrin.adams@csiro.au; cath.king@aad.gov.au; djolley@uow.edu.au</t>
  </si>
  <si>
    <t>King, Catherine K/G-7059-2017; Koppel, Darren J/AAY-6884-2020; Adams, Merrin/F-3513-2011; Jolley, Dianne/D-1597-2009</t>
  </si>
  <si>
    <t>King, Catherine K/0000-0003-3356-0381; Koppel, Darren J/0000-0001-7534-237X; Adams, Merrin/0000-0003-2849-9096; Jolley, Dianne/0000-0003-1028-1603</t>
  </si>
  <si>
    <t>Australian government through Australian Antarctic Science grants [MS 4326, AAS 4100]; Australian Government Research Training Program Scholarship; CSIRO Land and Water</t>
  </si>
  <si>
    <t>Australian government through Australian Antarctic Science grants(Australian Government); Australian Government Research Training Program Scholarship(Australian GovernmentDepartment of Industry, Innovation and Science); CSIRO Land and Water(Commonwealth Scientific &amp; Industrial Research Organisation (CSIRO))</t>
  </si>
  <si>
    <t>Funding and support for this study was provided by the Australian government through Australian Antarctic Science grants (MS 4326 and AAS 4100), an Australian Government Research Training Program Scholarship for Darren Koppel, and by CSIRO Land and Water. We thank C. Jarolimek and J. King (CSIRO Land and Water) for assistance with metal concentration analyses, Dr C. Nys (Ghent University) for assistance in mixture modelling, Drs J. Stauber and S. Apte (CSIRO Land and Water) and the anonymous journal reviewers for comments which improved the manuscript. Data generated from this study are available from the Australian Antarctic Data Centre https://doi.org/10.4225/15/5ae93ff723ff8.</t>
  </si>
  <si>
    <t>10.1016/j.envpol.2018.07.110</t>
  </si>
  <si>
    <t>GV7DQ</t>
  </si>
  <si>
    <t>WOS:000446282600031</t>
  </si>
  <si>
    <t>Vecchiato, M; Barbaro, E; Spolaor, A; Burgay, F; Barbante, C; Piazza, R; Gambaro, A</t>
  </si>
  <si>
    <t>Vecchiato, Marco; Barbaro, Elena; Spolaor, Andrea; Burgay, Francois; Barbante, Carlo; Piazza, Rossano; Gambaro, Andrea</t>
  </si>
  <si>
    <t>Fragrances and PAHs in snow and seawater of Ny-Alesund (Svalbard): Local and long-range contamination</t>
  </si>
  <si>
    <t>Fragrance materials (FMs); Personal care products (PCPs); Polycyclic aromatic hydrocarbons (PAHs); Arctic</t>
  </si>
  <si>
    <t>POLYCYCLIC AROMATIC-HYDROCARBONS; CHROMATOGRAPHY-MASS SPECTROMETRY; WASTE-WATER TREATMENT; GAS-CHROMATOGRAPHY; POLYCHLORINATED-BIPHENYLS; ICE CORE; ARCTIC ENVIRONMENT; DEPOSITION HISTORY; DIAGNOSTIC RATIOS; SURFACE WATERS</t>
  </si>
  <si>
    <t>Polar regions are fragile ecosystems threatened by both long-range pollution and local human contamination. In this context, the environmental distribution of the Personal Care Products (PCPs) represent a major knowledge gap. Following preliminary Antarctic studies, Fragrance Materials (FMs) were analyzed in the seawater and snow collected in the area of Ny-Alesund, Svalbard, to investigate local and long-range contamination. Polycyclic Aromatic Hydrocarbons (PAHs), including Retene, were determined in parallel to help the identification of the governing processes. Concentrations of FMs up to 72 ng L-1 were detected in the surface snow near the settlement and at increasing distances, in relation to the prevailing winds. PAHs follow a similar scheme, with levels of Retene up to 1.8 mu g L-1, likely deriving from the occurrence of this compound in the coal dust due to the previous mining activities in the area. The snow seasonal deposition of FMs and PAHs was estimated in a snowpit dug at the top of the Austre Broggerbreen glacier, indicating the long-range atmospheric transport (LRAT) of these compounds. (C) 2018 Elsevier Ltd. All rights reserved.</t>
  </si>
  <si>
    <t>[Vecchiato, Marco; Burgay, Francois; Barbante, Carlo; Piazza, Rossano; Gambaro, Andrea] Ca Foscari Univ Venice, Dept Environm Sci Informat &amp; Stat DAIS, Via Torino 155, I-30172 Venice, Italy; [Barbaro, Elena; Spolaor, Andrea; Barbante, Carlo; Piazza, Rossano; Gambaro, Andrea] Inst Dynam Environm Proc IDPA CNR, Via Torino 155, I-30172 Venice, Italy</t>
  </si>
  <si>
    <t>Universita Ca Foscari Venezia; Consiglio Nazionale delle Ricerche (CNR); Istituto per la Dinamica dei Processi Ambientali (IDPA-CNR)</t>
  </si>
  <si>
    <t>Vecchiato, M (corresponding author), Ca Foscari Univ Venice, Dept Environm Sci Informat &amp; Stat DAIS, Via Torino 155, I-30172 Venice, Italy.</t>
  </si>
  <si>
    <t>vecchiato@unive.it</t>
  </si>
  <si>
    <t>Barbante, Carlo/B-3195-2011; Barbaro, Elena/AAX-8809-2020; Spolaor, Andrea/AAX-8808-2020; BARBARO, ELENA/AAK-3106-2021</t>
  </si>
  <si>
    <t>Barbaro, Elena/0000-0003-2639-7475; Spolaor, Andrea/0000-0001-8635-9193; Vecchiato, Marco/0000-0002-5112-8472; Burgay, Francois/0000-0002-2657-6900; Piazza, Rossano/0000-0002-1897-4124; Barbante, Carlo/0000-0003-4177-2288</t>
  </si>
  <si>
    <t>10.1016/j.envpol.2018.07.095</t>
  </si>
  <si>
    <t>WOS:000446282600076</t>
  </si>
  <si>
    <t>Schindlbeck, JC; Kutterolf, S; Freundt, A; Eisele, S; Wang, KL; Frische, M</t>
  </si>
  <si>
    <t>Schindlbeck, J. C.; Kutterolf, S.; Freundt, A.; Eisele, S.; Wang, K. -L.; Frische, M.</t>
  </si>
  <si>
    <t>Miocene to Holocene Marine Tephrostratigraphy Offshore Northern Central America and Southern Mexico: Pulsed Activity of Known Volcanic Complexes</t>
  </si>
  <si>
    <t>highly explosive volcanism in Central America and Mexico; provenance; marine tephrostratigraphy and tephrachronology; ODP; DSDP drill sites</t>
  </si>
  <si>
    <t>EL-CHICHON-VOLCANO; ARC GEOCHEMICAL VARIATIONS; SIERRA-LA-PRIMAVERA; ANTARCTIC ICE-SHEET; DE-TOLUCA VOLCANO; MIDDLE AMERICA; EXPLOSIVE VOLCANISM; COSTA-RICA; PLINIAN ERUPTION; LATE PLEISTOCENE</t>
  </si>
  <si>
    <t>We studied the tephra inventory of 14 deep sea drill sites of three Deep Sea Drilling Project and Ocean Drilling Program legs drilled offshore Guatemala and El Salvador (Legs 67, 84, and 138) and one leg offshore Mexico (Leg 66). Marine tephra layers reach back from the Miocene to the Holocene. We identified 223 primary ash beds and correlated these between the drill sites, with regions along the volcanic arcs, and to specific eruptions known from land. In total, 24 correlations were established between marine tephra layers and to well-known Quaternary eruptions from El Salvador and Guatemala. Additional 25 tephra layers were correlated between marine sites. Another 108 single ash layers have been assigned to source areas on land resulting in a total of 157 single eruptive events. Tephra layer correlations to independently dated terrestrial deposits provide new time markers and help to improve or confirm age models of the respective drill sites. Applying the respective sedimentation rates derived from the age models, we calculated ages for all marine ash beds. Hence, we also obtained new age estimates for eight known but so far undated large terrestrial eruptions. Furthermore, this enables us to study the temporal evolution of explosive eruptions along the arc, and we discovered five pulses of increased activity: (1) a pulse during the Quaternary, (2) a Pliocene pulse between 6 and 3Ma, (3) a Late Miocene pulse between 10 and 7Ma, (4) a Middle Miocene pulse between 17 and 11Ma, and (5) an Early Miocene pulse (ca.&gt;21Ma).</t>
  </si>
  <si>
    <t>[Schindlbeck, J. C.] Heidelberg Univ, Inst Earth Sci, Heidelberg, Germany; [Kutterolf, S.; Freundt, A.; Frische, M.] GEOMAR Helmholtz Ctr Ocean Res Kiel, Kiel, Germany; [Eisele, S.] Nanyang Technol Univ, Asian Sch Environm, Singapore, Singapore; [Wang, K. -L.] Acad Sinica, Inst Earth Sci, Taipei, Taiwan; [Wang, K. -L.] Natl Taiwan Univ, Dept Geosci, Taipei, Taiwan</t>
  </si>
  <si>
    <t>Ruprecht Karls University Heidelberg; Helmholtz Association; GEOMAR Helmholtz Center for Ocean Research Kiel; Nanyang Technological University; Academia Sinica - Taiwan; National Taiwan University</t>
  </si>
  <si>
    <t>Schindlbeck, JC (corresponding author), Heidelberg Univ, Inst Earth Sci, Heidelberg, Germany.</t>
  </si>
  <si>
    <t>julie.schindlbeck@geow.uni-heidelberg.de</t>
  </si>
  <si>
    <t>Wang, Kuo-Lung/B-7399-2009</t>
  </si>
  <si>
    <t>Wang, Kuo-Lung/0000-0002-6447-2168; Belo, Julie Christin/0000-0001-5865-3272; Eisele, Steffen/0000-0001-6310-7372</t>
  </si>
  <si>
    <t>German Research Foundation [KU-2685/2-1, KU-2685/2-2]</t>
  </si>
  <si>
    <t>German Research Foundation(German Research Foundation (DFG))</t>
  </si>
  <si>
    <t>The Integrated Ocean Discovery Program provided shipboard data and samples. We appreciate the help of IODP staff during sampling in College Station, TX. The German Research Foundation funded this project (grant KU-2685/2-1&amp;2). We kindly thank K. Strehlow, I. Rohr, T. Wollenschlager, and K. Fockenberg for sample preparation and M. Thoner, J. Fietzke, D. Rau, F. Lin, Y. Chien, and C. Hung for lab assistance. We appreciate the comments from two anonymous reviewers, which helped to improve the manuscript. The authors declare no real or perceived financial conflicts of interests. All data are available in the supporting information.</t>
  </si>
  <si>
    <t>10.1029/2018GC007832</t>
  </si>
  <si>
    <t>HD7JI</t>
  </si>
  <si>
    <t>Green Accepted, Green Published, Bronze</t>
  </si>
  <si>
    <t>WOS:000452727800003</t>
  </si>
  <si>
    <t>Badyukov, DD; Brandstaetter, F; Topa, D</t>
  </si>
  <si>
    <t>Badyukov, D. D.; Brandstaetter, F.; Topa, D.</t>
  </si>
  <si>
    <t>Fine-Grained Scoriaceous and Unmelted Micrometeorites: Sources and Relationships with Cosmic Spherules</t>
  </si>
  <si>
    <t>GEOCHEMISTRY INTERNATIONAL</t>
  </si>
  <si>
    <t>cosmic dust; micrometeorites; carbonaceous chondrites; cosmic spherules</t>
  </si>
  <si>
    <t>ANTARCTIC MICROMETEORITES; CARBONACEOUS CHONDRITES; RICH MICROMETEORITES; ACCRETION RATE; TAGISH LAKE; METEORITES; MINERALOGY; MATRICES; ABUNDANCE; OXYGEN</t>
  </si>
  <si>
    <t>185 fine-grained micrometeorites (FgMMs) from the Novaya Zemlya micrometeorite collection were studied to elucidate the sources of cosmic dust. The compositions of the micrometeorites were compared with those of carbonaceous chondrites and cosmic spherules. FgMMs were weakly or moderately heated when decelerated in the atmosphere, and some of them thereby retained their original textures (unmelted FgMMs), while others consist mostly of porous degassing products of phyllosilicates (scoriaceous FgMMs). According to the composition of their matrix, we divide the FgMMs into two groups: high- and low-Fe. The textures and compositions of the FgMMs are generally similar to those of the matrix of carbonaceous chondrites. The FgMM group with high-Fe matrix corresponds to the composition of CI, CM, CO, and CR chondrites, which may have been a source of these meteorites. Conversely, the low-Fe group of FgMMs differs from chondrites of these groups and is likely related to the carbonate-poor matrix of the Tagish Lake carbonaceous chondrite or is presented by a material that is still absent from meteorite collections. We have compared the compositions of the FgMMs with the compositions of various types of cosmic spherules (CSs), which were produced by melting of micrometeoroids (cosmic dust particles) at their deceleration in the atmosphere. Both original and published data on CS compositions are used. Porphyritic and barred textural varieties of CSs could have been produced from micrometeoroids similar in the compositions to the high-Fe FgMMs, whereas low-Fe micrometeoroids might have been precursors of cryptocrystalline and glass CSs.</t>
  </si>
  <si>
    <t>[Badyukov, D. D.] Russian Acad Sci, Vernadsky Inst Geochem &amp; Analyt Chem GEOKhI, Moscow 119991, Russia; [Brandstaetter, F.; Topa, D.] Nat Hist Museum Wien, Burgring 7, A-1010 Vienna, Austria</t>
  </si>
  <si>
    <t>Russian Academy of Sciences; Vernadsky Institute of Geochemistry &amp; Analytical Chemistry</t>
  </si>
  <si>
    <t>Badyukov, DD (corresponding author), Russian Acad Sci, Vernadsky Inst Geochem &amp; Analyt Chem GEOKhI, Moscow 119991, Russia.;Brandstaetter, F; Topa, D (corresponding author), Nat Hist Museum Wien, Burgring 7, A-1010 Vienna, Austria.</t>
  </si>
  <si>
    <t>badyukov@geokhi.ru; franz.brandstaetter@nhm-wien.ac.at; dan.topa@nhm-wien.ac.at</t>
  </si>
  <si>
    <t>Badyukov, Dmitry/AAN-7296-2020</t>
  </si>
  <si>
    <t>Russian Science Foundation [17-17-012790]</t>
  </si>
  <si>
    <t>Russian Science Foundation(Russian Science Foundation (RSF))</t>
  </si>
  <si>
    <t>The authors thank O.I. Yakovlev, the anonymous reviewer, and O.A. Lukanin for comments that allowed us to improve the manuscript. This study was financially supported by Russian Science Foundation, Grant 17-17-012790.</t>
  </si>
  <si>
    <t>0016-7029</t>
  </si>
  <si>
    <t>1556-1968</t>
  </si>
  <si>
    <t>GEOCHEM INT+</t>
  </si>
  <si>
    <t>Geochem. Int.</t>
  </si>
  <si>
    <t>10.1134/S0016702918110022</t>
  </si>
  <si>
    <t>HA3YS</t>
  </si>
  <si>
    <t>WOS:000450194600002</t>
  </si>
  <si>
    <t>Ji, F; Li, F; Gao, JY; Zhang, Q; Hao, WF</t>
  </si>
  <si>
    <t>Ji, Fei; Li, Fei; Gao, Jin-Yao; Zhang, Qiao; Hao, Wei-Feng</t>
  </si>
  <si>
    <t>3-D density structure of the Ross Sea basins, West Antarctica from constrained gravity inversion and their tectonic implications</t>
  </si>
  <si>
    <t>GEOPHYSICAL JOURNAL INTERNATIONAL</t>
  </si>
  <si>
    <t>Joint inversion; Crustal structure; Dynamics:gravity and tectocnis; Rheology:crust and lithosphere; Antarctica</t>
  </si>
  <si>
    <t>NONVOLCANIC RIFTED MARGINS; UPPER-MANTLE STRUCTURE; TRANSANTARCTIC MOUNTAINS; CONTINENTAL EXTENSION; SEDIMENT THICKNESS; CRUSTAL EXTENSION; STRUCTURE BENEATH; HEAT-FLOW; NORTH-SEA; SUBSIDENCE</t>
  </si>
  <si>
    <t>Crustal structure provides critical information for understanding the rifting and extensional history (i.e. the regional tectonic evolution) of the Ross Sea basins. Although this area has been investigated using large numbers of 2-D seismic reflection profiles collected during different cruises over the past several decades, its crustal-scale geological structure is still poorly known. This paper reports new information on the 3-D density structure of the Ross Sea obtained using gravity inversion performed with the GRAV3D algorithm and other forms of geophysical data, including free-air gravity anomaly, bathymetry and sediment thickness measurements. Combined with the published wide-angle refraction seismic results from the Antarctic Crustal Profile project, Moho depths and upper and lower crustal thicknesses are inferred. Our results show that the inverted Moho depths and the boundaries of the upper and lower crust are largely consistent with the results of seismic studies. Under the sedimentary basins of the Ross Sea, the Moho generally occurs at depths of 13-18 km, corresponding to crustal thicknesses of 7-12 km; on the other hand, under basement highs, the Moho occurs at much greater depths of up to approximately 24-30 km in the northern part of the Coulman High, the Central High and Iselin Bank. Further, the stretching factors of the crust as a whole and the upper and lower crust (beta(w), beta(u) and beta(l), respectively) are investigated by assuming the corresponding initial thickness. Depth-dependent stretching, in which crustal thinning increases with depth (i.e. the values of beta(l) exceeds those of beta(w) and beta(u)), is observed under the Ross Sea basins. These discrepancies between the values of beta for different parts of the crust suggest that the crust in the Ross Sea basins has experienced nonuniform crustal thinning. Together with published Curie point depth data, our results indicate that the Curie point lies beneath the Moho under the Victoria Land Basin and Central High, suggesting that the uppermost mantle is magnetized. We speculate that this magnetism is the result of serpentinization.</t>
  </si>
  <si>
    <t>[Ji, Fei; Li, Fei; Hao, Wei-Feng] Wuhan Univ, Chinese Antarctic Ctr Surveying &amp; Mapping, Wuhan 430079, Hubei, Peoples R China; [Ji, Fei; Gao, Jin-Yao; Zhang, Qiao] State Ocean Adm, Key Lab Submarine Geosci, Hangzhou 310012, Zhejiang, Peoples R China; [Ji, Fei; Gao, Jin-Yao; Zhang, Qiao] State Ocean Adm, Inst Oceanog 2, Hangzhou 310012, Zhejiang, Peoples R China</t>
  </si>
  <si>
    <t>fli@whu.edu.cn; jygao@mail.hz.zj.cn</t>
  </si>
  <si>
    <t>GAO, Jinyao/HHN-6642-2022</t>
  </si>
  <si>
    <t>ji, fei/0000-0003-4314-682X</t>
  </si>
  <si>
    <t>National Science Foundation of China [41576069, 41531069, 41706215]; Scientific Research Fund of the Second Institute of Oceanography, State Oceanic Administraion [17010261]</t>
  </si>
  <si>
    <t>National Science Foundation of China(National Natural Science Foundation of China (NSFC)); Scientific Research Fund of the Second Institute of Oceanography, State Oceanic Administraion</t>
  </si>
  <si>
    <t>This research was supported by the National Science Foundation of China (grant numbers 41576069, 41531069 and 41706215) and the Scientific Research Fund of the Second Institute of Oceanography, State Oceanic Administraion (grant number 17010261). This paper benefited from discussions with Yangfan Deng, Tao Zhang and Zhaocai Wu. We are grateful to the University of British Columbia in Canada for providing us with the software library GRAV3D v5.0 that we used to perform the gravity inversions. All of the projected figures in this paper were made using GMT (Wessel &amp; Smith 1998). We thank Prof Ritzwoller (the editor), Dr. Siddoway and Dr. Welford for their valuable comments and suggestions that greatly improved the manuscript. The data used in this study are available from corresponding author upon request.</t>
  </si>
  <si>
    <t>0956-540X</t>
  </si>
  <si>
    <t>1365-246X</t>
  </si>
  <si>
    <t>GEOPHYS J INT</t>
  </si>
  <si>
    <t>Geophys. J. Int.</t>
  </si>
  <si>
    <t>10.1093/gji/ggy343</t>
  </si>
  <si>
    <t>GY7KT</t>
  </si>
  <si>
    <t>WOS:000448789900032</t>
  </si>
  <si>
    <t>Le Guen, C; Kato, A; Raymond, B; Barbraud, C; Beaulieu, M; Bost, CA; Delord, K; MacIntosh, AJJ; Meyer, X; Raclot, T; Sumner, M; Takahashi, A; Thiebot, JB; Ropert-Coudert, Y</t>
  </si>
  <si>
    <t>Le Guen, Camille; Kato, Akiko; Raymond, Ben; Barbraud, Christophe; Beaulieu, Michael; Bost, Charles-Andre; Delord, Karine; MacIntosh, Andrew J. J.; Meyer, Xavier; Raclot, Thierry; Sumner, Michael; Takahashi, Akinori; Thiebot, Jean-Baptiste; Ropert-Coudert, Yan</t>
  </si>
  <si>
    <t>Reproductive performance and diving behaviour share a common sea-ice concentration optimum in Adelie penguins (Pygoscelis adeliae)</t>
  </si>
  <si>
    <t>GLOBAL CHANGE BIOLOGY</t>
  </si>
  <si>
    <t>Antarctic; breeding success; diving activity; foraging strategies; Pygoscelis adeliae; sea ice</t>
  </si>
  <si>
    <t>FORAGING BEHAVIOR; ENVIRONMENTAL VARIABILITY; POPULATION-DYNAMICS; BREEDING SUCCESS; FRACTAL ANALYSIS; MARINE PREDATOR; CLIMATE-CHANGE; ECOSYSTEM; COMPLEXITY; SEABIRDS</t>
  </si>
  <si>
    <t>The Southern Ocean is currently experiencing major environmental changes, including in sea-ice cover. Such changes strongly influence ecosystem structure and functioning and affect the survival and reproduction of predators such as seabirds. These effects are likely mediated by reduced availability of food resources. As such, seabirds are reliable eco-indicators of environmental conditions in the Antarctic region. Here, based on 9 years of sea-ice data, we found that the breeding success of Adelie penguins (Pygoscelis adeliae) reaches a peak at intermediate sea-ice cover (ca. 20%). We further examined the effects of sea-ice conditions on the foraging activity of penguins, measured at multiple scales from individual dives to foraging trips. Analysis of temporal organisation of dives, including fractal and bout analyses, revealed an increasingly consistent behaviour during years with extensive sea-ice cover. The relationship between several dive parameters and sea-ice cover in the foraging area appears to be quadratic. In years of low and high sea-ice cover, individuals adjusted their diving effort by generally diving deeper, more frequently and by resting at the surface between dives for shorter periods of time than in years with intermediate sea-ice cover. Our study therefore suggests that sea-ice cover is likely to affect the reproductive performance of Adelie penguins through its effects on foraging behaviour, as breeding success and most diving parameters share a common optimum. Some years, however, deviated from this general trend, suggesting that other factors (e.g. precipitation during the breeding season) might sometimes become preponderant over the sea-ice effects on breeding and foraging performance. Our study highlights the value of monitoring fitness parameters and individual behaviour concomitantly over the long-term to better characterize optimal environmental conditions and potential resilience of wildlife. Such an approach is crucial if we want to anticipate the effects of environmental change on Antarctic penguin populations.</t>
  </si>
  <si>
    <t>[Le Guen, Camille; Kato, Akiko; Barbraud, Christophe; Bost, Charles-Andre; Delord, Karine; Ropert-Coudert, Yan] Univ La Rochelle, Ctr Etud Biol Chize, CNRS, UMR7372, Villiers En Bois, France; [Raymond, Ben; Sumner, Michael] Australian Govt, Dept Environm, Australian Antarctic Div, Kingston, Tas, Australia; [Beaulieu, Michael] Univ Greifswald, Zool Inst &amp; Museum, Greifswald, Germany; [Beaulieu, Michael] German Oceanog Museum, Stralsund, Germany; [MacIntosh, Andrew J. J.] Kyoto Univ, Primate Res Inst, Inuyama, Aichi, Japan; [Meyer, Xavier; Raclot, Thierry] Univ Strasbourg, UMR7178, Inst Pluridisciplinaire Hubert Curien, CNRS, Strasbourg, France; [Takahashi, Akinori; Thiebot, Jean-Baptiste] Natl Inst Polar Res, Tachikawa, Tokyo, Japan; [Takahashi, Akinori] SOKENDAI, Dept Polar Sci, Tokyo, Japan</t>
  </si>
  <si>
    <t>La Rochelle Universite; Centre National de la Recherche Scientifique (CNRS); CNRS - Institute of Ecology &amp; Environment (INEE); Australian Antarctic Division; Universitat Greifswald; Kyoto University; Universites de Strasbourg Etablissements Associes; Universite de Strasbourg; Centre National de la Recherche Scientifique (CNRS); CNRS - National Institute of Nuclear and Particle Physics (IN2P3); Research Organization of Information &amp; Systems (ROIS); National Institute of Polar Research (NIPR) - Japan; Graduate University for Advanced Studies - Japan</t>
  </si>
  <si>
    <t>Le Guen, C (corresponding author), Univ St Andrews, Sch Biol, Pelag Ecol Res Grp, St Andrews, Fife, Scotland.</t>
  </si>
  <si>
    <t>cam.leguen@gmail.com</t>
  </si>
  <si>
    <t>Sumner, Michael D/J-3478-2013; Kato, Akiko/W-2447-2019; Barbraud, Christophe/A-5870-2012; MacIntosh, Andrew/B-2242-2013; Beaulieu, Michaël/A-5261-2011</t>
  </si>
  <si>
    <t>Barbraud, Christophe/0000-0003-0146-212X; MacIntosh, Andrew/0000-0002-9136-7099; Beaulieu, Michaël/0000-0002-9948-269X; Sumner, Michael/0000-0002-2471-7511; Takahashi, Akinori/0000-0002-9868-0408; Meyer, Xavier/0000-0002-7713-5179; Kato, Akiko/0000-0002-8947-3634</t>
  </si>
  <si>
    <t>Japanese Government Mombukagakusho; Japanese Society for the Promotion of Science; Institut Polaire Francais Paul Emile Victor; World Wildlife Fund; Zone Atelier Antarctique et Subantarctique; SENSEI project from the BNP Paribas Climate Foundation</t>
  </si>
  <si>
    <t>Japanese Government Mombukagakusho; Japanese Society for the Promotion of Science(Ministry of Education, Culture, Sports, Science and Technology, Japan (MEXT)Japan Society for the Promotion of Science); Institut Polaire Francais Paul Emile Victor; World Wildlife Fund; Zone Atelier Antarctique et Subantarctique; SENSEI project from the BNP Paribas Climate Foundation</t>
  </si>
  <si>
    <t>The Japanese Government Mombukagakusho; The Japanese Society for the Promotion of Science; Institut Polaire Francais Paul Emile Victor; World Wildlife Fund; Zone Atelier Antarctique et Subantarctique; SENSEI project from the BNP Paribas Climate Foundation</t>
  </si>
  <si>
    <t>1354-1013</t>
  </si>
  <si>
    <t>1365-2486</t>
  </si>
  <si>
    <t>GLOBAL CHANGE BIOL</t>
  </si>
  <si>
    <t>Glob. Change Biol.</t>
  </si>
  <si>
    <t>10.1111/gcb.14377</t>
  </si>
  <si>
    <t>GX5CX</t>
  </si>
  <si>
    <t>WOS:000447760300025</t>
  </si>
  <si>
    <t>Su, P; Mayer, M</t>
  </si>
  <si>
    <t>Su, Ping; Mayer, Maximilian</t>
  </si>
  <si>
    <t>Science Diplomacy and Trust Building: 'Science China' in the Arctic</t>
  </si>
  <si>
    <t>GLOBAL POLICY</t>
  </si>
  <si>
    <t>Science diplomacy creates possibilities for trust building in international relations. We draw on studies of science, diplomacy, and trust in IR and explore Chinese scientific activities in the Arctic in order to sketch out four mechanisms that produce procedural and generalized forms of trust: the sharing of resources and infrastructure, personal interactions, science-based institutions, and spillover effects. The materials of the case of 'science China' also help to question assumptions about science diplomacy in IR as they illustrate its inherent tensions, boundaries, and limitations.</t>
  </si>
  <si>
    <t>[Su, Ping] Tongji Univ, Sch Polit Sci &amp; Int Relat, Shanghai, Peoples R China; [Mayer, Maximilian] Renmin Univ China, Ctr European Studies, Beijing, Peoples R China; [Mayer, Maximilian] Tongji Univ, German Studies Ctr, Shanghai, Peoples R China</t>
  </si>
  <si>
    <t>Tongji University; Renmin University of China; Tongji University</t>
  </si>
  <si>
    <t>Su, P (corresponding author), Tongji Univ, Sch Polit Sci &amp; Int Relat, Shanghai, Peoples R China.</t>
  </si>
  <si>
    <t>Mayer, Maximilian/0000-0002-1857-1413</t>
  </si>
  <si>
    <t>research project 'China's Arctic Science Diplomacy in the angle of Political Communication' - Shanghai Philosophy and Social Science [2015BGJ004]; International Cooperation Project 'China's Arctic Diplomatic Research' - China Arctic and Antarctic Administration, State Ocean Administration [201615]; MOE Key Research Institute of Humanities and Social Science at Universities Project, Project Title: The European Integration and German Policy Movements under Multiple Crises [17JJDGJW011]</t>
  </si>
  <si>
    <t>research project 'China's Arctic Science Diplomacy in the angle of Political Communication' - Shanghai Philosophy and Social Science; International Cooperation Project 'China's Arctic Diplomatic Research' - China Arctic and Antarctic Administration, State Ocean Administration; MOE Key Research Institute of Humanities and Social Science at Universities Project, Project Title: The European Integration and German Policy Movements under Multiple Crises</t>
  </si>
  <si>
    <t>This paper is supported by the research project 'China's Arctic Science Diplomacy in the angle of Political Communication' (Grant No. 2015BGJ004) funded by Shanghai Philosophy and Social Science Funding. This paper is supported by International Cooperation Project 'China's Arctic Diplomatic Research' funded by China Arctic and Antarctic Administration, State Ocean Administration (Grant No. 201615). This paper is also supported by the MOE Key Research Institute of Humanities and Social Science at Universities Project, Project Title: The European Integration and German Policy Movements under Multiple Crises, Project No. 17JJDGJW011.</t>
  </si>
  <si>
    <t>1758-5880</t>
  </si>
  <si>
    <t>1758-5899</t>
  </si>
  <si>
    <t>GLOB POLICY</t>
  </si>
  <si>
    <t>Glob. Policy</t>
  </si>
  <si>
    <t>10.1111/1758-5899.12576</t>
  </si>
  <si>
    <t>International Relations; Political Science</t>
  </si>
  <si>
    <t>International Relations; Government &amp; Law</t>
  </si>
  <si>
    <t>HC2AK</t>
  </si>
  <si>
    <t>WOS:000451604300004</t>
  </si>
  <si>
    <t>Lundholm, N; Krock, B; John, U; Skov, J; Cheng, JF; Pancic, M; Wohlrab, S; Rigby, K; Nielsen, TG; Selander, E; Hardardóttir, S</t>
  </si>
  <si>
    <t>Lundholm, Nina; Krock, Bernd; John, Uwe; Skov, Jette; Cheng, Jinfeng; Pancic, Marina; Wohlrab, Sylke; Rigby, Kristie; Nielsen, Torkel Gissel; Selander, Erik; Hardardottir, Sara</t>
  </si>
  <si>
    <t>Induction of domoic acid production in diatoms-Types of grazers and diatoms are important</t>
  </si>
  <si>
    <t>HARMFUL ALGAE</t>
  </si>
  <si>
    <t>Co-evolution; Cost; Diatom; Copepod; Defensive response; Grazing; Induction; Toxin production; Domoic acid; Pseudo-nitzschia; Trade-off</t>
  </si>
  <si>
    <t>PHAEOCYSTIS-GLOBOSA PRYMNESIOPHYCEAE; PSEUDO-NITZSCHIA; TOXIN PRODUCTION; CALANOID COPEPODS; COLONY FORMATION; MARINE; ZOOPLANKTON; BACILLARIOPHYCEAE; PHYTOPLANKTON; GROWTH</t>
  </si>
  <si>
    <t>Grazers can induce toxin (domoic acid, DA) production in diatoms. The toxic response has been observed in two species of Pseudo-nitzschia and was induced by Calanus copepods. In this study, interactions between diatoms and copepods were further explored using different species of diatoms and copepods. All herbivorous copepods induced toxin production, whereas exposure to carnivorous copepods did not. In line with this, increasing the number of herbivorous copepods resulted in even higher toxin production. The induced response is thus only elicited by copepods that pose a real threat to the responding cells, which supports that the induced toxin production in diatoms evolved as an inducible defense. The cellular toxin content in Pseudo-nitzschia was positively correlated to the concentration of a group of specific polar lipids called copepodamides that are excreted by the copepods. This suggests that copepodamides are the chemical cues responsible for triggering the toxin production. Carnivorous copepods were found to produce less or no copepodamides. Among the diatoms exposed to grazing herbivorous copepods, only two of six species of Pseudo-nitzschia and none of the Nitzschia or Fragilariopsis strains responded by producing DA, indicating that not all Pseudo-nitzschia species/strains are able to produce DA, and that different diatom species might have different strategies for coping with grazing pressure. Growth rate was negatively correlated to cellular domoic acid content indicating an allocation cost associated with toxin production. Long-term grazing experiments showed higher mortality rates of grazers fed toxic diatoms, supporting the hypothesis that DA production is an induced defense mechanism.</t>
  </si>
  <si>
    <t>[Lundholm, Nina; Pancic, Marina; Hardardottir, Sara] Univ Copenhagen, Nat Hist Museum Denmark, Solvgade 83S, DK-1307 Copenhagen, Denmark; [Krock, Bernd; John, Uwe; Wohlrab, Sylke] Helmholtz Ctr Polar &amp; Marine Res, Alfred Wegener Inst, Handelshafen 12, D-27570 Bremerhaven, Germany; [John, Uwe; Wohlrab, Sylke] HIFMB, Ammerlander Heerstr 231, D-23129 Oldenburg, Germany; [Skov, Jette] Tech &amp; Environm Adm, Environm Protect Dept, Water &amp; EIA, Njalsgade 13, DK-2300 Copenhagen S, Denmark; [Cheng, Jinfeng] Northwest A&amp;F Univ, Coll Life Sci, Yangling 712100, Shaanxi, Peoples R China; [Pancic, Marina] Tech Univ Denmark, Ctr Ocean Life, Bldg 202 Kemitorvet,Lyngby Campus, DK-2800 Lyngby, Denmark; [Rigby, Kristie; Selander, Erik] Univ Gothenburg, Dept Marine Sci, Carl Skottsbergsgata 22B, SE-45030 Gothenburg, Sweden; [Nielsen, Torkel Gissel] Tech Univ Denmark, Natl Inst Aquat Resources, Bldg 201 Kemitorvet,Lyngby Campus, DK-2800 Lyngby, Denmark</t>
  </si>
  <si>
    <t>University of Copenhagen; Helmholtz Association; Alfred Wegener Institute, Helmholtz Centre for Polar &amp; Marine Research; Northwest A&amp;F University - China; Technical University of Denmark; University of Gothenburg; Technical University of Denmark</t>
  </si>
  <si>
    <t>Lundholm, N (corresponding author), Univ Copenhagen, Nat Hist Museum Denmark, Solvgade 83S, DK-1307 Copenhagen, Denmark.</t>
  </si>
  <si>
    <t>nlundholm@snm.ku.dk; bernd.krock@awi.de; uwe.john@awi.de; jskov18@gmail.com; chengjinfeng@nwafu.edu.cn; marpan@aqua.dtu.dk; sylke.wohlrab@awi.de; tgin@aqua.dtu.dk; erik.selander@marine.gu.se; sara.Hardardottir@snm.ku.dk</t>
  </si>
  <si>
    <t>Lundholm, Nina/AAY-6249-2020; Nielsen, Torkel Gissel/HLQ-4981-2023; Hardardottir, Sara/N-8000-2019; Krock, Bernd/ABB-7541-2020; john, uwe/S-3009-2016; Wohlrab, Sylke/R-7435-2016</t>
  </si>
  <si>
    <t>Lundholm, Nina/0000-0002-2035-1997; Hardardottir, Sara/0000-0001-6213-6657; Nielsen, Torkel Gissel/0000-0003-1057-158X; Wohlrab, Sylke/0000-0003-3190-0880; Rigby, Kristie/0000-0002-6305-4773; Selander, Erik/0000-0002-2579-0841</t>
  </si>
  <si>
    <t>Independent Research Fund Denmark [DFF-1323-00258]</t>
  </si>
  <si>
    <t>Independent Research Fund Denmark(Det Frie Forskningsrad (DFF))</t>
  </si>
  <si>
    <t>Funding for this project was by the Independent Research Fund Denmark, Grant DFF-1323-00258 to NL. We wish to thank Urban Tillmann for an Antarctic Pseudo-nitzschia strain, Thomas Kiorboe for providing Acartia tonsa and giving valuable input to the discussion, Ditte Marie Hjort for help and extra hands in Greenland, and the crew on Arctic Station and local hunters in Qeqertarsuaq for valuable help and advice. [SS]</t>
  </si>
  <si>
    <t>1568-9883</t>
  </si>
  <si>
    <t>1878-1470</t>
  </si>
  <si>
    <t>Harmful Algae</t>
  </si>
  <si>
    <t>10.1016/j.hal.2018.06.005</t>
  </si>
  <si>
    <t>HC2TS</t>
  </si>
  <si>
    <t>WOS:000451655400007</t>
  </si>
  <si>
    <t>Wangner, DJ; Jennings, AE; Vermassen, F; Dyke, LM; Hogan, KA; Schmidt, S; Kjær, KH; Knudsen, MF; Andresen, CS</t>
  </si>
  <si>
    <t>Wangner, David J.; Jennings, Anne E.; Vermassen, Flor; Dyke, Laurence M.; Hogan, Kelly A.; Schmidt, Sabine; Kjaer, Kurt H.; Knudsen, Mads F.; Andresen, Camilla S.</t>
  </si>
  <si>
    <t>A 2000-year record of ocean influence on Jakobshavn IsbrÆ calving activity, based on marine sediment cores</t>
  </si>
  <si>
    <t>HOLOCENE</t>
  </si>
  <si>
    <t>Disko Bugt; foraminifera; Greenland; Holocene; ice-rafted debris; Jakobshavn Isbr AE; palaeoclimatology; West Greenland Current</t>
  </si>
  <si>
    <t>GREENLAND ICE-SHEET; HOLOCENE OCEANOGRAPHIC VARIABILITY; DISKO-BUGT; WEST GREENLAND; EAST GREENLAND; GLACIMARINE SEDIMENTATION; ENVIRONMENTAL-CHANGE; TEMPERATURE RECORDS; CLIMATE VARIABILITY; GLACIER</t>
  </si>
  <si>
    <t>The Greenland Ice Sheet has experienced significant mass loss in recent years. A substantial component of this is attributable to the retreat of marine-terminating outlet glaciers, which lose mass through increases in calving, submarine melting and terrestrial meltwater discharge. In terms of iceberg production, Jakobshavn Isbr AE is the largest marine-terminating glacier in Greenland, yet relatively little is known about its history before the first glacier margin observations in 1851. Two marine sediment cores obtained 15 and 19 km northwest from the mouth of Jakobshavn Isfjord were analysed to reconstruct the past behaviour of Jakobshavn Isbr AE and to investigate the response of the glacier system to ocean forcing. These records provide long-term (2000) context for assessing the significance of the rapid changes in glacier stability over the last century. The X-ray imagery and high-resolution grain size analysis from both cores reveal distinct multi-centennial-scale changes in the flux of iceberg-rafted debris (IRD) from Jakobshavn Isbr AE. Foraminiferal analysis shows that variability in the relatively warm West Greenland Current (WGC) may have been an important driver of calving activity at Jakobshavn Isbr AE. We find that iceberg rafting and WGC inflow were relatively high from onset of the record, at 60 BC, until AD 1100. Subsequently, the inflow of the WGC into Disko Bugt decreased. This was accompanied by a dramatic reduction in IRD from AD 1500 to 1850, which is attributed to the establishment of a floating ice tongue. We also show that ocean warming in the 20th century is part of a longer-term warming trend in the WGC which started at around AD 1700. Finally, these new records underline the complexity of glaciomarine sediments; IRD variability was driven by the inflow of the WGC but was also modulated by a complex interplay of air temperature, sea-ice coverage and ice margin proximity.</t>
  </si>
  <si>
    <t>[Wangner, David J.; Vermassen, Flor; Dyke, Laurence M.; Andresen, Camilla S.] Geol Survey Denmark &amp; Greenland GEUS, Dept Glaciol &amp; Climate, Oster Voldgade 10, DK-1350 Copenhagen K, Denmark; [Wangner, David J.; Vermassen, Flor; Kjaer, Kurt H.] Univ Copenhagen, Ctr GeoGenet, Nat Hist Museum, Copenhagen, Denmark; [Jennings, Anne E.] Univ Colorado Boulder, INSTAAR, Boulder, CO USA; [Jennings, Anne E.] Univ Colorado Boulder, Dept Geol Sci, Boulder, CO USA; [Hogan, Kelly A.] British Antarctic Survey, Cambridge, England; [Schmidt, Sabine] Univ Bordeaux, UMR EPOC 5805, Bordeaux, France; [Knudsen, Mads F.] Univ Aarhus, Dept Earth Sci, Aarhus, Denmark</t>
  </si>
  <si>
    <t>Geological Survey Of Denmark &amp; Greenland; University of Copenhagen; University of Colorado System; University of Colorado Boulder; University of Colorado System; University of Colorado Boulder; UK Research &amp; Innovation (UKRI); Natural Environment Research Council (NERC); NERC British Antarctic Survey; Centre National de la Recherche Scientifique (CNRS); Universite de Bordeaux; Aarhus University</t>
  </si>
  <si>
    <t>Wangner, DJ (corresponding author), Geol Survey Denmark &amp; Greenland GEUS, Dept Glaciol &amp; Climate, Oster Voldgade 10, DK-1350 Copenhagen K, Denmark.</t>
  </si>
  <si>
    <t>djw@geus.dk</t>
  </si>
  <si>
    <t>Schmidt, Sabine/G-1193-2013; Andresen, Camilla S./G-2718-2013; Vermassen, Flor/HNI-1959-2023; Knudsen, Mads Faurschou/H-4842-2012; Wangner, David J./AAA-7280-2021; Kjaer, Kurt/A-4199-2013</t>
  </si>
  <si>
    <t>Schmidt, Sabine/0000-0002-5985-9747; Andresen, Camilla S./0000-0002-5249-1812; Kjaer, Kurt/0000-0002-8871-5179; Vermassen, Flor/0000-0003-0276-1973; Wangner, David Johannes/0000-0002-3042-4598; Dyke, Laurence/0000-0003-4306-6125</t>
  </si>
  <si>
    <t>VILLUM Foundation [10100]; NERC [bas0100030] Funding Source: UKRI</t>
  </si>
  <si>
    <t>VILLUM Foundation(Villum Fonden); NERC(UK Research &amp; Innovation (UKRI)Natural Environment Research Council (NERC))</t>
  </si>
  <si>
    <t>The project 'Past and future dynamics of the Greenland Ice Sheet: what is the ocean hiding?' is funded by the VILLUM Foundation (grant no. 10100).</t>
  </si>
  <si>
    <t>0959-6836</t>
  </si>
  <si>
    <t>1477-0911</t>
  </si>
  <si>
    <t>Holocene</t>
  </si>
  <si>
    <t>10.1177/0959683618788701</t>
  </si>
  <si>
    <t>GZ3KJ</t>
  </si>
  <si>
    <t>WOS:000449285200005</t>
  </si>
  <si>
    <t>Hornborg, S; Hobday, AJ; Ziegler, F; Smith, ADM; Green, BS</t>
  </si>
  <si>
    <t>Hornborg, Sara; Hobday, Alistair J.; Ziegler, Friederike; Smith, Anthony D. M.; Green, Bridget S.</t>
  </si>
  <si>
    <t>Shaping sustainability of seafood from capture fisheries integrating the perspectives of supply chain stakeholders through combining systems analysis tools</t>
  </si>
  <si>
    <t>Dissostichus eleginoides; ecological risk assessment; fisheries; fuel; Life Cycle Assessment; sustainable seafood products</t>
  </si>
  <si>
    <t>MANAGEMENT; STEWARDSHIP</t>
  </si>
  <si>
    <t>Seafood from capture fisheries can be assessed in many ways and for different purposes, with sometimes divergent views on what characterizes sustainable use. Here we use two systems analysis tools-Ecological Risk Assessment for Effects of Fishing (ERAEF) and Life Cycle Assessment (LCA)-over the historical development of the Australian Patagonian toothfish fishery at Heard and McDonald Islands since the start in 1997. We find that ecological risks have been systematically identified in the management process using ERAEF, and with time have been mitigated, resulting in a lower risk fishery from an ecological impact perspective. LCA inventory data from the industry shows that fuel use per kilo has increased over the history of the fishery. Our results suggest that LCA and ERAEF may provide contrasting and complementary perspectives on sustainability and reveal trade-offs when used in combination. Incorporation of LCA perspectives in assessing impacts of fishing may facilitate refinement of ecosystem-based fisheries management, such as improved integration of the different perspectives of supply chain stakeholders.</t>
  </si>
  <si>
    <t>[Hornborg, Sara; Ziegler, Friederike] RISE Res Inst Sweden, Agrifood &amp; Biosci, POB 5401, SE-40229 Gothenburg, Sweden; [Hornborg, Sara; Hobday, Alistair J.; Smith, Anthony D. M.] CSIRO Oceans &amp; Atmosphere, Hobart, Tas 7001, Australia; [Hornborg, Sara; Hobday, Alistair J.; Smith, Anthony D. M.] Univ Tasmania, Ctr Marine Socioecol, Hobart, Tas 7001, Australia; [Hornborg, Sara; Smith, Anthony D. M.; Green, Bridget S.] Univ Tasmania, Inst Marine &amp; Antarctic Studies, 15-21 Nubeena Crescent, Taroona, Tas 7053, Australia</t>
  </si>
  <si>
    <t>RISE Research Institutes of Sweden; Commonwealth Scientific &amp; Industrial Research Organisation (CSIRO); University of Tasmania; University of Tasmania</t>
  </si>
  <si>
    <t>Hornborg, S (corresponding author), RISE Res Inst Sweden, Agrifood &amp; Biosci, POB 5401, SE-40229 Gothenburg, Sweden.;Hornborg, S (corresponding author), CSIRO Oceans &amp; Atmosphere, Hobart, Tas 7001, Australia.;Hornborg, S (corresponding author), Univ Tasmania, Ctr Marine Socioecol, Hobart, Tas 7001, Australia.;Hornborg, S (corresponding author), Univ Tasmania, Inst Marine &amp; Antarctic Studies, 15-21 Nubeena Crescent, Taroona, Tas 7053, Australia.</t>
  </si>
  <si>
    <t>sara.hornborg@ri.se</t>
  </si>
  <si>
    <t>Hobday, Alistair/A-1460-2012; Green, Bridget S/G-3368-2014</t>
  </si>
  <si>
    <t>Hornborg, Sara/0000-0003-0814-5258</t>
  </si>
  <si>
    <t>Swedish Research Council Formas [2016-00455]; Swedish Research Council [2016-00455] Funding Source: Swedish Research Council; Formas [2016-00455] Funding Source: Formas</t>
  </si>
  <si>
    <t>Swedish Research Council Formas(Swedish Research Council Formas); Swedish Research Council(Swedish Research Council); Formas(Swedish Research Council Formas)</t>
  </si>
  <si>
    <t>The authors would like to express deep gratitude to Rhys Arangio and Martin Exel at Austral Fisheries Pty Ltd, for kindly providing industry data and sharing experiences from the fishery (without any influence on outline of study), and the Swedish Research Council Formas for funding (mobility grant 2016-00455).</t>
  </si>
  <si>
    <t>10.1093/icesjms/fsy081</t>
  </si>
  <si>
    <t>HC9ML</t>
  </si>
  <si>
    <t>hybrid, Green Submitted, Green Accepted, Green Published</t>
  </si>
  <si>
    <t>WOS:000452130300011</t>
  </si>
  <si>
    <t>Rodríguez-Barreras, R; Montañez-Acuña, A; Otaño-Cruz, A; Ling, SD</t>
  </si>
  <si>
    <t>Rodriguez-Barreras, Ruber; Montanez-Acuna, Alfredo; Otano-Cruz, Abimarie; Ling, Scott D.</t>
  </si>
  <si>
    <t>Apparent stability of a low-density Diadema antillarum regime for Puerto Rican coral reefs</t>
  </si>
  <si>
    <t>Caribbean; coral reefs; demography; Diadema; macroalgae; phase-shift; population recovery</t>
  </si>
  <si>
    <t>MASS MORTALITY; POPULATION-DYNAMICS; LA-PARGUERA; RECOVERY; RECRUITMENT; ECHINODERMATA; ECHINOIDEA; HERBIVORE; PHILIPPI; PATTERN</t>
  </si>
  <si>
    <t>Caribbean reefs have suffered decline in coral cover in recent decades due to recurrent anthropogenic and natural stressors. The regional collapse of the sea urchin Diadema antillarum, combined with overfishing, has contributed to a phase-shift of coral reef communities towards fleshy macroalgal dominance. Here, we examine the population dynamics of D. antillarum at five sites in Puerto Rico from 2011 to 2016 and determine trends between the sea urchin and local benthic habitats. The sea urchin population exhibited low but stable densities (with slight, but non-significant trend of increase), yet showed variability between sites. Large urchins (&gt;60mm test diam.) were the most abundant across sites and through time, followed by medium urchins (41-60mm test diam.), whereas small individuals (&lt;40 mm) were rare, indicating recruitment-limitation. Spatial and temporal differences in benthic habitats were not related to local D. antillarum abundances. Macroalgae cover declined at all sites over the 6 years, ranging 5-86%, whereas live coral cover also decreased across all sites (ranging 4-38%). Diadema antillarum populations in Puerto Rico appear stable with limited evidence for recovery trends back to pre-mass mortality densities. Full population recovery may take longer than expected; however, evidence indicates that the contemporary low-density D. antillarum population represents a novel stable regime.</t>
  </si>
  <si>
    <t>[Rodriguez-Barreras, Ruber] Univ Puerto Rico, Dept Biol, Zona Ind Minillas,170,PR-174, Bayamon, PR 00959 USA; [Montanez-Acuna, Alfredo] Univ Puerto Rico, Grad Sch Planning, Rio Piedras Campus,POB 13573, San Juan, PR 00908 USA; [Otano-Cruz, Abimarie] Univ Puerto Rico, Dept Environm Sci, POB 70377, San Juan, PR 00936 USA; [Ling, Scott D.] Univ Tasmania, Inst Marine &amp; Antarctic Studies, Hobart, Tas 7001, Australia</t>
  </si>
  <si>
    <t>University of Puerto Rico; Universidad Central de Bayamon; University of Puerto Rico; University of Puerto Rico Rio Piedras; University of Puerto Rico; University of Puerto Rico Rio Piedras; University of Tasmania</t>
  </si>
  <si>
    <t>Rodríguez-Barreras, R (corresponding author), Univ Puerto Rico, Dept Biol, Zona Ind Minillas,170,PR-174, Bayamon, PR 00959 USA.</t>
  </si>
  <si>
    <t>ruber.rodriguez@upr.edu</t>
  </si>
  <si>
    <t>Ling, Scott/J-7161-2014</t>
  </si>
  <si>
    <t>10.1093/icesjms/fsy093</t>
  </si>
  <si>
    <t>WOS:000452130300032</t>
  </si>
  <si>
    <t>PC index as a proxy of the solar wind energy that entered into the magnetosphere: 3. Development of magnetic storms</t>
  </si>
  <si>
    <t>Polar cap magnetic activity; PC index; Magnetic storms; SymH index; CME and SIR solar drivers; PC evolution and storm progression; Delay time</t>
  </si>
  <si>
    <t>MAIN PHASE; POLAR-CAP; INTERPLANETARY; CIR; GEOEFFECTIVENESS; PARAMETERS; DEPENDENCE; INTENSE; DRIVEN</t>
  </si>
  <si>
    <t>Relationships between the 30-min smoothed PC and SyinH indices in course of 430 magnetic storms observed in period of 1998-2015 have been examined. The storms were classified, by features of the PC evolution, as classic, pulsed and composite magnetic storms. It is shown these storm types are related, correspondingly, to such solar drivers as Interplanetary Coronal Mass Ejections (ICME), Stream Interaction Regions (SIR), and their joint action. Results of the statistical analysis demonstrate that depression of geomagnetic field (Dst variation) starts to develop as soon as PC index steadily excess the threshold level similar to 1.5 mV/m, like to case of magnetic substorms. SymH index in course of magnetic storms (during 48 h preceding and succeeding the maximal depression of geomagnetic field) generally follows the time evolution of the PC index with typical delay time of Delta T similar to 1 +/- 0.5 h. The storm intensity (SymH(MIN)) is linearly related to maximal value of the foregoing PC index (PCMAX) observed similar to 0.5 divided by 2 h before the moment of maximal depression. The conclusion is made that the PC index can be successfully used for nowcasting the magnetic storm development.</t>
  </si>
  <si>
    <t>10.1016/j.jastp.2017.10.012</t>
  </si>
  <si>
    <t>HD5OG</t>
  </si>
  <si>
    <t>WOS:000452579200009</t>
  </si>
  <si>
    <t>Lam, MM; Freeman, MP; Chisham, G</t>
  </si>
  <si>
    <t>Lam, Mai Mai; Freeman, Mervyn P.; Chisham, Gareth</t>
  </si>
  <si>
    <t>IMF-driven change to the Antarctic tropospheric temperature due to the global atmospheric electric circuit</t>
  </si>
  <si>
    <t>Mansurov effect; Antarctic tropospheric temperature; Solar wind troposphere connection; Interplanetary magnetic field</t>
  </si>
  <si>
    <t>SOLAR-WIND; FIELD</t>
  </si>
  <si>
    <t>We use National Centers for Environmental Prediction (NCEP)/National Center for Atmospheric Research (NCAR) reanalysis data to investigate the Antarctic mean tropospheric temperature anomaly associated with changes in the dawn-dusk component B-y of the interplanetary magnetic field (IMF). We find that the mean tropospheric temperature anomaly for geographical latitudes &lt;= -70 degrees peaks at about 0.7 K and is statistically significant at the 5% level between air pressures of 1 000 and 500 hPa (similar to 0.1-5.6 km altitude above sea level) and for time lags with respect to the IMF of up to 7 days. The peak values of the air temperature anomaly occur at a greater time lag at 500 hPa (similar to 5.6 km) than at 1 000 - 600 hPa (similar to 0.1-4.2 km), which may indicate that the signature propagates vertically. The characteristics of prompt response and possible vertical propagation within the troposphere have previously been seen in the correlation between the IMF and high-latitude air pressure anomalies, known as the Mansurov effect, at higher statistical significances (1%). For time lags between the IMF and the troposphere of 0-6 days and altitudes between 1 000 and 700 hPa (similar to 0.1-3 km), the relationship between highly statistically significant (1% level) geopotential height anomaly values and the corresponding air temperature anomaly values is consistent with the standard lapse rate in atmospheric temperature. We conclude that we have identified the temperature signature of the Mansurov effect in the Antarctic troposphere. Since these tropospheric anomalies have been associated with B-y-driven anomalies in the electric potential of the ionosphere, we further conclude that they are caused by IMF-induced changes to the global atmospheric electric circuit (GEC). Our results support the view that variations in the ionospheric potential act on the troposphere, possibly via the action of consequent variations in the downwards current of the GEC on tropospheric clouds.</t>
  </si>
  <si>
    <t>[Lam, Mai Mai] Univ Reading, Reading, Berks, England; [Freeman, Mervyn P.; Chisham, Gareth] British Antarctic Survey, Cambridge, England</t>
  </si>
  <si>
    <t>Lam, MM (corresponding author), Univ Reading, Reading, Berks, England.</t>
  </si>
  <si>
    <t>mml@bas.ac.uk</t>
  </si>
  <si>
    <t>Freeman, Mervyn/E-5687-2019</t>
  </si>
  <si>
    <t>Freeman, Mervyn/0000-0002-8653-8279</t>
  </si>
  <si>
    <t>UK Natural Environment Research Council (NERC) [NE/I024852/1]; Philip Leverhulme Prize; International Space Science Institute (ISSI); EU COST action [ES1005]; Natural Environment Research Council [NE/I024852/1, bas0100031] Funding Source: researchfish; NERC [bas0100031, NE/I024852/1] Funding Source: UKRI</t>
  </si>
  <si>
    <t>UK Natural Environment Research Council (NERC)(UK Research &amp; Innovation (UKRI)Natural Environment Research Council (NERC)); Philip Leverhulme Prize(Leverhulme Trust); International Space Science Institute (ISSI); EU COST action(European Union (EU)European Cooperation in Science and Technology (COST)); Natural Environment Research Council(UK Research &amp; Innovation (UKRI)Natural Environment Research Council (NERC)); NERC(UK Research &amp; Innovation (UKRI)Natural Environment Research Council (NERC))</t>
  </si>
  <si>
    <t>NCEP/NCAR reanalysis data were freely provided by the NOAA/OAR/ESRL PSD, Boulder, Colorado, USA, from their website www.esrl.noaa.gov/psd/.We acknowledge use of NASA/GSFC's Space Physics Data Facility's OMNIWeb service at http://omniweb.gsfc.nasa.gov.The authors acknowledge support by UK Natural Environment Research Council (NERC) grant NE/I024852/1. MML acknowledges support from a Philip Leverhulme Prize won by Mathew Owens (University of Reading), and the support of the International Space Science Institute (ISSI) and EU COST action ES1005 TOSCA (www.tosca-cost.eu) which funded her attendance at meetings contributing to useful discussions of this work. Our sponsors had no role in the study design, the collection, analysis and interpretation of data, the writing of this paper, or the decision to submit this article for publication.</t>
  </si>
  <si>
    <t>10.1016/j.jastp.2017.08.027</t>
  </si>
  <si>
    <t>WOS:000452579200016</t>
  </si>
  <si>
    <t>Chenoli, SN; Jayakrishnan, PR; Abu Samah, A; Hai, OS; Mazuki, MYA; Lim, CH</t>
  </si>
  <si>
    <t>Chenoli, Sheeba Nettukandy; Jayakrishnan, P. R.; Abu Samah, Azizan; Hai, Ooi See; Mazuki, Muhammad Yunus Ahmad; Lim, Chai Heng</t>
  </si>
  <si>
    <t>Southwest monsoon onset dates over Malaysia and associated climatological characteristics</t>
  </si>
  <si>
    <t>ASIAN SUMMER MONSOON; CHINA SEA; SOUTHEAST-ASIA; INTERANNUAL VARIABILITY; TIBETAN PLATEAU; 1ST TRANSITION; EAST-ASIA; PACIFIC; ENSO; REANALYSIS</t>
  </si>
  <si>
    <t>In Malaysia precipitation prevails throughout the year. However, the southwest monsoon (late May to September) is characterised with low precipitation, less cloud, high outgoing long-wave radiation (OLR) and often featured by dry epochs. Therefore, onset of the monsoon here is best determined by considering multiple onset parameters such as wind, OLR, rainfall and relative humidity. We used modified Malaysian Meteorological Department wind shear index based on major convection centres during the monsoon onset. The 850 hPa winds were chosen to investigate the onsets of the monsoon in view of the marked orographic and mesoscale processes. The next criterion was the presence of sustained westerlies averaged between 850 hPa and 600 hPa from all the available radiosonde stations data over Malaysia for at least 5 days. As the strongest convective activity in the tropics is represented by OLR of less than 220 W m(-2), the third criterion was to check whether the value of OLR was greater than 220 W m(-2) over the region. The mean date of the summer monsoon onset over Malaysia is found to be 19 May, with a standard deviation of 8 days. Further, climatological composites show that there is a gradual change from easterlies to westerlies from the surface up to 500 hPa in Malaysian stations both in Peninsular Malaysia and East Malaysia during May. OLR and rainfall analysis reveal that, the southwest monsoon daily rainfall over Malaysia is less than 10 mm and OLR is greater than 220 W m(-2). Additionally, monsoon onset tends to be late during the El Nino years and earlier during the La Nina years.</t>
  </si>
  <si>
    <t>[Chenoli, Sheeba Nettukandy; Abu Samah, Azizan] Univ Malaya, Fac Arts &amp; Social Sci, Dept Geog, Kuala Lumpur 50603, Malaysia; [Chenoli, Sheeba Nettukandy; Abu Samah, Azizan; Hai, Ooi See; Mazuki, Muhammad Yunus Ahmad; Lim, Chai Heng] Univ Malaya, Natl Antarctic Res Ctr, Kuala Lumpur 50603, Malaysia; [Chenoli, Sheeba Nettukandy; Abu Samah, Azizan; Lim, Chai Heng] Univ Malaya, Inst Ocean &amp; Earth Sci, Kuala Lumpur 50603, Malaysia; [Jayakrishnan, P. R.] Beijing Normal Univ, Sch Syst Sci, Beijing 100875, Peoples R China; [Lim, Chai Heng] Univ Rouen Normandie, UFR Sci &amp; Tech, F-76821 Mont St Aignan, France</t>
  </si>
  <si>
    <t>Universiti Malaya; Universiti Malaya; Universiti Malaya; Beijing Normal University; Universite de Rouen Normandie</t>
  </si>
  <si>
    <t>Chenoli, SN (corresponding author), Univ Malaya, Fac Arts &amp; Social Sci, Dept Geog, Kuala Lumpur 50603, Malaysia.</t>
  </si>
  <si>
    <t>ABU SAMAH, AZIZAN HJ/B-8295-2010; Chenoli, Sheeba Nettukandy/G-6726-2012; Lim, Chai Heng/M-1793-2017; /AFT-6420-2022</t>
  </si>
  <si>
    <t>/0000-0001-5640-2963</t>
  </si>
  <si>
    <t>Fundamental Research Grant Scheme (FRGS) [FP049-2013]; Ministry of Higher Education (MOHE) project [IOES-2014A, IOES-2014B]; eScience Fund Project [04-01-03-sf0410]</t>
  </si>
  <si>
    <t>Fundamental Research Grant Scheme (FRGS); Ministry of Higher Education (MOHE) project; eScience Fund Project</t>
  </si>
  <si>
    <t>ERA-Interim reanalysis data were obtained from the ECMWF while TRMM were obtained from Giovanni. The data analysis of this project was carried out using the Grid Analysis and Display System (GrADS) software from OpenGrADS. This work is supported by the Fundamental Research Grant Scheme (FRGS) (Grant number FP049-2013), Ministry of Higher Education (MOHE) project (Grant no: IOES-2014A and IOES-2014B) and eScience Fund Project (Grant number 04-01-03-sf0410).</t>
  </si>
  <si>
    <t>10.1016/j.jastp.2018.06.017</t>
  </si>
  <si>
    <t>GZ5GR</t>
  </si>
  <si>
    <t>WOS:000449447700008</t>
  </si>
  <si>
    <t>Yao, YB; Sun, ZY; Xu, CQ; Xu, XY; Kong, J</t>
  </si>
  <si>
    <t>Yao, Yibin; Sun, Zhangyu; Xu, Chaoqian; Xu, Xingyu; Kong, Jian</t>
  </si>
  <si>
    <t>Extending a model for water vapor sounding by ground-based GNSS in the vertical direction</t>
  </si>
  <si>
    <t>GNSS; PWV; T-m; Vertical variation; Vertical correction model</t>
  </si>
  <si>
    <t>ZENITH WET DELAYS; WEIGHTED MEAN TEMPERATURE; GLOBAL EMPIRICAL-MODEL; GPS METEOROLOGY</t>
  </si>
  <si>
    <t>Weighted mean temperature (T-m) is a crucial parameter for retrieving precipitable water vapor (PWV) in Global Navigation Satellite System (GNSS) meteorology. The difference between the height of the GNSS receiver and the height of the derived T-m may cause large uncertainty in the value of the retrieved PWV. In this study, we analyze the vertical variation of T-m on a global scale and build a new vertical correction model using the operational reanalysis of the European Centre for Medium-Range Weather Forecasts (ECMWF). Another dataset from ECMWF and the radiosonde data derived from 678 globally distributed stations are used to independently validate the performance of the newly built model and demonstrate its superiority compared with the existing vertical correction method. The results show that the lapse rate of T-m has geographic and seasonal variations, and the T-m has large nonlinear variation along the vertical direction in the high-latitude regions, especially in the polar regions. A performance improvement of 15%-35% compared with the existing vertical correction method is achievable for the newly built model when tested with the ECMWF data, and the improvement is 10%-25% when tested with the radiosonde data.</t>
  </si>
  <si>
    <t>[Yao, Yibin; Sun, Zhangyu; Xu, Chaoqian; Xu, Xingyu] Wuhan Univ, Sch Geodesy &amp; Geomat, 129 Luoyu Rd, Wuhan 430079, Hubei, Peoples R China; [Yao, Yibin] Wuhan Univ, Minist Educ, Key Lab Geospace Environm &amp; Geodesy, 129 Luoyu Rd, Wuhan 430079, Hubei, Peoples R China; [Kong, Jian] Wuhan Univ, Chinese Antarctic Ctr Surveying &amp; Mapping, 129 Luoyu Rd, Wuhan 430079, Hubei, Peoples R China</t>
  </si>
  <si>
    <t>Wuhan University; Wuhan University; Wuhan University</t>
  </si>
  <si>
    <t>Xu, CQ (corresponding author), Wuhan Univ, Sch Geodesy &amp; Geomat, 129 Luoyu Rd, Wuhan 430079, Hubei, Peoples R China.</t>
  </si>
  <si>
    <t>cqxu@whu.edu.cn</t>
  </si>
  <si>
    <t>Yao, Yibin/AAM-9653-2020</t>
  </si>
  <si>
    <t>Yao, Yibin/0000-0002-7723-4601</t>
  </si>
  <si>
    <t>National Natural Science Foundation of China [41574028]; Special Projects for Scientific and Technological Innovation of Social Undertakings and People's Livelihood of Chongqing [cstc2017shmsA120007]</t>
  </si>
  <si>
    <t>National Natural Science Foundation of China(National Natural Science Foundation of China (NSFC)); Special Projects for Scientific and Technological Innovation of Social Undertakings and People's Livelihood of Chongqing</t>
  </si>
  <si>
    <t>The authors would like to thank ECMWF and IGRA for providing experimental data. This research was supported by the National Natural Science Foundation of China (41574028), the Special Projects for Scientific and Technological Innovation of Social Undertakings and People's Livelihood of Chongqing (cstc2017shmsA120007).</t>
  </si>
  <si>
    <t>10.1016/j.jastp.2018.08.016</t>
  </si>
  <si>
    <t>WOS:000449447700036</t>
  </si>
  <si>
    <t>Liu, Y; Chen, HP; Wang, HJ; Qiu, YB</t>
  </si>
  <si>
    <t>Liu, Yong; Chen, Huopo; Wang, Huijun; Qiu, Yubao</t>
  </si>
  <si>
    <t>The Impact of the NAO on the Delayed Break-Up Date of Lake Ice over the Southern Tibetan Plateau</t>
  </si>
  <si>
    <t>Teleconnections; Climate variability; North Atlantic Oscillation</t>
  </si>
  <si>
    <t>NORTH-ATLANTIC OSCILLATION; JET WAVE-GUIDE; ANTARCTIC OSCILLATION; SNOW DEPTH; PHENOLOGY; PRECIPITATION; VARIABILITY; CLIMATE; COVER; TELECONNECTIONS</t>
  </si>
  <si>
    <t>The changing characteristics of lake ice phenology over the Tibetan Plateau (TP) are investigated using historical satellite retrieved datasets during 2002-15 in this study. The results indicate that the freezing process mainly starts in December, and the ice melting process generally occurs in April for most lakes. However, the changes in lake ice phenology have varied depending on the location in recent years, with delayed break-up dates and prolonged ice durations in the southern TP, but no consistent changes have occurred in the lakes in the northern TP. Further analysis presents a close connection between the variation in the lake ice break-up date/ice duration over the southern TP and the winter North Atlantic Oscillation (NAO). The positive NAO generally excites an anomalous wave activity that propagates southward from the North Atlantic to North Africa and, in turn, strengthens the African-Asian jet stream at its entrance. Because of the blocking effect of the TP, the enhanced westerly jet can be divided into two branches and the south branch flow can deepen the India-Myanmar trough, which further strengthens the anomalous cyclonic circulation and water vapor transport. Therefore, the increased water vapor transport from the northern Indian Ocean to the southern region of the TP can increase the snowfall over this region. The increased snow cover over the lake acts as an insulating layer and lowers the lake surface temperature in the following spring by means of snow-ice feedback activity, resulting in a delayed ice break-up date and the increased ice duration of the lakes over the southern TP in recent years.</t>
  </si>
  <si>
    <t>[Liu, Yong; Chen, Huopo; Wang, Huijun] Chinese Acad Sci, Inst Atmospher Phys, Nansen Zhu Int Res Ctr, Beijing, Peoples R China; [Liu, Yong] Univ Chinese Acad Sci, Beijing, Peoples R China; [Chen, Huopo; Wang, Huijun] Nanjing Univ Informat Sci &amp; Technol, Collaborat Innovat Ctr Forecast &amp; Evaluat Meteoro, Nanjing, Jiangsu, Peoples R China; [Qiu, Yubao] Chinese Acad Sci, Inst Remote Sensing &amp; Digital Earth, Digital Earth Lab, Beijing, Peoples R China</t>
  </si>
  <si>
    <t>Chinese Academy of Sciences; Institute of Atmospheric Physics, CAS; Chinese Academy of Sciences; University of Chinese Academy of Sciences, CAS; Nanjing University of Information Science &amp; Technology; Chinese Academy of Sciences; The Institute of Remote Sensing &amp; Digital Earth, CAS</t>
  </si>
  <si>
    <t>Chen, HP (corresponding author), Chinese Acad Sci, Inst Atmospher Phys, Nansen Zhu Int Res Ctr, Beijing, Peoples R China.;Chen, HP (corresponding author), Nanjing Univ Informat Sci &amp; Technol, Collaborat Innovat Ctr Forecast &amp; Evaluat Meteoro, Nanjing, Jiangsu, Peoples R China.</t>
  </si>
  <si>
    <t>chenhuopo@mail.iap.ac.cn</t>
  </si>
  <si>
    <t>wang, hui/HSG-6135-2023; Wang, Hui/HMU-9512-2023; Huopo, Chen/B-7771-2013</t>
  </si>
  <si>
    <t>Huopo, Chen/0000-0003-0760-8353; Liu, Yong/0000-0003-0837-0244</t>
  </si>
  <si>
    <t>Strategic Priority Research Program of the Chinese Academy of Sciences [XDA19070201]; National Natural Science Foundation of China [41421004]; CAS-PKU Joint Research Program</t>
  </si>
  <si>
    <t>Strategic Priority Research Program of the Chinese Academy of Sciences(Chinese Academy of Sciences); National Natural Science Foundation of China(National Natural Science Foundation of China (NSFC)); CAS-PKU Joint Research Program</t>
  </si>
  <si>
    <t>This research was jointly supported by the Strategic Priority Research Program of the Chinese Academy of Sciences (Grant XDA19070201), the National Natural Science Foundation of China (Grant 41421004), and the CAS-PKU Joint Research Program.</t>
  </si>
  <si>
    <t>10.1175/JCLI-D-18-0197.1</t>
  </si>
  <si>
    <t>GW9XT</t>
  </si>
  <si>
    <t>WOS:000447362300001</t>
  </si>
  <si>
    <t>Yu, LJ; Yang, QH; Vihma, T; Jagovkina, S; Liu, JP; Sun, QZ; Li, YB</t>
  </si>
  <si>
    <t>Yu, Lejiang; Yang, Qinghua; Vihma, Timo; Jagovkina, Svetlana; Liu, Jiping; Sun, Qizhen; Li, Yubin</t>
  </si>
  <si>
    <t>Features of Extreme Precipitation at Progress Station, Antarctica</t>
  </si>
  <si>
    <t>Antarctica; Antarctic Oscillation; Precipitation; Antarctic Oscillation; Atmosphere-ocean interaction; Climate variability</t>
  </si>
  <si>
    <t>DRONNING MAUD LAND; SOUTHERN-HEMISPHERE; SEA-ICE; SNOW ACCUMULATION; CLIMATE; CYCLONES; VARIABILITY; TRENDS; LINKS; ENSO</t>
  </si>
  <si>
    <t>Observed daily precipitation data were used to investigate the characteristics of precipitation at Antarctic Progress Station and synoptic patterns associated with extreme precipitation events during the period 2003-16. The annual precipitation, annual number of extreme precipitation events, and amount of precipitation during the extreme events have positive trends. The distribution of precipitation at Progress Station is heavily skewed with a long tail of extreme dry days and a high peak of extreme wet days. The synoptic pattern associated with extreme precipitation events is a dipole structure of negative and positive height anomalies to the west and east of Progress Station, respectively, resulting in water vapor advection to the station. For the first time, we apply self-organizing maps (SOMs) to examine thermodynamic and dynamic perspectives of trends in the frequency of occurrence of Antarctic extreme precipitation events. The changes in thermodynamic (noncirculation) processes explain 80% of the trend, followed by the changes in the interaction between thermodynamic and dynamic processes, which account for nearly 25% of the trend. The changes in dynamic processes make a negative (less than 5%) contribution to the trend. The positive trend in total column water vapor over the Southern Ocean explains the change of thermodynamic term.</t>
  </si>
  <si>
    <t>[Yu, Lejiang] Polar Res Inst China, State Ocean Adm Key Lab Polar Sci, Shanghai, Peoples R China; [Yang, Qinghua] Sun Yat Sen Univ, Guangdong Prov Key Lab Climate Change &amp; Nat Disas, Zhuhai, Peoples R China; [Yang, Qinghua] Sun Yat Sen Univ, Sch Atmospher Sci, Zhuhai, Peoples R China; [Vihma, Timo] Finnish Meteorol Inst, Helsinki, Finland; [Jagovkina, Svetlana] Arctic &amp; Antarctic Res Inst, St Petersburg, Russia; [Liu, Jiping] SUNY Albany, Dept Atmospher &amp; Environm Sci, Albany, NY 12222 USA; [Sun, Qizhen] Natl Marine Environm Forecasting Ctr, Beijing, Peoples R China; [Li, Yubin] Nanjing Univ Informat Sci &amp; Technol, Nanjing, Jiangsu, Peoples R China</t>
  </si>
  <si>
    <t>Polar Research Institute of China; Sun Yat Sen University; Sun Yat Sen University; Finnish Meteorological Institute; Arctic &amp; Antarctic Research Institute; State University of New York (SUNY) System; State University of New York (SUNY) Albany; National Marine Environmental Forecasting Center; Nanjing University of Information Science &amp; Technology</t>
  </si>
  <si>
    <t>Yang, QH (corresponding author), Sun Yat Sen Univ, Guangdong Prov Key Lab Climate Change &amp; Nat Disas, Zhuhai, Peoples R China.;Yang, QH (corresponding author), Sun Yat Sen Univ, Sch Atmospher Sci, Zhuhai, Peoples R China.</t>
  </si>
  <si>
    <t>yangqh25@mail.sysu.edu.cn</t>
  </si>
  <si>
    <t>Li, Yubin/HOC-0722-2023; Sun, Qizhen/JCE-6070-2023; Vihma, Timo/ABC-9771-2020</t>
  </si>
  <si>
    <t>Li, Yubin/0000-0003-3965-3845; Yang, Qinghua/0000-0002-7114-2036</t>
  </si>
  <si>
    <t>National Key R&amp;D Program of China [2018YFA0605701, 2018YFA0605901]; National Natural Science Foundation of China [41376005]; Shanghai Pujiang Program [17PJ1409800]; AARI/Russian Antarctic Expedition's Subprogram Study and Research of the Antarctic of the Federal Target Program World Ocean; Academy of Finland [304345]</t>
  </si>
  <si>
    <t>National Key R&amp;D Program of China; National Natural Science Foundation of China(National Natural Science Foundation of China (NSFC)); Shanghai Pujiang Program(Shanghai Pujiang Program); AARI/Russian Antarctic Expedition's Subprogram Study and Research of the Antarctic of the Federal Target Program World Ocean; Academy of Finland(Research Council of Finland)</t>
  </si>
  <si>
    <t>We are deeply grateful for the late Victor E. Lagun from AARI for his insightful comments and advice on the study. We thank the European Centre for Medium-Range Weather Forecasts (ECMWF) for the ERA-Interim reanalysis data. This study is financially supported by the National Key R&amp;D Program of China (2018YFA0605701 and 2018YFA0605901), the National Natural Science Foundation of China (41376005), Shanghai Pujiang Program (17PJ1409800), the AARI/Russian Antarctic Expedition's Subprogram Study and Research of the Antarctic of the Federal Target Program World Ocean, and the Academy of Finland (Contract 304345). In addition we thank the Helsinki University of Technology's Laboratory of Computer and Information Science (http://www.cis.hut.fi/research/som-research/) for information on SOM and software for producing it.</t>
  </si>
  <si>
    <t>10.1175/JCLI-D-18-0128.1</t>
  </si>
  <si>
    <t>WOS:000447362300002</t>
  </si>
  <si>
    <t>Kong, J; Yao, YB; Zhou, C; Liu, Y; Zhai, CZ; Wang, ZM; Liu, L</t>
  </si>
  <si>
    <t>Kong, Jian; Yao, Yibin; Zhou, Chen; Liu, Yi; Zhai, Changzhi; Wang, Zemin; Liu, Lei</t>
  </si>
  <si>
    <t>Tridimensional reconstruction of the Co-Seismic Ionospheric Disturbance around the time of 2015 Nepal earthquake</t>
  </si>
  <si>
    <t>JOURNAL OF GEODESY</t>
  </si>
  <si>
    <t>Ionosphere seismology; Co-Seismic Ionospheric Disturbance; Satellite-Station TEC sequence; Computerized ionosphere tomography; Electric field penetration effect</t>
  </si>
  <si>
    <t>ALASKAN EARTHQUAKE; OKI EARTHQUAKE; TEC RESPONSE; MODEL; ATMOSPHERE; TOMOGRAPHY; ANOMALIES</t>
  </si>
  <si>
    <t>The Co-Seismic Ionospheric Disturbance of the 2015 Nepal earthquake is analyzed in this paper. GNSS data are used to obtain the Satellite-Station TEC sequences. After removing the de-trended TEC variation, a clear ionospheric disturbance was observed 10 min after the earthquake, while the geomagnetic conditions, solar activity, and weather condition remained calm according to the Kp, Dst, F10.7 indices and meteorological records during the period of interest. Computerized ionosphere tomography (CIT) is then used to present the tridimensional ionosphere variation with a 10-min time resolution. The CIT results indicate that (1) the disturbance of the ionospheric electron density above the epicenter during the 2015 Nepal earthquake is confined at a relatively low altitude (approximately 150-300 km); (2) the ionospheric disturbances on the west side and east sides of the epicenter are precisely opposite. A newly established electric field penetration model of the lithosphere-atmosphere-ionosphere coupling is used to investigate the potential physical mechanism.</t>
  </si>
  <si>
    <t>[Kong, Jian; Wang, Zemin] Wuhan Univ, Chinese Antarctic Ctr Surveying &amp; Mapping, Wuhan 430079, Hubei, Peoples R China; [Yao, Yibin; Zhai, Changzhi; Liu, Lei] Wuhan Univ, Sch Geodesy &amp; Geomat, Wuhan 430079, Hubei, Peoples R China; [Zhou, Chen; Liu, Yi] Wuhan Univ, Sch Elect Informat, Wuhan 430072, Hubei, Peoples R China</t>
  </si>
  <si>
    <t>Yao, YB (corresponding author), Wuhan Univ, Sch Geodesy &amp; Geomat, Wuhan 430079, Hubei, Peoples R China.</t>
  </si>
  <si>
    <t>ybyao@whu.edu.cn</t>
  </si>
  <si>
    <t>lei, liu/HTR-5486-2023; ZeMin, Wang/AAU-3422-2020; Yao, Yibin/AAM-9653-2020; Liu, Yi/JFA-3191-2023; Lei, Liu/I-3503-2018; Zhai, Changzhi/JQW-2878-2023</t>
  </si>
  <si>
    <t>Yao, Yibin/0000-0002-7723-4601; Lei, Liu/0000-0002-1040-6026;</t>
  </si>
  <si>
    <t>National Natural Fund of China [41274022, 41604002, 41574028]; Fundamental Research Funds for the Central Universities [2042016kf0037]; Key Laboratory of Geo-informatics of State Bureau of Surveying and Mapping Fund [16-02-04]</t>
  </si>
  <si>
    <t>National Natural Fund of China; Fundamental Research Funds for the Central Universities(Fundamental Research Funds for the Central Universities); Key Laboratory of Geo-informatics of State Bureau of Surveying and Mapping Fund</t>
  </si>
  <si>
    <t>We acknowledge the CMONOC for providing the GPS data via the GNSS Center at Wuhan University, the UNAVCO for providing the Nepal network data, the IGS for providing the orbit data, and the National Science &amp; Technology Infrastructure of China, National Earth System Science Data Sharing Infrastructure (http://www.geodata.cn), for providing the base maps in this paper. We also thank NASA for providing magnetic index data and the ACE Science Center for providing F10.7 data. This research was financially supported by the National Natural Fund of China (41274022, 41604002, and 41574028), the Fundamental Research Funds for the Central Universities (2042016kf0037), and Key Laboratory of Geo-informatics of State Bureau of Surveying and Mapping Fund (16-02-04).</t>
  </si>
  <si>
    <t>0949-7714</t>
  </si>
  <si>
    <t>1432-1394</t>
  </si>
  <si>
    <t>J GEODESY</t>
  </si>
  <si>
    <t>J. Geodesy</t>
  </si>
  <si>
    <t>10.1007/s00190-018-1117-3</t>
  </si>
  <si>
    <t>Geochemistry &amp; Geophysics; Remote Sensing</t>
  </si>
  <si>
    <t>GV9YG</t>
  </si>
  <si>
    <t>WOS:000446517400002</t>
  </si>
  <si>
    <t>Humbert, A; Steinhage, D; Helm, V; Beyer, S; Kleiner, T</t>
  </si>
  <si>
    <t>Humbert, Angelika; Steinhage, Daniel; Helm, Veit; Beyer, Sebastian; Kleiner, Thomas</t>
  </si>
  <si>
    <t>Missing Evidence of Widespread Subglacial Lakes at Recovery Glacier, Antarctica</t>
  </si>
  <si>
    <t>ice stream dynamics; subglacial hydrology; ice modeling; radio-echo sounding; altimetry</t>
  </si>
  <si>
    <t>SURFACE MASS-BALANCE; FAST ICE FLOW; EAST ANTARCTICA; PENETRATING RADAR; MODEL; BENEATH; SHEET; GREENLAND; CLIMATE; STREAM</t>
  </si>
  <si>
    <t>Recovery Glacier reaches far into the East Antarctic Ice Sheet. Recent projections point out that its dynamic behavior has a considerable impact on future Antarctic ice loss (Golledge et al., 2017, ). Subglacial lakes are thought to play a major role in the initiation of the rapid ice flow (Bell et al., 2007, ). Satellite altimetry observations have even suggested several actively filling and draining subglacial lakes beneath the main trunk (B. E. Smith et al., 2009, ). We present new data of the geometry of this glacier and investigate its basal properties employing radio-echo sounding. Using ice sheet modeling, we were able to constrain estimates of radar absorption in the ice, but uncertainties remain large. The magnitude of the basal reflection coefficient is thus still poorly known. However, its spatial variability, in conjunction with additional indicators, can be used to infer the presence of subglacial water. We find no clear evidence of water at most of the previously proposed lake sites. Especially, locations, where altimetry detected active lakes, do not exhibit lake characteristics in radio-echo sounding. We argue that lakes far upstream the main trunk are not triggering enhanced ice flow, which is also supported by modeled subglacial hydrology.</t>
  </si>
  <si>
    <t>[Humbert, Angelika; Steinhage, Daniel; Helm, Veit; Beyer, Sebastian; Kleiner, Thomas] Alfred Wegener Inst, Helmholtz Ctr Polar &amp; Marine Res, Bremerhaven, Germany; [Humbert, Angelika] Univ Bremen, Dept Geosci, Bremen, Germany; [Beyer, Sebastian] Potsdam Inst Climate Impact Res, Potsdam, Germany</t>
  </si>
  <si>
    <t>Helmholtz Association; Alfred Wegener Institute, Helmholtz Centre for Polar &amp; Marine Research; University of Bremen; Potsdam Institut fur Klimafolgenforschung</t>
  </si>
  <si>
    <t>Humbert, A (corresponding author), Alfred Wegener Inst, Helmholtz Ctr Polar &amp; Marine Res, Bremerhaven, Germany.</t>
  </si>
  <si>
    <t>angelika.humbert@awi.de</t>
  </si>
  <si>
    <t>Kleiner, Thomas/F-6821-2015</t>
  </si>
  <si>
    <t>Kleiner, Thomas/0000-0001-7825-5765; Beyer, Sebastian/0000-0002-3731-0278; Humbert, Angelika/0000-0002-0244-8760; Helm, Veit/0000-0001-7788-9328</t>
  </si>
  <si>
    <t>Leibniz-Gemeinschaft: WGL Pakt fur Forschung [SAW-2014-PIK-1]; NASA [NNX17AG65G]; NSF [PLR-1603799, PLR-1644277, ACI-1443054]; NASA Operation IceBridge grant [NNX16AH54G]</t>
  </si>
  <si>
    <t>Leibniz-Gemeinschaft: WGL Pakt fur Forschung; NASA(National Aeronautics &amp; Space Administration (NASA)); NSF(National Science Foundation (NSF)); NASA Operation IceBridge grant</t>
  </si>
  <si>
    <t>We thank Neil Ross, Robert Bingham, and an anonymous reviewer for their extremely useful and very supporting reviews. Their constructive comments helped a lot to improve the manuscript. The RECISL campaign was conducted as an activity of AWI in the HGF Alliance Remote Sensing and Earth System Dynamics and was planned with the support of Dana Floriciou andWael Abdeljaber (DLR), who estimated ice velocities based on TerraSAR-X imagery. Simulations of subglacial hydrology used a model which was developed during the GreenRISE project, a project funded by Leibniz-Gemeinschaft: WGL Pakt fur Forschung SAW-2014-PIK-1. Development of PISM is supported by NASA grant NNX17AG65G and NSF grants PLR-1603799 and PLR-1644277. Furthermore we acknowledge the use of data products from CReSIS generated with support from the University of Kansas, NASA Operation IceBridge grant NNX16AH54G and NSF grant ACI-1443054. RES ice thickness measurements from the 2013/2014 RECISL campaign as well as the derived radar attenuation rates are available via the PANGAEA (www.pangaea.de) database (doi: https://doi.org/10.1594/PANGAEA.894292) and (doi: https://doi.org/10.1594/PANGAEA.894289).Grids and figures were produced using the Generic Mapping Tools software version 4 (GMT4, http://gmt.soest.hawaii.edu/gmt4/).</t>
  </si>
  <si>
    <t>10.1029/2017JF004591</t>
  </si>
  <si>
    <t>HE1AZ</t>
  </si>
  <si>
    <t>WOS:000453003800004</t>
  </si>
  <si>
    <t>Ohtani, S; Gjerloev, JW; Anderson, BJ; Kataoka, R; Troshichev, O; Watari, S</t>
  </si>
  <si>
    <t>Ohtani, S.; Gjerloev, J. W.; Anderson, B. J.; Kataoka, R.; Troshichev, O.; Watari, S.</t>
  </si>
  <si>
    <t>Dawnside Wedge Current System Formed During Intense Geomagnetic Storms</t>
  </si>
  <si>
    <t>FIELD-ALIGNED CURRENTS; INTERPLANETARY MAGNETIC-FIELD; BIRKELAND CURRENTS; MAGNETOSPHERE; MODEL; IMF</t>
  </si>
  <si>
    <t>We investigate the formation and development of a large-scale current system in the dawn sector during intense geomagnetic storms. Four events are selected based on the historical ranking of the westward deflections of the morning side midlatitude magnetic field. For each event the polar distribution of equivalent currents indicates a significant intensification of the westward electrojet (WEJ), which initially takes place at postmidnight and then extends eastward covering the entire dawn sector. The longitudinal confinement of the enhanced WEJ suggests that it closes with downward and upward field-aligned currents (FACs) at its eastern and western ends, respectively, and therefore, the entire system may be envisioned as a wedge current. It is noted, however, that the primary closure of FACs is meridional, and those upward and downward FACs are considered to be unbalanced parts of the R1 and R2 currents. In one event dipolarization was observed in the dawnside plasma sheet near the magnetic conjugate point of the enhanced WEJ, and in another event a major auroral expansion was observed in the entire dawn sector. It is therefore suggested that the formation of the wedge current system and the subsequent expansion toward dayside is an ionospheric projection of the tail current reduction extending toward the dawnside flank. This wedge current system is similar to the substorm wedge current system except that it is centered at dawn. The recurrent formation of this dawnside current wedge in intense storms suggests that this is another distinct constituent of the storm time current system.</t>
  </si>
  <si>
    <t>[Ohtani, S.; Gjerloev, J. W.; Anderson, B. J.] Johns Hopkins Univ, Appl Phys Lab, Laurel, MD 20723 USA; [Gjerloev, J. W.] Univ Bergen, Fac Phys &amp; Technol, Bergen, Norway; [Kataoka, R.] Natl Inst Polar Res, Tokyo, Japan; [Troshichev, O.] Arctic &amp; Antarctic Res Inst, St Petersburg, Russia; [Watari, S.] Natl Inst Informat &amp; Commun Technol, Tokyo, Japan</t>
  </si>
  <si>
    <t>Johns Hopkins University; Johns Hopkins University Applied Physics Laboratory; University of Bergen; Research Organization of Information &amp; Systems (ROIS); National Institute of Polar Research (NIPR) - Japan; Arctic &amp; Antarctic Research Institute; National Institute of Information &amp; Communications Technology (NICT) - Japan</t>
  </si>
  <si>
    <t>Ohtani, S (corresponding author), Johns Hopkins Univ, Appl Phys Lab, Laurel, MD 20723 USA.</t>
  </si>
  <si>
    <t>ohtani@jhuapl.edu</t>
  </si>
  <si>
    <t>Ohtani, Shinichi/E-3914-2016; KATAOKA, RYUHO/AAJ-4570-2020; Gjerloev, Jesper/C-2116-2016</t>
  </si>
  <si>
    <t>Ohtani, Shinichi/0000-0002-9565-6840; Kataoka, Ryuho/0000-0001-9400-1765</t>
  </si>
  <si>
    <t>National Science Foundation (NSF) [1417899]; NSF [1417899, ATM-1420184, ATM-0739864, 1502700]; National Aeronautics and Space Administration (NASA) [NNX16AG74G]; NASA [NNX14AF82G]; Div Atmospheric &amp; Geospace Sciences; Directorate For Geosciences [1417899, 1502700] Funding Source: National Science Foundation; NASA [NNX14AF82G, 684145] Funding Source: Federal RePORTER</t>
  </si>
  <si>
    <t>National Science Foundation (NSF)(National Science Foundation (NSF)); NSF(National Science Foundation (NSF)); National Aeronautics and Space Administration (NASA)(National Aeronautics &amp; Space Administration (NASA)); NASA(National Aeronautics &amp; Space Administration (NASA)); Div Atmospheric &amp; Geospace Sciences; Directorate For Geosciences(National Science Foundation (NSF)NSF - Directorate for Geosciences (GEO)); NASA(National Aeronautics &amp; Space Administration (NASA))</t>
  </si>
  <si>
    <t>SuperMAG indices as well as polar diagrams of equivalent currents were provided through the SuperMAG website (http://supermag.jhuapl.edu/).SuperMAG is an international collaboration with many organizations and institutes funded by National Science Foundation (NSF) grant 1417899. Memambetsu magnetometer data were provided by Meteorological Research Institute in Japan at http://www.kakioka-jma.go.jp/en/index.html.Ground magnetometer data from Norilsk, Amderma, and Tixie stations were provided by the Arctic and Antarctic Research Institute in Russia (http://geophys.aari.ru/index.html) through the aforementioned SuperMAG website. Support for AMPERE has been provided under NSF sponsorship under grants ATM-1420184 and ATM-0739864 to The Johns Hopkins University. Data used in this study are available via http://ampere.jhuapl.edu.(AMPERE, the AMPERE Science Data Center). IMAGE/UVI and Polar/VIS Earth Camera auroral images were provided by Louis A Frank and Stephen Mende, respectively, and are available through the SuperMAG website. The OMNI data were obtained from the GSFC/SPDF OMNIWeb interface at https://omniweb.gsfc.nasa.gov.The Sym-H, Asy-H, and Asy-D indices were provided by the World Data Center for Geomagnetism, Kyoto, and are available at http://wdc.kugi.kyoto-u.ac.jp/.Geotail magnetometer data were provided by S. Kokubun and T. Nagai and are available at https://darts.isas.jaxa.jp/index.html.en.Support for this analysis at the Johns Hopkins University Applied Physics Laboratory was provided by National Aeronautics and Space Administration (NASA) grant NNX16AG74G and NSF grants 1502700 and 1417899 for S. O., by NSF grant for J. W. G., and by NASA grant NNX14AF82G for B. J. A</t>
  </si>
  <si>
    <t>10.1029/2018JA025678</t>
  </si>
  <si>
    <t>HE3CC</t>
  </si>
  <si>
    <t>WOS:000453227400015</t>
  </si>
  <si>
    <t>Kollmann, P; Roussos, E; Paranicas, C; Woodfield, EE; Mauk, BH; Clark, G; Smith, DC; Vandegriff, J</t>
  </si>
  <si>
    <t>Kollmann, P.; Roussos, E.; Paranicas, C.; Woodfield, E. E.; Mauk, B. H.; Clark, G.; Smith, D. C.; Vandegriff, J.</t>
  </si>
  <si>
    <t>Electron Acceleration to MeV Energies at Jupiter and Saturn</t>
  </si>
  <si>
    <t>RADIATION BELTS; ENERGETIC PARTICLES; TRAPPED ELECTRONS; CHORUS INTENSITY; PHYSICAL MODEL; INNER; MAGNETOSPHERE; DIFFUSION; MOTION; FIELD</t>
  </si>
  <si>
    <t>The radiation belts and magnetospheres of Jupiter and Saturn show significant intensities of relativistic electrons with energies up to tens of megaelectronvolts (MeV). To date, the question on how the electrons reach such high energies is not fully answered. This is largely due to the lack of high-quality electron spectra in the MeV energy range that models could be fit to. We reprocess data throughout the Galileo orbiter mission in order to derive Jupiter's electron spectra up to tens of MeV. In the case of Saturn, the spectra from the Cassini orbiter are readily available and we provide a systematic analysis aiming to study their acceleration mechanisms. Our analysis focuses on the magnetospheres of these planets, at distances of L &gt; 20 and L &gt; 4 for Jupiter and Saturn, respectively, where electron intensities are not yet at radiation belt levels. We find no support that MeV electrons are dominantly accelerated by wave-particle interactions in the magnetospheres of both planets at these distances. Instead, electron acceleration is consistent with adiabatic transport. While this is a common assumption, confirmation of this fact is important since many studies on sources, losses, and transport of energetic particles rely on it. Adiabatic heating can be driven through various radial transport mechanisms, for example, injections driven by the interchange instability or radial diffusion. We cannot distinguish these processes at Saturn with our technique. For Jupiter, we suggest that the dominating acceleration process is radial diffusion because injections are never observed at MeV energies.</t>
  </si>
  <si>
    <t>[Kollmann, P.; Paranicas, C.; Mauk, B. H.; Clark, G.; Smith, D. C.; Vandegriff, J.] Johns Hopkins Univ, Appl Phys Lab, Laurel, MD 20723 USA; [Roussos, E.] Max Planck Inst Solar Syst Res, Gottingen, Germany; [Woodfield, E. E.] British Antarctic Survey, Cambridge, England</t>
  </si>
  <si>
    <t>Johns Hopkins University; Johns Hopkins University Applied Physics Laboratory; Max Planck Society; UK Research &amp; Innovation (UKRI); Natural Environment Research Council (NERC); NERC British Antarctic Survey</t>
  </si>
  <si>
    <t>Kollmann, P (corresponding author), Johns Hopkins Univ, Appl Phys Lab, Laurel, MD 20723 USA.</t>
  </si>
  <si>
    <t>Peter.Kollmann@jhuapl.edu</t>
  </si>
  <si>
    <t>Paranicas, Christopher/B-1470-2016; Clark, George/L-6433-2015; Roussos, Elias/H-2249-2011; Mauk, Barry/E-8420-2017; Woodfield, Emma/B-5313-2014; Kollmann, Peter/C-2583-2016</t>
  </si>
  <si>
    <t>Paranicas, Christopher/0000-0002-4391-8255; Roussos, Elias/0000-0002-5699-0678; Mauk, Barry/0000-0001-9789-3797; Woodfield, Emma/0000-0002-0531-8814; Vandegriff, Jon/0000-0002-0781-1565; Kollmann, Peter/0000-0002-4274-9760</t>
  </si>
  <si>
    <t>NASA [NNX13AL06G, NNX14AR26G, NNX15AN02G]; German Space Agency (DLR); Max Planck Society; STFC in the UK [ST/M00130X/1]; NASA [NNX13AL06G, 470791, NNX15AN02G, 674197, 806870, NNX14AR26G] Funding Source: Federal RePORTER; NERC [bas0100031] Funding Source: UKRI; STFC [ST/M00130X/1] Funding Source: UKRI</t>
  </si>
  <si>
    <t>NASA(National Aeronautics &amp; Space Administration (NASA)); German Space Agency (DLR)(Helmholtz AssociationGerman Aerospace Centre (DLR)); Max Planck Society(Max Planck Society); STFC in the UK(UK Research &amp; Innovation (UKRI)Science &amp; Technology Facilities Council (STFC)); NASA(National Aeronautics &amp; Space Administration (NASA)); NERC(UK Research &amp; Innovation (UKRI)Natural Environment Research Council (NERC)); STFC(UK Research &amp; Innovation (UKRI)Science &amp; Technology Facilities Council (STFC))</t>
  </si>
  <si>
    <t>Omnidirectional Galileo/EPD data are available at http://sd-www.jhuapl.edu/Galileo_ EPD/latest_calibrated_data/. Cassini/MIMI data are available through NASA's planetary data system (PDS). The JHU/APL authors were partially supported through NASA's Outer Planets Research (OPR) and Planetary Data Archiving, Restoration, and Tools (PDART) programs through grants NNX13AL06G, NNX14AR26G, and NNX15AN02G. The MPS authors were partially supported by the by the German Space Agency (DLR) and the Max Planck Society. E. E. W. is funded by STFC in the UK grant ST/M00130X/1. The authors like to thank K. Khurana (UCLA) for his Jupiter magnetic field model and A. Shinn (LASP) for the IDL adaptation. We also thank A. Lagg (MPS) for analysis software support, M. Kusterer (JHU/APL) for data reduction, and H. Garrett (JPL) and Q. Nenon (ONERA) for useful discussions.</t>
  </si>
  <si>
    <t>10.1029/2018JA025665</t>
  </si>
  <si>
    <t>WOS:000453227400016</t>
  </si>
  <si>
    <t>Allison, HJ; Horne, RB; Glauert, SA; Del Zanna, G</t>
  </si>
  <si>
    <t>Allison, Hayley J.; Horne, Richard B.; Glauert, Sarah A.; Del Zanna, Giulio</t>
  </si>
  <si>
    <t>Determination of the Equatorial Electron Differential Flux From Observations at Low Earth Orbit</t>
  </si>
  <si>
    <t>RADIATION BELT ELECTRONS; PITCH-ANGLE DISTRIBUTION; RELATIVISTIC ELECTRONS; ULTRARELATIVISTIC ELECTRONS; OUTER ZONE; DIFFUSION; MODEL; CHORUS; FIELD; DYNAMICS</t>
  </si>
  <si>
    <t>Variations in the high-energy relativistic electron flux of the radiation belts depend on transport, acceleration, and loss processes, and importantly on the lower-energy seed population. However, data on the seed population is limited to a few satellite missions. Here we present a new method that utilizes data from the Medium Energy Proton/Electron Detector on board the low-altitude Polar Operational Environmental Satellites to retrieve the seed population at a pitch angle of 90 degrees. The integral flux values measured by Medium Energy Proton/Electron Detector relate to a low equatorial pitch angle and were converted to omnidirectional flux using parameters obtained from fitting one or two sin(N) alpha functions to pitch angle distributions given by three and a half years of Van Allen Probes data. Two methods to convert from integral to differential flux are explored. One utilizes integral and differential flux energy distributions from the AE9 model, the second employs an iterative fitting approach based on a Reverse Monte Carlo (RMC) method. The omnidirectional differential flux was converted to an equatorial pitch angle of 90 degrees, again using statistical pitch angle distributions from Van Allen Probe data. We validate the resulting 90 degrees flux for 100- to 600-keV electrons against measurements from the Van Allen Probes and show an average agreement within a factor of 4 for L* &gt; 3.7. The resulting data set offers a high time resolution, across multiple magnetic local time planes, and may be used to formulate event-specific low-energy boundary conditions for radiation belt models.</t>
  </si>
  <si>
    <t>[Allison, Hayley J.; Horne, Richard B.; Glauert, Sarah A.] British Antarctic Survey, Cambridge, England; [Allison, Hayley J.; Del Zanna, Giulio] Univ Cambridge, Dept Appl Math &amp; Theoret Phys, Cambridge, England</t>
  </si>
  <si>
    <t>Allison, HJ (corresponding author), British Antarctic Survey, Cambridge, England.;Allison, HJ (corresponding author), Univ Cambridge, Dept Appl Math &amp; Theoret Phys, Cambridge, England.</t>
  </si>
  <si>
    <t>haylis@bas.ac.uk</t>
  </si>
  <si>
    <t>Horne, Richard B/U-3764-2019</t>
  </si>
  <si>
    <t>Horne, Richard B/0000-0002-0412-6407; Del Zanna, Giulio/0000-0002-4125-0204; Allison, Hayley/0000-0002-6665-2023</t>
  </si>
  <si>
    <t>NERC Doctoral Training Programme [NE/L002507/1]; NERC; Natural Environment Research Council (NERC) Highlight Topic grant [NE/P01738X/1]; STFC; NERC [NE/P01738X/1, NE/R016445/1, bas0100031] Funding Source: UKRI; STFC [ST/P000665/1, ST/J000892/1, PP/E001254/1] Funding Source: UKRI</t>
  </si>
  <si>
    <t>NERC Doctoral Training Programme; NERC(UK Research &amp; Innovation (UKRI)Natural Environment Research Council (NERC)); Natural Environment Research Council (NERC) Highlight Topic grant(UK Research &amp; Innovation (UKRI)Natural Environment Research Council (NERC)); STFC(UK Research &amp; Innovation (UKRI)Science &amp; Technology Facilities Council (STFC)); NERC(UK Research &amp; Innovation (UKRI)Natural Environment Research Council (NERC)); STFC(UK Research &amp; Innovation (UKRI)Science &amp; Technology Facilities Council (STFC))</t>
  </si>
  <si>
    <t>H. J. A. was supported by NERC Doctoral Training Programme NE/L002507/1. R. B. H. and S. A. G. were supported by NERC National Capability Funding and Natural Environment Research Council (NERC) Highlight Topic grant NE/P01738X/1 (Rad-Sat) and G. D. Z. also acknowledges STFC support. We thank Janet Green for her bow tie analysis software. The authors also acknowledge the NOAA National Geophysical Data Centre for the POES particle data used in this study (https://ngdc.noaa.gov/stp/satellite/poes/dataaccess.html) and give thanks for OMNI database access for both Kp and AE indices. Van Allen probes MagEIS data presented in this paper are available through the Van Allen Probes instrument suite webpages (https://www.rbsp-ect.lanl.gov/science/DataDirectories.php). The BAS-RBM model runs shown in this paper can be downloaded from the UK Polar Data Center at https://data.bas.ac.uk/(https://doi.org/10.5285/38b0ff75 -e0c9-447c-8ddc-cbd4d4e43469).</t>
  </si>
  <si>
    <t>10.1029/2018JA025786</t>
  </si>
  <si>
    <t>WOS:000453227400046</t>
  </si>
  <si>
    <t>Thomson, NR; Clilverd, MA; Rodger, CJ</t>
  </si>
  <si>
    <t>Thomson, Neil R.; Clilverd, Mark A.; Rodger, Craig J.</t>
  </si>
  <si>
    <t>Quiet Daytime Arctic Ionospheric D Region</t>
  </si>
  <si>
    <t>COSMIC-RAY INTENSITY; ELECTRON-DENSITY; SOLAR; FREQUENCIES; MODEL</t>
  </si>
  <si>
    <t>Phase and amplitude measurements of VLF radio waves propagating subionospherically on long paths across the Arctic are used to determine the high latitude, daytime D region height, and sharpness of the bottom edge of the Earth's ionosphere. The principal path used is from the 23.4-kHz transmitter, DHO, in north Germany, northward across the Arctic passing similar to 2 degrees from the North Pole, and then southward to Nome, Alaska, thus avoiding most land and all thick ice. Significant observational support is obtained from the also nearly all-sea path from JXN in Norway (similar to 67 degrees N, 16.4 kHz) across the North Pole to Nome. By suitably comparing measurements with modeling using the U.S. Navy code LWPC, the daytime D region (Wait) height and sharpness parameters in the Arctic are found to be H' = 73.7 +/- 0.7 km and beta = 0.32 +/- 0.02 km(-1) in the summer of 2013, that is, at (weak) solar maximum. It is also found that, unlike at lower latitudes, very low frequency phase and amplitude recordings on (similar to 1,000 km) paths at high subarctic latitudes show very little change with solar zenith angle in both phase and amplitude during daytime for solar zenith angles similar to 300 key for electrons) with a contribution from galactic cosmic rays, rather than by solar Lyman alpha which dominates at low and middle latitudes.</t>
  </si>
  <si>
    <t>[Thomson, Neil R.; Rodger, Craig J.] Univ Otago, Phys Dept, Dunedin, New Zealand; [Clilverd, Mark A.] British Antarctic Survey, Cambridge, England</t>
  </si>
  <si>
    <t>University of Otago; UK Research &amp; Innovation (UKRI); Natural Environment Research Council (NERC); NERC British Antarctic Survey</t>
  </si>
  <si>
    <t>Thomson, NR (corresponding author), Univ Otago, Phys Dept, Dunedin, New Zealand.</t>
  </si>
  <si>
    <t>thomsoneil@gmail.com</t>
  </si>
  <si>
    <t>Rodger, Craig/A-1501-2011</t>
  </si>
  <si>
    <t>Rodger, Craig J./0000-0002-6770-2707</t>
  </si>
  <si>
    <t>NERC [NE/R016038/1, bas0100031] Funding Source: UKRI</t>
  </si>
  <si>
    <t>10.1029/2018JA025669</t>
  </si>
  <si>
    <t>WOS:000453227400056</t>
  </si>
  <si>
    <t>Spacht, DE; Teets, NM; Denlinger, DL</t>
  </si>
  <si>
    <t>Spacht, Drew E.; Teets, Nicholas M.; Denlinger, David L.</t>
  </si>
  <si>
    <t>Two isoforms of Pepck in Sarcophaga bullata and their distinct expression profiles through development, diapause, and in response to stresses of cold and starvation</t>
  </si>
  <si>
    <t>JOURNAL OF INSECT PHYSIOLOGY</t>
  </si>
  <si>
    <t>Pepck isoforms; Diapause; Cold; Starvation; Developmental patterns</t>
  </si>
  <si>
    <t>GENE-EXPRESSION; PHOSPHOENOLPYRUVATE CARBOXYKINASE; DROSOPHILA-MELANOGASTER; ANTARCTIC MIDGE; HEAT-STRESS; IDENTIFICATION; DEHYDRATION; MECHANISMS; TERMINATION; METABOLISM</t>
  </si>
  <si>
    <t>Pepck is a metabolic enzyme that participates in gluconeogenesis through the conversion of oxaloacetate into phosphoenol pyruvate. Numerous transcriptomic studies have identified Pepck as a potential key player during diapause and various stresses responses. Here, we describe expression patterns of both cytosolic and mitochondrial isoforms of Pepck throughout development, during diapause, and in response to starvation and cold shock in the flesh fly, Sarcophaga bullata. We cloned full-length transcripts for both Pepck isoforms and observed that expression of both genes varied throughout development. Diapausing pupae have the highest relative expression of both isoforms, suggesting participation in the anticipatory production of sugars and sugar alcohols that occurs during this overwintering stage. In response to acute stress, the cytosolic isoform was upregulated whereas the mitochondrial variant remained unchanged. Cytosolic Pepck was strongly upregulated after 2 h recovery from cold shock and returned to baseline levels within 8 h. In response to 24 h of starvation, the cytosolic isoform was similarly upregulated and returned to control levels after 24 h of recovery. Acute stress is known to incur a metabolic cost, and Pepck could be a key player in this response. Although it remains unclear why there is such a dramatic divergence in the expression of the two isoforms, the distinction suggests specific roles for the two isoforms that depend on the developmental status of the fly and the stress conditions to which it is exposed.</t>
  </si>
  <si>
    <t>[Spacht, Drew E.; Denlinger, David L.] Ohio State Univ, Dept Evolut Ecol &amp; Organismal Biol, Columbus, OH 43210 USA; [Teets, Nicholas M.; Denlinger, David L.] Ohio State Univ, Dept Entomol, Columbus, OH 43210 USA; [Teets, Nicholas M.] Univ Kentucky, Dept Entomol, Lexington, KY 40546 USA</t>
  </si>
  <si>
    <t>University System of Ohio; Ohio State University; University System of Ohio; Ohio State University; University of Kentucky</t>
  </si>
  <si>
    <t>Spacht, DE (corresponding author), Ohio State Univ, Dept Evolut Ecol &amp; Organismal Biol, Columbus, OH 43210 USA.</t>
  </si>
  <si>
    <t>spacht.2@buckeyemail.osu.edu</t>
  </si>
  <si>
    <t>Teets, Nicholas/IQT-5328-2023; Teets, Nicholas/H-7386-2013</t>
  </si>
  <si>
    <t>Teets, Nicholas/0000-0003-0963-7457; Spacht, Drew/0000-0002-3651-114X</t>
  </si>
  <si>
    <t>National Science Foundation [IOS-1354377]; US Department of Agriculture (USDA)-National Institute of Food and Agriculture (NIFA) [2015-67013-23416]; National Institute of Food and Agrilculture, U.S. Department of Agriculture, Hatch Project [1010996]</t>
  </si>
  <si>
    <t>National Science Foundation(National Science Foundation (NSF)); US Department of Agriculture (USDA)-National Institute of Food and Agriculture (NIFA); National Institute of Food and Agrilculture, U.S. Department of Agriculture, Hatch Project</t>
  </si>
  <si>
    <t>We thank Drs. Megan Meuti and Julie Reynolds for helpful comments on a draft of the manuscript. This project was supported in part by National Science Foundation Grant IOS-1354377 and US Department of Agriculture (USDA)-National Institute of Food and Agriculture (NIFA) Grant 2015-67013-23416. NMT is supported by the National Institute of Food and Agrilculture, U.S. Department of Agriculture, Hatch Project 1010996.</t>
  </si>
  <si>
    <t>0022-1910</t>
  </si>
  <si>
    <t>1879-1611</t>
  </si>
  <si>
    <t>J INSECT PHYSIOL</t>
  </si>
  <si>
    <t>J. Insect Physiol.</t>
  </si>
  <si>
    <t>10.1016/j.jinsphys.2018.10.008</t>
  </si>
  <si>
    <t>Entomology; Physiology; Zoology</t>
  </si>
  <si>
    <t>HD5QH</t>
  </si>
  <si>
    <t>WOS:000452584500006</t>
  </si>
  <si>
    <t>de Carvalho-Borges, M; Orselli, IBM; Ferreira, MLD; Kerr, R</t>
  </si>
  <si>
    <t>de Carvalho-Borges, Mariah; Orselli, Iole B. M.; de Carvalho Ferreira, Maria Luiza; Kerr, Rodrigo</t>
  </si>
  <si>
    <t>Seawater acidification and anthropogenic carbon distribution on the continental shelf and slope of the western South Atlantic Ocean</t>
  </si>
  <si>
    <t>Carbonate system; Anthropogenic carbon; Ocean acidification; South Brazil Bight; Southern Brazilian Shelf</t>
  </si>
  <si>
    <t>SOUTHWESTERN SUBTROPICAL ATLANTIC; AIR-SEA FLUXES; CO2 FLUXES; BOUNDARY CURRENTS; INORGANIC CARBON; RIVER DISCHARGE; ATMOSPHERIC CO2; BRAZIL CURRENT; TROCA APPROACH; GUANABARA BAY</t>
  </si>
  <si>
    <t>Increases in atmospheric carbon dioxide (CO2) concentrations since the beginning of the Industrial Revolution have led to increases in the flux of CO2 into the oceans. A large fraction of this increased flux occurs due to anthropogenic carbon (C-ant), i.e., the excess carbon released by human activities. The oceans take up large amounts of C-ant, and this process likely affects calcifying organisms and the formation and dissolution of calcium carbonate. In this study, we measured hydrographic and carbonate system parameters in the western South Atlantic Ocean. This region is key for understanding climate issues; however, it remains understudied, especially regarding the drivers of ocean acidification and its effects on marine organisms and ecosystems. Using novel data collected in this undersampled area of the global ocean, we (i) determined values of the marine carbonate system parameters and (ii) characterized the seawater acidification state along the western boundary current off the southeastern and southern coasts of Brazil. Specifically, we measured total alkalinity (A(T)) and pH and applied the TrOCA approach (to derive the C-ant storage in the water masses) in the study area. Our results show that (i) A(T) and the dissolved inorganic carbon distribution in the study region are governed by calcification/dissolution and dilution/evaporation processes and that (ii) C-ant is present in the central and intermediate water masses at an average concentration (+/- method precision) of 75.0 +/- 6.6 mu mol kg(-1) and at depths of up to similar to 1000 m. The highest concentrations are observed in the lower levels of the Tropical Water, although we cannot exclude an overestimated C-ant concentration in this layer, and the South Atlantic Central Water (SACW). These findings suggest that cross-shelf processes likely contribute to increased C-ant along western boundary current systems. The storage of C-ant in the SACW and the Antarctic Intermediate Water has led to long-term pH decreases of - 0.17 +/- 0.07 and - 0.10 +/- 0.06 pH units, respectively.</t>
  </si>
  <si>
    <t>[de Carvalho-Borges, Mariah; Orselli, Iole B. M.; de Carvalho Ferreira, Maria Luiza; Kerr, Rodrigo] Univ Fed Rio Grande FURG, Inst Oceanog, LEOC, Av Italia Km 8, BR-96203900 Rio Grande, RS, Brazil; [de Carvalho-Borges, Mariah; Orselli, Iole B. M.; Kerr, Rodrigo] Brazilian Ocean Acidificat Network BrOA, BR-96203900 Rio Grande, RS, Brazil</t>
  </si>
  <si>
    <t>Universidade Federal do Rio Grande</t>
  </si>
  <si>
    <t>de Carvalho-Borges, M; Kerr, R (corresponding author), Fundacao Univ Fed Rio Grande, LEOC, Inst Oceanog, Ave Italia Km 8 S-N,Campus Carreiros, BR-96203900 Rio Grande, RS, Brazil.</t>
  </si>
  <si>
    <t>mariahcborges@gmail.com; rodrigokerr@furg.br</t>
  </si>
  <si>
    <t>Orselli, Iole/AAP-1267-2021; Kerr, Rodrigo/I-2494-2012</t>
  </si>
  <si>
    <t>Kerr, Rodrigo/0000-0002-2632-3137; Orselli, Iole/0000-0003-2991-292X</t>
  </si>
  <si>
    <t>Brazilian National Council on Research and Development (CNPq) [445506/2014-8]; FAPERGS [2075-2551/13-7]; CAPES Foundation [23038.001421/2014-30]; CAPES; CNPq [302604/2015-4]</t>
  </si>
  <si>
    <t>Brazilian National Council on Research and Development (CNPq)(Conselho Nacional de Desenvolvimento Cientifico e Tecnologico (CNPQ)); FAPERGS(Fundacao de Amparo a Ciencia e Tecnologia do Estado do Rio Grande do Sul (FAPERGS)); CAPES Foundation(Coordenacao de Aperfeicoamento de Pessoal de Nivel Superior (CAPES)); CAPES(Coordenacao de Aperfeicoamento de Pessoal de Nivel Superior (CAPES)); CNPq(Conselho Nacional de Desenvolvimento Cientifico e Tecnologico (CNPQ))</t>
  </si>
  <si>
    <t>This study represents a contribution to the activities of the Brazilian Ocean Acidification Network (BrOA; www.broa.furg.br) and Brazilian High Latitude Oceanography Group (GOAL). The BrOA dataset is provided upon request. The project was sponsored by the Brazilian National Council on Research and Development (CNPq grant no. 445506/2014-8); FAPERGS (grant no. 2075-2551/13-7), and the CAPES Foundation (grant no. 23038.001421/2014-30). Logistical support was provided by the Brazilian Ministry of Science, Technology, Innovation, and Communication (MCTIC), and the Brazilian Navy. We thank all of the researchers and students from the LEOC/FURG and LAGOM/UERJ laboratories for their contribution to cruise planning, sampling, analysis, and data processing. We thank especially A.C. Garcia, F.G. da Silva, R.T. Eidt and L.L. Collares. We acknowledge L.C. da Cunha for performing analyses of the dissolved nutrients and providing inputs on the discussion in the manuscript. We also thank the Brazilian Navy, especially the crew, and all of the researchers aboard of the RV Cruzeiro do Sul, for providing logistical and sampling support during the EstARte I cruise. M.C-B. and R.K. acknowledge a CAPES MSc. fellowship and a CNPq researcher grant (no. 302604/2015-4), respectively. We are grateful for the constructive comments provided by two anonymous reviewers, which led to substantial improvements to the manuscript.</t>
  </si>
  <si>
    <t>10.1016/j.jmarsys.2018.06.008</t>
  </si>
  <si>
    <t>GU5GF</t>
  </si>
  <si>
    <t>WOS:000445313300006</t>
  </si>
  <si>
    <t>Wijffels, SE; Beggs, H; Griffin, C; Middleton, JF; Cahill, M; King, E; Jones, E; Feng, M; Benthuysen, JA; Steinberg, CR; Sutton, P</t>
  </si>
  <si>
    <t>Wijffels, Susan E.; Beggs, Helen; Griffin, Christopher; Middleton, John F.; Cahill, Madeleine; King, Edward; Jones, Emlyn; Feng, Ming; Benthuysen, Jessica A.; Steinberg, Craig R.; Sutton, Phil</t>
  </si>
  <si>
    <t>A fine spatial-scale sea surface temperature atlas of the Australian regional seas (SSTAARS): Seasonal variability and trends around Australasia and New Zealand revisited</t>
  </si>
  <si>
    <t>Sea surface temperature; Seasonal cycle; Boundary currents; Tidal mixing; Warming trends; Satellite observations; 80 degrees E-180 degrees E; 10 degrees N-60 degrees S</t>
  </si>
  <si>
    <t>WINTERTIME CIRCULATION; SOUTHERN SHELVES; BASS STRAIT; EAST; CURRENTS; MODEL; OCEAN; TRANSPORT; LEEUWIN; ISLAND</t>
  </si>
  <si>
    <t>We use 25 years of Advanced Very High-Resolution Radiometer (AVHRR) data from NOAA Polar Orbiting Environmental Satellites received by six Australian and two Antarctic reception stations to construct a detailed climatology of sea surface temperature (SST) around Australasia. The data have been processed following international GHRSST protocols to help reduce instrument bias using in situ data, with only night-time nearly cloud-free data used to reduce diurnal bias and cloud contamination. A pixel-wise climatology (with four annual sinusoids) and linear trend are fit to the data using a robust technique and monthly non-seasonal percentiles derived. The resulting Atlas, known as the SST Atlas of Australian Regional Seas (SSTAARS), has a spatial resolution of similar to 2 km and thus reveals unprecedented detail of regional oceanographic phenomena, including tidally-driven entrainment cooling over shelves and reef flats, wind-driven upwelling, shelf winter water fronts, cold river plumes, the footprint of the seasonal boundary current flows and standing mesoscale features in the major offshore currents. The Atlas (and associated statistics) will provide a benchmark for high-resolution ocean modelers and be a resource for ecosystem studies where temperatures, and their extremes, impact on ocean chemistry, species ranges and distribution.</t>
  </si>
  <si>
    <t>[Wijffels, Susan E.; Cahill, Madeleine; King, Edward; Jones, Emlyn; Feng, Ming] CSIRO Oceans &amp; Atmosphere, GPO Box 1538, Hobart, Tas 7001, Australia; [Wijffels, Susan E.] Woods Hole Oceanog Inst, MS 29,266 Woods Hole Rd, Falmouth, MA 02540 USA; [Beggs, Helen; Griffin, Christopher] Bur Meteorol, Docklands, Vic 3008, Australia; [Middleton, John F.] South Australian Res &amp; Dev Inst, West Beach, SA 5024, Australia; [Benthuysen, Jessica A.; Steinberg, Craig R.] Australian Inst Marine Sci, Townsville, Qld 4810, Australia; [Sutton, Phil] NIWA, Wellington, New Zealand</t>
  </si>
  <si>
    <t>Commonwealth Scientific &amp; Industrial Research Organisation (CSIRO); Woods Hole Oceanographic Institution; Bureau of Meteorology - Australia; South Australian Research &amp; Development Institute (SARDI); Australian Institute of Marine Science; National Institute of Water &amp; Atmospheric Research (NIWA) - New Zealand</t>
  </si>
  <si>
    <t>Wijffels, SE (corresponding author), Woods Hole Oceanog Inst, MS 29,266 Woods Hole Rd, Falmouth, MA 02540 USA.</t>
  </si>
  <si>
    <t>susan.wijffels@csiro.au</t>
  </si>
  <si>
    <t>Feng, Ming/F-5411-2010; Jones, Emlyn M/D-4525-2011; Wijffels, Susan E/I-8215-2012; King, Edward/A-1473-2012</t>
  </si>
  <si>
    <t>Wijffels, Susan/0000-0002-4717-0811; Sutton, Phil/0000-0003-2936-0918; Jones, Emlyn/0000-0002-7636-288X; King, Edward/0000-0002-6898-2130; Benthuysen, Jessica/0000-0001-7615-6587</t>
  </si>
  <si>
    <t>Australian Integrated Marine Observing System</t>
  </si>
  <si>
    <t>The AVHRR SST data were sourced from the Integrated Marine Observing System (IMOS: http://www.imos.org.au) - IMOS is a national collaborative research infrastructure, supported by the Australian Government. The version 2 IMOS AVHRR SST products were produced using the National Computational Infrastructure at the Australian National University. SST from Queensland wave rider buoys was made available by the Department of Science, Information Technology and Innovation, Queensland Government, licensed under Creative Commons Attribution sourced on 27 February 2017. Wave-rider SST data off NSW was provided to us by NSW Office of Environment and Heritage, and was collected by the Manly Hydraulics Laboratory. The port sea level gauge and drifting buoy SST records were made available by the Australian Bureau of Meteorology. NOAA_OI_SST_V2 data were provided by the NOAA/OAR/ESRL PSD, Boulder, Colorado, USA, from their Web site at http://www.esrl.noaa.gov/psd. For bottom bathymetry, we used the Terrainbase product from the National Geophysical Data Center and World Data Center-A for Solid Earth Geophysics in Boulder, Colorado. This work was supported by the author's institutions and the Australian Integrated Marine Observing System. These funders had no input to the study design and analysis.</t>
  </si>
  <si>
    <t>10.1016/j.jmarsys.2018.07.005</t>
  </si>
  <si>
    <t>WOS:000445313300013</t>
  </si>
  <si>
    <t>George, JV; Anilkumar, N; Nuncio, M; Soares, MA; Naik, RK; Tripathy, SC</t>
  </si>
  <si>
    <t>George, Jenson, V; Anilkumar, N.; Nuncio, M.; Soares, Melena A.; Naik, Ravidas Krishna; Tripathy, Sarat C.</t>
  </si>
  <si>
    <t>Upper layer diapycnal mixing and nutrient flux in the subtropical frontal region of the Indian sector of the Southern Ocean</t>
  </si>
  <si>
    <t>Nutrient flux; Turbulence; Diapycnal mixing; Eddies; Southern Ocean; Subtropical front</t>
  </si>
  <si>
    <t>MESOSCALE EDDIES; NITROGEN UPTAKE; SALT FINGERS; WATER MASSES; PHYTOPLANKTON; CHLOROPHYLL; IRON; DISSIPATION; VARIABILITY; SATELLITE</t>
  </si>
  <si>
    <t>Upper layer diapycnal mixing in the Subtropical Front (STF) was estimated using microstructure shear profiles collected from the Indian sector of the Southern Ocean (ISSO) during the austral summer of 2012. Observations were made in the northern and southern boundary of the highly mesoscale turbulent STF, which is characterized by the presence of the dynamic Agulhas Return Current. During the observational period, the STF was populated with alternating cyclonic and anticyclonic eddies. In this mesoscale turbulent region, the average eddy diffusivity at the base of the euphotic zone was 5.5 x 10(-5) m(2) s(-1). The average diapycnal nitrogen flux at the base of the euphotic zone, calculated using direct turbulence measurements, and nitrate (NO3) and nitrite (NO2) concentrations, was 6.4 x 10-5 mu mol m(-2) s(-1). The satellite-derived primary production in the STF was similar to 1000 mg C m(-2) day(-1). The observed diapycnal nutrient flux could only sustain &lt; 1% of the production observed in the region. Analysis of satellite-derived ocean currents, sea level anomalies, and thermohaline distribution further shows that despite the study area is a highly mesoscale turbulent region, the primary supply of nutrients is a result of advection (vertical or zonal) rather than vertical mixing.</t>
  </si>
  <si>
    <t>[George, Jenson, V] Indian Inst Sci, Bangalore, Karnataka, India; [Anilkumar, N.; Nuncio, M.; Soares, Melena A.; Naik, Ravidas Krishna; Tripathy, Sarat C.] Minist Earth Sci, ESSO Natl Ctr Antarctic Antarct &amp; Ocean Res, Vasco Da Gama 403804, Goa, India</t>
  </si>
  <si>
    <t>Indian Institute of Science (IISC) - Bangalore</t>
  </si>
  <si>
    <t>Anilkumar, N (corresponding author), Minist Earth Sci, ESSO Natl Ctr Antarctic Antarct &amp; Ocean Res, Vasco Da Gama 403804, Goa, India.</t>
  </si>
  <si>
    <t>anil@ncaor.gov.in</t>
  </si>
  <si>
    <t>NAIK, KRISHNA/N-9693-2015; George, Jenson/GXH-1342-2022</t>
  </si>
  <si>
    <t>NAIK, KRISHNA/0000-0003-0165-2695; Tripathy, Dr. Sarat Chandra/0000-0002-2437-8660</t>
  </si>
  <si>
    <t>Ministry of Earth Sciences, Government of India; NCAOR; NIOT; Scientific Committee on Antarctic Research (SCAR)- Council of Managers of National Antarctic Program (COMNAP) combined Fellowship 2012</t>
  </si>
  <si>
    <t>Ministry of Earth Sciences, Government of India(Ministry of Earth Science (MoES), Government of India); NCAOR; NIOT; Scientific Committee on Antarctic Research (SCAR)- Council of Managers of National Antarctic Program (COMNAP) combined Fellowship 2012</t>
  </si>
  <si>
    <t>This work was supported by the Ministry of Earth Sciences, Government of India. We are thankful to the Director, NCAOR and NIOT for their constant support. Part of this study was conducted under a Scientific Committee on Antarctic Research (SCAR)- Council of Managers of National Antarctic Program (COMNAP) combined Fellowship 2012 to JVG and held at the GEOMAR - Helmholtz Centre for Ocean Research Kiel. We are thankful to Marcus Dengler (GEOMAR) for the help in processing the microstructure data. We are indebted to Dr. C.T. Achuthankutty for improving the presentation of the manuscript. The authors also would like to thank the vessel management cell and the ship staff of ORV Sagar Nidhi for the successful completion of the Indian expedition to the Southern Ocean. This is NCAOR contribution no 30/2018.</t>
  </si>
  <si>
    <t>10.1016/j.jmarsys.2018.07.007</t>
  </si>
  <si>
    <t>WOS:000445313300014</t>
  </si>
  <si>
    <t>Yesiltas, M</t>
  </si>
  <si>
    <t>Yesiltas, Mehmet</t>
  </si>
  <si>
    <t>Investigation of carbon in the Allan Hills A77278 meteorite via 2D and 3D Raman microspectroscopy</t>
  </si>
  <si>
    <t>JOURNAL OF RAMAN SPECTROSCOPY</t>
  </si>
  <si>
    <t>2D imaging; 3D tomography; Allan Hills A77278; hyperspectral; microspectroscopy</t>
  </si>
  <si>
    <t>ORDINARY CHONDRITES; ORGANIC-MATTER; SPECTROSCOPY; COLLECTION; CHONDRULES; HISTORY</t>
  </si>
  <si>
    <t>This paper reports the first Raman spectral and imaging data on the ordinary chondrite Allan Hills A77278 (ALHA77278) in two and three dimensions. Mineralogy in the ALHA77278 meteorite appears to be mainly silicates (olivine and pyroxene) with some carbonaceous material in the matrix. Metal phases are also present in the studied sample. Two-dimensional Raman spectral distribution maps show the locations of these chemical constituents. Several diamond grains are observed to be buried in olivine and extend down to a similar to 7-mu m depth in the sample, which might be contamination captured during the sample preparation. Raman spectral peak parameters for D and G carbon bands are presented and trends among these parameters are discussed. These spectral parameters, when compared with those of other meteorites reported in the literature, show similarity with unequilibrated ordinary chondrites and primitive carbonaceous chondrites. Estimated peak metamorphic temperature for the parent asteroid is calculated to be around similar to 260 degrees C, which is comparable with lower metamorphic grade ordinary chondrites, indicating that the metamorphic grade of ALHA77278 might be less than 3.7, as it has been officially assigned. Three-dimensional Raman tomographic measurements present visualizations of the identified chemical components in high resolution as well as the epoxy used during the preparation of the sample. Spatial distribution of epoxy is used to avoid these regions during the Raman spectral data extraction from the carbonaceous matter from a depth of the sample, which could otherwise complicate the datasets used to infer the thermal history of the ALHA77278 meteorite.</t>
  </si>
  <si>
    <t>[Yesiltas, Mehmet] Kirklareli Univ, Fac Aeronaut &amp; Space Sci, TR-39100 Kirklareli, Turkey</t>
  </si>
  <si>
    <t>Kirklareli University</t>
  </si>
  <si>
    <t>Yesiltas, M (corresponding author), Kirklareli Univ, Fac Aeronaut &amp; Space Sci, TR-39100 Kirklareli, Turkey.</t>
  </si>
  <si>
    <t>myesiltas@knights.ucf.edu</t>
  </si>
  <si>
    <t>Yesiltas, Mehmet/G-3735-2013</t>
  </si>
  <si>
    <t>Yesiltas, Mehmet/0000-0002-1521-0460</t>
  </si>
  <si>
    <t>NASA's Solar System Exploration Research Virtual Institute (SSERVI)</t>
  </si>
  <si>
    <t>The author thanks the Antarctic Meteorite Working Group of NASA for providing the meteorite sample. This work is funded by the RIS4E node of NASA's Solar System Exploration Research Virtual Institute (SSERVI). The anonymous reviewers and the editor are also thanked for their insightful comments on this work.</t>
  </si>
  <si>
    <t>0377-0486</t>
  </si>
  <si>
    <t>1097-4555</t>
  </si>
  <si>
    <t>J RAMAN SPECTROSC</t>
  </si>
  <si>
    <t>J. Raman Spectrosc.</t>
  </si>
  <si>
    <t>10.1002/jrs.5457</t>
  </si>
  <si>
    <t>Spectroscopy</t>
  </si>
  <si>
    <t>HA1RQ</t>
  </si>
  <si>
    <t>WOS:000449999600009</t>
  </si>
  <si>
    <t>Lim, SI; Kim, DH; Huh, JY; Lee, J; Hahn, IS; Han, YC; Hur, SD; Hwang, HJ; Kang, WG; Kim, YD; Lee, EK; Lee, MH</t>
  </si>
  <si>
    <t>Lim, S. I.; Kim, D. H.; Huh, J. Y.; Lee, J.; Hahn, I. S.; Han, Y. C.; Hur, S. D.; Hwang, H. J.; Kang, W. G.; Kim, Y. D.; Lee, E. K.; Lee, M. H.</t>
  </si>
  <si>
    <t>Measurement of 137Cs in Ice Core Samples from Antarctica</t>
  </si>
  <si>
    <t>JOURNAL OF THE KOREAN PHYSICAL SOCIETY</t>
  </si>
  <si>
    <t>Antarctica; Environmental radiation; Artificial radioisotopes; HPGe detector</t>
  </si>
  <si>
    <t>CALIBRATION SIMULATION; RADIONUCLIDES; DEPOSITION</t>
  </si>
  <si>
    <t>Three different ice core samples from Antarctica were analyzed to identify activity concentrations of radioactive isotopes. Tracking migration of radioactive isotopes to Antarctica can provide a key clue to understand global environmental changes caused by radiation exposures because the Antarctic ice cores can preserve unique characteristics of various environmental conditions. We are particularly interested in the Cs-137 nucleus, because it is closely related to radiation exposure from nuclear power plant accidents and nuclear bomb tests. With its half life of 30.17 +/- 0.03 years, Cs-137 can also be used to assess the age of sedimentation occurring after around the year 1945. We selected three ice core samples, called Tarn8, Styx27, and H25, from different time periods; the Tarn8 sample is known to be from earlier than similar to 1000 AD, the Styx27 sample is approximately from the year 1945, and the H25 sample is from the year 2012. Radioactive isotope measurements of the ice core samples were performed using a 100% HPGe detector at Cheongpyeong Underground Radiation Laboratory (CURL). We measured the activity of Cs-137 in the H25 sample to be 0.98 +/- 0.82 mBq/kg. Although the activity has a large uncertainty mainly due to the limited sample quantity, the Cs-137 isotopes in the Antarctic ice core were measured for the first time in Korea.</t>
  </si>
  <si>
    <t>[Lim, S. I.; Kim, D. H.; Hahn, I. S.] Ewha Womans Univ, Dept Phys, Seoul 03766, South Korea; [Huh, J. Y.; Lee, J.; Hahn, I. S.] Ewha Womans Univ, Dept Sci Educ, Seoul 03766, South Korea; [Han, Y. C.; Hur, S. D.; Hwang, H. J.] Korea Polar Res Inst, Div Polar Paleoenvironm, Incheon 21990, South Korea; [Kang, W. G.; Kim, Y. D.; Lee, E. K.; Lee, M. H.] Inst for Basic Sci Korea, Ctr Underground Phys, Daejeon 34047, South Korea</t>
  </si>
  <si>
    <t>Ewha Womans University; Ewha Womans University; Korea Polar Research Institute (KOPRI); Institute for Basic Science - Korea (IBS)</t>
  </si>
  <si>
    <t>Hahn, IS (corresponding author), Ewha Womans Univ, Dept Phys, Seoul 03766, South Korea.;Hahn, IS (corresponding author), Ewha Womans Univ, Dept Sci Educ, Seoul 03766, South Korea.</t>
  </si>
  <si>
    <t>ishahn@ewha.ac.kr</t>
  </si>
  <si>
    <t>Lee, Moo Hyun/AAK-4266-2020; Lee, Jeonghoon/AAQ-4780-2021</t>
  </si>
  <si>
    <t>Lee, Moo Hyun/0000-0002-4082-1677; Lee, Jeonghoon/0000-0002-1256-4431</t>
  </si>
  <si>
    <t>Korea Polar Research Institute (KOPRI) [PE17900]; Basic Science Research Program through the National Research Foundation of Korea (NRF) - Ministry of Education [2017R1A6A3A11033234]</t>
  </si>
  <si>
    <t>Korea Polar Research Institute (KOPRI); Basic Science Research Program through the National Research Foundation of Korea (NRF) - Ministry of Education</t>
  </si>
  <si>
    <t>We thank the staff at the Cheongpyeong Pumped Storage Power Plant, a Korea Hydro and Nuclear Power Corporation (KHNP) affiliated organization, for providing the underground space. This work was supported by the Korea Polar Research Institute (KOPRI, PE17900) and by the Basic Science Research Program through the National Research Foundation of Korea (NRF) funded by the Ministry of Education (2017R1A6A3A11033234).</t>
  </si>
  <si>
    <t>KOREAN PHYSICAL SOC</t>
  </si>
  <si>
    <t>635-4, YUKSAM-DONG, KANGNAM-KU, SEOUL 135-703, SOUTH KOREA</t>
  </si>
  <si>
    <t>0374-4884</t>
  </si>
  <si>
    <t>1976-8524</t>
  </si>
  <si>
    <t>J KOREAN PHYS SOC</t>
  </si>
  <si>
    <t>J. Korean Phys. Soc.</t>
  </si>
  <si>
    <t>10.3938/jkps.73.1263</t>
  </si>
  <si>
    <t>HB6UL</t>
  </si>
  <si>
    <t>WOS:000451208000009</t>
  </si>
  <si>
    <t>Fernández-Rodríguez, I; Arias, A; Borrell, YJ; Anadón, N; Massin, C; Acuña, JL</t>
  </si>
  <si>
    <t>Fernandez-Rodriguez, Irene; Arias, Andres; Borrell, Yaisel J.; Anadon, Nuria; Massin, Claude; Acuna, Jose Luis</t>
  </si>
  <si>
    <t>Psolus rufus, a new species of sea cucumber (Holothuroidea: Psolidae) from northern Spain (Bay of Biscay)</t>
  </si>
  <si>
    <t>JOURNAL OF THE MARINE BIOLOGICAL ASSOCIATION OF THE UNITED KINGDOM</t>
  </si>
  <si>
    <t>Holothurian; Psolidae; echinoderms; biodiversity; Cantabrian Sea; Aviles Canyon System; Iberian Peninsula</t>
  </si>
  <si>
    <t>DIVERSITY; DNA</t>
  </si>
  <si>
    <t>A new species of holothurian of the genus Psolus Oken, 1815 is described. Psolus rufus sp. nov. was found in the central Cantabrian slope (Bay of Biscay) at 1500 m depth. The new species is characterized by having: ovoid body, reddish colour in vivo; dorsal area enclosed in a complete test composed of imbricating scales; 10 triangular plates of the same size surrounding mouth; 10 oral tentacles; no dorsal papillae; tube feet in two rows in the ventrolateral radii but one single row in the medial third or the body; ossicles are big dorsal plates and small plates in the sole, which are smooth, irregular and perforated. The molecular study of the COI gene supports the morphological results, grouping P. rufus sp. nov. together with other members of the genus. However, the new species is genetically distinct from the two groups (Antarctic and Canadian) of the available sequenced Psolus species. Furthermore, a key to the Psolus species of the north-eastern Atlantic Ocean is provided.</t>
  </si>
  <si>
    <t>[Fernandez-Rodriguez, Irene; Arias, Andres; Anadon, Nuria; Acuna, Jose Luis] Univ Oviedo, Dept Organisms &amp; Syst Biol, E-33071 Oviedo, Spain; [Borrell, Yaisel J.] Univ Oviedo, Dept Funct Biol, Oviedo 33007, Spain; [Massin, Claude] Royal Belgian Inst Nat Sci, Dept Invertebrate Biol, 29 Rue Vautier, B-1000 Brussels, Belgium</t>
  </si>
  <si>
    <t>University of Oviedo; University of Oviedo; Royal Belgian Institute of Natural Sciences</t>
  </si>
  <si>
    <t>Fernández-Rodríguez, I (corresponding author), Univ Oviedo, Dept Organisms &amp; Syst Biol, E-33071 Oviedo, Spain.</t>
  </si>
  <si>
    <t>irefdezrguez@hotmail.com</t>
  </si>
  <si>
    <t>Borrell Pichs, Yaisel J./ABC-8904-2020; Arias, Andrés/AAA-4720-2019; Borrell Pichs, Yaisel/B-2650-2009; Fernández-Rodríguez, Irene/ABG-5080-2021; Acuna, Jose Luis/I-7482-2016</t>
  </si>
  <si>
    <t>Borrell Pichs, Yaisel J./0000-0003-2840-4384; Arias, Andrés/0000-0002-1364-7204; Borrell Pichs, Yaisel/0000-0003-2840-4384; Fernández-Rodríguez, Irene/0000-0001-5944-5731; Acuna, Jose Luis/0000-0003-3306-7212</t>
  </si>
  <si>
    <t>project DOSMARES [CTM2010-21810-C03-02]; University of Oviedo [RES-14-CI-058]</t>
  </si>
  <si>
    <t>project DOSMARES; University of Oviedo</t>
  </si>
  <si>
    <t>This work was supported by the project DOSMARES (reference: CTM2010-21810-C03-02) and RES-14-CI-058, University of Oviedo.</t>
  </si>
  <si>
    <t>0025-3154</t>
  </si>
  <si>
    <t>1469-7769</t>
  </si>
  <si>
    <t>J MAR BIOL ASSOC UK</t>
  </si>
  <si>
    <t>J. Mar. Biol. Assoc. U.K.</t>
  </si>
  <si>
    <t>10.1017/S0025315417001138</t>
  </si>
  <si>
    <t>GW9NA</t>
  </si>
  <si>
    <t>WOS:000447314500017</t>
  </si>
  <si>
    <t>Zhan, L; Chen, L; Zhang, J; Li, Y; Wu, M; Liu, J</t>
  </si>
  <si>
    <t>Zhan, L.; Chen, L.; Zhang, J.; Li, Y.; Wu, M.; Liu, J.</t>
  </si>
  <si>
    <t>Contribution of upwelling to air-sea N2O flux at the tip of the Antarctica Peninsula</t>
  </si>
  <si>
    <t>WEDDELL-SCOTIA CONFLUENCE; NORTH-ATLANTIC OCEAN; NITROUS-OXIDE; DISSOLVED N2O; ARABIAN SEA; ELEPHANT ISLAND; ATMOSPHERIC N2O; WATER; PHYTOPLANKTON; PACIFIC</t>
  </si>
  <si>
    <t>During the 28(th) Chinese National Antarctic Research Expedition, the seas adjacent to the tip of the Antarctic Peninsula (TAP), including the Scotia Sea, parts of the Bransfield Strait, and the Powell Basin, were investigated. The results show that the vertical distributions of N2O on both sides of the TAP are similar but that elevated N2O concentrations and corresponding upper circumpolar deep water (CDW) signals in the Scotia Sea are absent from the Powell Basin, where the largest areas of Weddell Sea deep water were observed during this cruise. The average air-sea N2O flux of the study area is similar to 8.83 +/- 3.32 mu mol m(-2) d(-1), suggesting that these waters, while significant, are not an overwhelming source of atmospheric N2O. The results of one dimensional box model indicate that the upwelling of the CDW contributes to the N2O flux north of TAP. The water to the south of the TAP is colder than that to the north of TAP, and the presence of cold winter water in the south tends to keep the N2O-rich Weddell Deep Water from upwelling to the surface. CDW, enriched in N2O, was observed to upwell toward the surface layers resulting in oversaturation and outgassing to the atmosphere in waters north of TAP. In contrast, waters to the south which were dominated by cold winter water were generally in equilibrium with the atmosphere.</t>
  </si>
  <si>
    <t>[Zhan, L.; Chen, L.; Zhang, J.; Li, Y.; Wu, M.; Liu, J.] Third Inst Oceanog, Key Lab Global Change &amp; Marine Atmospher Chem, State Ocean Adm, Xiamen, Peoples R China</t>
  </si>
  <si>
    <t>Third Institute of Oceanography, Ministry of Natural Resources</t>
  </si>
  <si>
    <t>Chen, L (corresponding author), Third Inst Oceanog, Key Lab Global Change &amp; Marine Atmospher Chem, State Ocean Adm, Xiamen, Peoples R China.</t>
  </si>
  <si>
    <t>chenliqi@tio.org.cn</t>
  </si>
  <si>
    <t>National Natural Science Foundation of China [41230529, 41676186, 41506225]; Chinese Projects for Investigations and Assessments of the Arctic and Antarctic [01-4-02, 02-1, 03-04-02]; Chinese International Cooperation Projects [2016YFE0103300]</t>
  </si>
  <si>
    <t>National Natural Science Foundation of China(National Natural Science Foundation of China (NSFC)); Chinese Projects for Investigations and Assessments of the Arctic and Antarctic; Chinese International Cooperation Projects</t>
  </si>
  <si>
    <t>This work was supported by the National Natural Science Foundation of China (grants 41230529, 41676186, and 41506225), the Chinese Projects for Investigations and Assessments of the Arctic and Antarctic (grants CHINARE2012-2017 for 01-4-02, 02-1, 03-04-02), and the Chinese International Cooperation Projects (2016YFE0103300).</t>
  </si>
  <si>
    <t>10.1002/lno.11004</t>
  </si>
  <si>
    <t>HA4LH</t>
  </si>
  <si>
    <t>WOS:000450233300031</t>
  </si>
  <si>
    <t>Kane, MK; Yopak, R; Roman, C; Menden-Deuer, S</t>
  </si>
  <si>
    <t>Kane, Mary K.; Yopak, Regina; Roman, Christopher; Menden-Deuer, Susanne</t>
  </si>
  <si>
    <t>Krill motion in the Southern Ocean: quantifying in situ krill movement behaviors and distributions during the late austral autumn and spring</t>
  </si>
  <si>
    <t>WESTERN ANTARCTIC PENINSULA; EUPHAUSIA-SUPERBA DANA; MEGANYCTIPHANES-NORVEGICA; VERTICAL MIGRATION; SWIMMING BEHAVIOR; SAMPLING ZOOPLANKTON; WEDDELL SEA; FOOD-WEB; ICE; SYSTEM</t>
  </si>
  <si>
    <t>Krill movement behaviors and vertical distributions were measured in spring and autumn using a profiling stereo-camera and environmental sensor system to quantify seasonal changes in the role of krill in Southern Ocean food webs. Krill were observed in May-June 2013 and December 2014 in 3 bays in the Western Antarctic Peninsula. Krill abundances and movement behaviors were determined from in situ image sequences collected for up to 10 min throughout the water column, up to 625 m deep; 3,345 individual krill tracks were collected. Seasonal changes in individual krill behaviors coincided with seasonal shifts in krill vertical distributions. During late spring, net upward swimming direction (0.9 +/- 2.1 degrees from horizontal) and vertical velocity (0.3 +/- 0.2 body lengths [BL] s(-1)) resulted in shallower maximum abundances of krill within the water column proximate to near-surface phytoplankton distributions. During late autumn, krill swimming patterns tended downward, including swimming direction (-5.2 +/- 0.8 degrees from horizontal) and vertical velocity (-0.1 +/- 0.0 BL s(-1)), leading to deeper distributions proximate to the benthos. Individual krill motility was greater in spring than autumn, as evidenced by an increase in swimming speeds (5.4 +/- 0.2 vs. 2.8 +/- 0.0 BL s(-1)) and turning rates (120 +/- 5 vs. 107 +/- 2 degrees s(-1)). Remarkably, krill in autumn were capable of swimming as quickly as krill in spring. These results suggest seasonal shifts in krill movement behaviors have direct ramifications for krill distributions, proximity to food sources, and impacts on biogeochemical cycling in coastal Antarctic waters.</t>
  </si>
  <si>
    <t>[Kane, Mary K.; Roman, Christopher; Menden-Deuer, Susanne] Univ Rhode Isl, Grad Sch Oceanog, Narragansett, RI 02882 USA; [Yopak, Regina; Roman, Christopher] Univ Rhode Isl, Dept Ocean Engn, Narragansett, RI USA</t>
  </si>
  <si>
    <t>University of Rhode Island; University of Rhode Island</t>
  </si>
  <si>
    <t>Kane, MK (corresponding author), Univ Rhode Isl, Grad Sch Oceanog, Narragansett, RI 02882 USA.</t>
  </si>
  <si>
    <t>mkkane@uri.edu</t>
  </si>
  <si>
    <t>Menden-Deuer, Susanne/0000-0002-8434-4251; Roman, Christopher/0000-0002-9185-4532; Kane, Mary/0000-0003-4362-6591</t>
  </si>
  <si>
    <t>Office of Polar Program, National Science Foundation [ANT-1142107]; National Science Foundation EPSCoR [EPS-1004057]</t>
  </si>
  <si>
    <t>Office of Polar Program, National Science Foundation(National Science Foundation (NSF)); National Science Foundation EPSCoR(National Science Foundation (NSF))</t>
  </si>
  <si>
    <t>The authors thank Captain John Souza and the crew of the RVIB Nathaniel B. Palmer, E. Durbin, T. Rynearson, and M. Zhou, the science staff from the United States Antarctic Program, and all the participants of the Seasonal Trophic Roles of E. superba cruises NBP1304 and NBP1410. The authors also thank Gabrielle Inglis, J. Ian Vaughn, and David Casagrande for their insight into and work with the krill camera system. The authors further thank Lauren Wallack for her assistance with creating the camera sled figure. Comments from three anonymous reviewers improved an earlier version of this manuscript. Funding for this project was provided by the Office of Polar Program, National Science Foundation award ANT-1142107 and supported in part by the National Science Foundation EPSCoR Cooperative Agreement EPS-1004057.</t>
  </si>
  <si>
    <t>10.1002/lno.11024</t>
  </si>
  <si>
    <t>WOS:000450233300038</t>
  </si>
  <si>
    <t>Morison, F; Menden-Deuer, S</t>
  </si>
  <si>
    <t>Morison, F.; Menden-Deuer, S.</t>
  </si>
  <si>
    <t>Seasonal similarity in rates of protistan herbivory in fjords along the Western Antarctic Peninsula</t>
  </si>
  <si>
    <t>PROTOZOOPLANKTON COMMUNITY STRUCTURE; PHYTOPLANKTON GROWTH; SOUTHERN-OCEAN; GRAZING IMPACT; NORTH-ATLANTIC; ICE-ZONE; SEA-ICE; HETEROTROPHIC NANOPLANKTON; MICROZOOPLANKTON HERBIVORY; DISTRIBUTION PATTERNS</t>
  </si>
  <si>
    <t>We quantified phytoplankton growth and protistan grazing rates during late austral autumn 2013 and late austral spring 2014, in several glacio-marine fjords and connecting channels along the Western Antarctic Peninsula (WAP). During austral autumn, low and declining chlorophyll a (Chl a) concentrations (&lt;= 0.4 mu g L-1) were almost entirely composed of pico/nanophytoplankton, whereas during austral spring, high but patchy Chl a concentrations in the fjords (up to 18.5 mu g L-1) reflected a diatom bloom. These contrasting dynamics were associated with high seasonal differences in irradiance, but not temperature, and were consistent with the balance resulting from lower phytoplankton growth rates in autumn (-0.01 d(-1) to 0.19 d(-1)) than in spring (0.06-0.93 d(-1)) but similar magnitudes of herbivorous grazing in both seasons. Grazing was either absent or low (0.11-0.26 d(-1)) and restricted to the picophytoplankton and nanophytoplankton. In the productive fjords lining the WAP, a fraction of primary production was channelled through a persistent and across-seasons equally active microbial food web, while during spring an increasing fraction of organic carbon shifted from trophic transfer and recycling to an export pathway.</t>
  </si>
  <si>
    <t>[Morison, F.; Menden-Deuer, S.] Univ Rhode Isl, Grad Sch Oceanog, Narragansett, RI 02882 USA</t>
  </si>
  <si>
    <t>University of Rhode Island</t>
  </si>
  <si>
    <t>Morison, F (corresponding author), Univ Rhode Isl, Grad Sch Oceanog, Narragansett, RI 02882 USA.</t>
  </si>
  <si>
    <t>fmorison@uri.edu; smenden@uri.edu</t>
  </si>
  <si>
    <t>Morison, Francoise/0000-0001-8973-4649; Menden-Deuer, Susanne/0000-0002-8434-4251</t>
  </si>
  <si>
    <t>National Science Foundation through the Office of Polar Programs [1142107]; EPSCoR [EPS-1004057]; Office of Polar Programs (OPP); Directorate For Geosciences [1142107] Funding Source: National Science Foundation</t>
  </si>
  <si>
    <t>National Science Foundation through the Office of Polar Programs; EPSCoR(National Science Foundation (NSF)NSF - Office of the Director (OD)NSF - Office of Integrative Activities (OIA)); Office of Polar Programs (OPP); Directorate For Geosciences(National Science Foundation (NSF)NSF - Directorate for Geosciences (GEO))</t>
  </si>
  <si>
    <t>We thank Captain John Souza and the crew of the RVIB Nathaniel B. Palmer, Drs. E. Durbin, C. Roman, T. Rynearson, and M. Zhou, the science staff from the United States Antarctic Program, and all the participants of the Seasonal Trophic Roles of Euphausia superba cruises. We also thank former members of the Menden-Deuer laboratory Sean Anderson, Mike Fong, and Caitlyn Russell, as well as cruise NBP1304 participants, especially Ulises Gaston Hoyos and Vivian Lutz, who helped perform shipboard experiments and analyses. Further thanks go to three anonymous reviewers whose comments helped to improve the manuscript. Funding for this project was provided by the National Science Foundation award 1142107 through the Office of Polar Programs, and by EPSCoR Cooperative Agreement EPS-1004057.</t>
  </si>
  <si>
    <t>10.1002/lno.11014</t>
  </si>
  <si>
    <t>WOS:000450233300039</t>
  </si>
  <si>
    <t>Mukherjee, S; Dey, A; Sanyal, S; Sengupta, P</t>
  </si>
  <si>
    <t>Mukherjee, Subham; Dey, Anindita; Sanyal, Sanjoy; Sengupta, Pulak</t>
  </si>
  <si>
    <t>Tectonothermal imprints in a suite of mafic dykes from the Chotanagpur Granite Gneissic complex (CGGC), Jharkhand, India: Evidence for late Tonian reworking of an early Tonian continental crust</t>
  </si>
  <si>
    <t>LITHOS</t>
  </si>
  <si>
    <t>Chotanagpur Granite Gneissic complex; Mafic dyke; Crustal extension; Continent-continent collision; Indo-Antarctica; Tonian</t>
  </si>
  <si>
    <t>EASTERN GHATS BELT; PRINCE CHARLES MOUNTAINS; U-PB GEOCHRONOLOGY; ANTARCTICA-AUSTRALIA; TECTONIC EVOLUTION; PHASE-EQUILIBRIA; SOLID-SOLUTIONS; BUNGER HILLS; PRYDZ BAY; KEMP-LAND</t>
  </si>
  <si>
    <t>Tectonothermal evolution of a set of mafic dykes in the felsic orthogneiss basement of the Chotanagpur Granite Gneissic Complex (CGGC) is presented. The gneissic basement rocks preserve high pressure granulite fades metamorphism (M-2, similar to 800 degrees C and similar to 9 kbar) and develop pervasive planar fabric (S-2) during a continent-continent collision event at 1000-950 Ma. Mafic dykes cut the S-2 fabric of its basement it intrudes. Together with the S2. the mafic dykes have been deformed by three sets of folds viz. DkF(1), DkF(2) and DkF(3). A conspicuous N-S trending foliation defined by metamorphic amphibole is developed parallel to the axial plane of DkF(1-2). The mafic dykes preserve relict igneous textures (e.g. intergranular texture) defined by clinopyroxene, orthopyroxene and plagioclase. Numerically computed phase diagram (pseudosection) with a representative bulk composition (with &lt;10 vol% metamorphic minerals namely amphibole+ plagioclase (rim) + quartz) constrain the depth of emplacement of the mafic dykes (15-18 km). The geological features are consistent with rifting of the early Tonian basement of the CGGC and the then mantle beneath it. This lithospheric extension resulted in outpouring of basaltic magma that punctured the early Tonian basement rocks in the form of mafic dykes. Subsequent metamorphism that affected the mafic dykes and its basement culminated at-700 degrees C and similar to 7.5 kbar (M-3 metamorphism). The estimated physical conditions during the M-3 metamorphic event suggest burial of the previously rifted basement possibly in a continent-continent collisional tectonic setting. The Th-U-total Pb ages of monazite grains from the host felsic orthogneiss date the M-2 (ca. 964 Ma) and M-3 (ca. 917 Ma) metamorphism. Based on commonality of geological and geochronological history among the CGGC, the Eastern Ghats Mobile Belt and Rayner complex (and its equivalent parts) in east Antarctica corroborates the view that Indo-Antarctic landmass were united and shared the similar geological histories during the entire Tonian period. During the Tonian period the Indo-Antarctic landmass witnessed two major phases of orogenesis (1000-950 Ma and &lt; 920 Ma) that are punctuated by a phase of lithospheric extension manifested by the emplacement of mafic dykes. (C) 2018 Elsevier B.V. All rights reserved.</t>
  </si>
  <si>
    <t>[Mukherjee, Subham; Dey, Anindita; Sanyal, Sanjoy; Sengupta, Pulak] Jadavpur Univ, Dept Geol Sci, Kolkata 700032, India</t>
  </si>
  <si>
    <t>Jadavpur University</t>
  </si>
  <si>
    <t>Mukherjee, S (corresponding author), Jadavpur Univ, Dept Geol Sci, Kolkata 700032, India.</t>
  </si>
  <si>
    <t>subhamgeol@gmail.com</t>
  </si>
  <si>
    <t>Dey, Anindita/AAF-2002-2019; Sengupta, Pinaki/AFS-0906-2022</t>
  </si>
  <si>
    <t>Dey, Anindita/0000-0002-6069-6260; Sengupta, Pinaki/0000-0002-6914-7057; Mukherjee, Subham/0000-0003-1051-1691</t>
  </si>
  <si>
    <t>University Grant Commission, New Delhi; Council of Scientific and Industrial Research, New Delhi; programs University Potential for Excellence (Phase II) Jadavpur University; DST-PURSE; Centre of Advance Study (phase VI), Department of Geological Sciences, Jadavpur University</t>
  </si>
  <si>
    <t>University Grant Commission, New Delhi(University Grants Commission, India); Council of Scientific and Industrial Research, New Delhi(Council of Scientific &amp; Industrial Research (CSIR) - India); programs University Potential for Excellence (Phase II) Jadavpur University; DST-PURSE; Centre of Advance Study (phase VI), Department of Geological Sciences, Jadavpur University</t>
  </si>
  <si>
    <t>S.M. and A.D. acknowledge the financial support from the University Grant Commission, New Delhi and Council of Scientific and Industrial Research, New Delhi respectively. P.S. and S.S. acknowledge the grants received from the programs University Potential for Excellence (Phase II) Jadavpur University, DST-PURSE and Centre of Advance Study (phase VI), Department of Geological Sciences, Jadavpur University. We thank Professor Somnath Dasgupta and an anonymous reviewer for their constructive suggestions that help to improve the clarity of the manuscript significantly. We also thank Professor M. Scambelluri for his editorial works.</t>
  </si>
  <si>
    <t>0024-4937</t>
  </si>
  <si>
    <t>1872-6143</t>
  </si>
  <si>
    <t>Lithos</t>
  </si>
  <si>
    <t>10.1016/j.lithos.2018.09.014</t>
  </si>
  <si>
    <t>HE2MI</t>
  </si>
  <si>
    <t>WOS:000453111800032</t>
  </si>
  <si>
    <t>Baylis, AMM; Tierney, M; Staniland, IJ; Brickle, P</t>
  </si>
  <si>
    <t>Baylis, Alastair M. M.; Tierney, Megan; Staniland, Iain J.; Brickle, Paul</t>
  </si>
  <si>
    <t>Habitat use of adult male South American fur seals and a preliminary assessment of spatial overlap with trawl fisheries in the South Atlantic</t>
  </si>
  <si>
    <t>MAMMALIAN BIOLOGY</t>
  </si>
  <si>
    <t>Fishery overlap; Patagonian shelf; Satellite telemetry; Movement ecology; Arctocephalus australis</t>
  </si>
  <si>
    <t>FORAGING SITE FIDELITY; BEHAVIOR; DISPERSAL; MOVEMENTS; PREDATOR; SHELF</t>
  </si>
  <si>
    <t>Little is known about the movement ecology of male South American fur seals (SAFS; Arctocephalus australis). To begin to address knowledge gaps we used satellite telemetry to track four adult male SAFS at the Falkland Islands over the non-breeding period, from May to December. Our aims were to describe adult male SAFS habitat use and quantify spatial overlap between male SAFS and commercial trawl fisheries. Foraging trip duration ranged from an individual mean of 8.6 +/- 6.7 days to 39.2 +/- 9.7 days. Adult males typically behaved like central place foragers and foraging trips were restricted to the Patagonian Shelf and shelf slope (mean distance 251 +/- 239 km). However, some males ventured as far as 990 km to the north of the Falkland Islands. Overall, male SAFS spent 64% of their time in areas of trawl fishing activity, with the majority of overlap occurring within the Argentinean Exclusive Economic Zone (56%) and the Falkland Islands Exclusive Economic Zone (43%). Although overlap does not necessarily equate to interaction, the extent to which SAFS and fisheries interact is currently poorly understood. The emerging picture from our study is that SAFS and fisheries overlap and potentially interact across large spatial scales and multiple fishery jurisdictions. (C) 2018 Published by Elsevier GmbH on behalf of Deutsche Gesellschaft fur Saugetierkunde.</t>
  </si>
  <si>
    <t>[Baylis, Alastair M. M.; Tierney, Megan; Brickle, Paul] South Atlantic Environm Res Inst, Stanley FIQQ 1ZZ, Falkland Island; [Baylis, Alastair M. M.] Macquarie Univ, Dept Biol Sci, Sydney, NSW 2109, Australia; [Staniland, Iain J.] British Antarctic Survey, NERC, Madingley Rd, Cambridge CB3 0ET, England; [Brickle, Paul] Univ Aberdeen, Sch Biol Sci Zool, Tillydrone Ave, Aberdeen AB24 2TZ, Scotland</t>
  </si>
  <si>
    <t>Macquarie University; UK Research &amp; Innovation (UKRI); Natural Environment Research Council (NERC); NERC British Antarctic Survey; University of Aberdeen</t>
  </si>
  <si>
    <t>Baylis, AMM (corresponding author), South Atlantic Environm Res Inst, Stanley FIQQ 1ZZ, Falkland Island.</t>
  </si>
  <si>
    <t>al_baylis@yahoo.com.au</t>
  </si>
  <si>
    <t>Baylis, Alastair/H-9471-2019; Staniland, Iain/I-4725-2012</t>
  </si>
  <si>
    <t>Baylis, Alastair/0000-0002-5167-0472; Staniland, Iain/0000-0003-2736-9134; Brickle, Paul/0000-0002-9870-3518</t>
  </si>
  <si>
    <t>South Atlantic Environmental Research Institute's GAP project, an initiative of the Falkland Islands Offshore Hydrocarbons Environmental Forum - Falkland Islands Government; Falkland Islands Petroleum Licensees Association; NERC [bas0100035] Funding Source: UKRI</t>
  </si>
  <si>
    <t>South Atlantic Environmental Research Institute's GAP project, an initiative of the Falkland Islands Offshore Hydrocarbons Environmental Forum - Falkland Islands Government; Falkland Islands Petroleum Licensees Association; NERC(UK Research &amp; Innovation (UKRI)Natural Environment Research Council (NERC))</t>
  </si>
  <si>
    <t>Field work was made possible with funding from the South Atlantic Environmental Research Institute's GAP project, an initiative of the Falkland Islands Offshore Hydrocarbons Environmental Forum, funded by the Falkland Islands Government and Falkland Islands Petroleum Licensees Association. Research was conducted under permit R14/2015 issued by the Falkland Islands Government.</t>
  </si>
  <si>
    <t>1616-5047</t>
  </si>
  <si>
    <t>1618-1476</t>
  </si>
  <si>
    <t>MAMM BIOL</t>
  </si>
  <si>
    <t>Mamm. Biol.</t>
  </si>
  <si>
    <t>10.1016/j.mambio.2018.07.007</t>
  </si>
  <si>
    <t>HA9KI</t>
  </si>
  <si>
    <t>WOS:000450619900011</t>
  </si>
  <si>
    <t>Zhu, GP; Duan, M; Ashford, JR; Wei, L; Zhou, MX; Bestley, S</t>
  </si>
  <si>
    <t>Zhu, Guoping; Duan, Mi; Ashford, Julian R.; Wei, Lian; Zhou, Mengxiao; Bestley, Sophie</t>
  </si>
  <si>
    <t>Otolith nucleus chemistry distinguishes Electrona antarctica in the westward-flowing Antarctic Slope Current and eastward-flowing Antarctic Circumpolar Current off East Antarctica</t>
  </si>
  <si>
    <t>Electrona antarctica; Otolith chemistry; East Antarctica; Antarctic circumpolar current; Antarctic slope front</t>
  </si>
  <si>
    <t>LIFE-HISTORY CONNECTIVITY; KING-GEORGE-ISLAND; BROKE-WEST; FUR SEALS; ICE-ZONE; FISH; LARVAL; WATERS; REGION; ABUNDANCE</t>
  </si>
  <si>
    <t>Eastward transport in the Southern Ocean is concentrated in jets associated with fronts in the Antarctic Circumpolar Current (ACC), whereas flow along the Antarctic continental slope is strongly westward in the Antarctic Slope Current (ASC). The dominant mesopelagic fish endemic to the Southern Ocean, Electrona antarctica (Gunther, 1878), has been linked to Circumpolar Deep Water (CDW) transported by the ACC, and a modified version of CDW associated with the ASC. In conjunction with a regional-scale hydrographic survey south of the Kerguelen Plateau, we sampled fish from the ACC and ASC across Princess Elizabeth Trough off East Antarctica, and examined their otolith chemistry. Material laid down in the nucleus during early life showed heterogeneity, arguing against a single homogeneous population. Instead, it suggested exposure to different environments after hatching, consistent with separate transport pathways along the ACC and ASC. Despite clear differences between stations documented in the survey, material laid down along the edge did not show heterogeneity, suggesting instead exposure to similar environments. Seasonal movement northward by ASC fish into the ACC may explain both these results, and potential physical mechanisms include circulation in the Australian Antarctic Gyre; northward movement of slope waters along the eastern margin of Princess Elizabeth Trough; and seasonal extension of sea-ice into the ACC. Such meridional movement would expose fish to zonal flow, eastward in the ACC during winter and westward in the ASC during summer, promoting regional retention as well as creating opportunities for mixing with fish transported along the ACC.</t>
  </si>
  <si>
    <t>[Zhu, Guoping; Duan, Mi; Wei, Lian; Zhou, Mengxiao] Shanghai Ocean Univ, Coll Marine Sci, Shanghai 201306, Peoples R China; [Zhu, Guoping] Natl Engn Res Ctr Ocean Fisheries, Shanghai 201306, Peoples R China; [Zhu, Guoping; Duan, Mi; Wei, Lian; Zhou, Mengxiao] Shanghai Ocean Univ, Polar Marine Ecosyst Grp, Key Lab Sustainable Exploitat Ocean Fisheries Res, Minist Educ, Shanghai 201306, Peoples R China; [Ashford, Julian R.] Old Dominion Univ, Ctr Quantitat Fisheries Ecol, 800 West 46th St, Norfolk, VA 23529 USA; [Bestley, Sophie] Univ Tasmania, Inst Marine &amp; Antarctic Studies, Private Bag 129, Hobart, Tas 7001, Australia; [Bestley, Sophie] CSIRO Oceans &amp; Atmosphere, GPO Box 1538, Hobart, Tas 7001, Australia</t>
  </si>
  <si>
    <t>Shanghai Ocean University; National Engineering Research Center for Oceanic Fisheries; Shanghai Ocean University; Old Dominion University; University of Tasmania; Commonwealth Scientific &amp; Industrial Research Organisation (CSIRO)</t>
  </si>
  <si>
    <t>Zhu, GP (corresponding author), Shanghai Ocean Univ, Coll Marine Sci, Shanghai 201306, Peoples R China.</t>
  </si>
  <si>
    <t>gpzhu@shou.edu.cn</t>
  </si>
  <si>
    <t>ZHU, Guo-ping/D-1002-2010; Bestley, Sophie/AAN-2483-2021</t>
  </si>
  <si>
    <t>Bestley, Sophie/0000-0001-9342-669X; Zhu, Guoping/0000-0001-6081-7811</t>
  </si>
  <si>
    <t>National Science Foundation of China [41776185]; National Key Research and Development Program of China [2018YFC1406801]; Australian Research Council's Special Research Initiative for Antarctic Gateway Partnership [SR140300001]; Australian Antarctic Survey Grant [4344]</t>
  </si>
  <si>
    <t>National Science Foundation of China(National Natural Science Foundation of China (NSFC)); National Key Research and Development Program of China; Australian Research Council's Special Research Initiative for Antarctic Gateway Partnership(Australian Research Council); Australian Antarctic Survey Grant</t>
  </si>
  <si>
    <t>We thank the Science Technical Support Team of the Australian Antarctic Division and the master and crew of the Aurora Australis for their considerable efforts to make this work happen. We are especially thankful for the assistance to collect the samples by fish team (Drs Andrea Walters, Rowan Trebilco, and Dale Maschette). We also thank Dr Lingqiao Cheng for her useful comments on the early manuscript. Our thanks also go to the chief scientist of this cruise, Dr Andrew Constable for his invitation. This project was supported by the National Science Foundation of China (Project ID 41776185 to G.P. Zhu), the National Key Research and Development Program of China (Project ID 2018YFC1406801 to G.P. Zhu) and Australian Antarctic Survey Grant 4344. S. Bestley was supported under the Australian Research Council's Special Research Initiative for Antarctic Gateway Partnership (Project ID SR140300001).</t>
  </si>
  <si>
    <t>10.1016/j.marenvres.2018.09.010</t>
  </si>
  <si>
    <t>HE0FZ</t>
  </si>
  <si>
    <t>WOS:000452943500002</t>
  </si>
  <si>
    <t>Wright, JT; Holmes, ZC; Byers, JE</t>
  </si>
  <si>
    <t>Wright, Jeffrey T.; Holmes, Zachary C.; Byers, James E.</t>
  </si>
  <si>
    <t>Stronger positive association between an invasive crab and a native intertidal ecosystem engineer with increasing wave exposure</t>
  </si>
  <si>
    <t>Crabs; Ecosystem engineer; Facilitation; Galeolaria caespitosa; Introduced species; Petrolisthes elongatus; Tasmania; Wave exposure</t>
  </si>
  <si>
    <t>BIOTIC RESISTANCE; FACILITATION; DISTURBANCE; RECRUITMENT; ORGANISMS; COMMUNITY; ABUNDANCE; PATTERNS; BOULDERS; CONSEQUENCES</t>
  </si>
  <si>
    <t>Ecosystem engineers are predicted to have stronger facilitative effects when environmental stress is higher. Here we examined whether facilitation of the invasive porcelain crab Petrolisthes elongatus by the ecosystem engineering serpulid tube worm Galeolaria caespitosa increased with wave exposure. Petrolisthes occurs beneath intertidal boulders which often have a high cover of Galeolaria on their underside. Surveys across nine sites demonstrated Petrolisthes abundance beneath boulders increased with wave exposure and Galeolaria cover, although only when the habitat matrix beneath boulders was rock or mixed rock and sand. Moreover, as wave exposure increased, the strength of relationship between Petrolisthes abundance and the surface area of Galeolaria also increased. Experimentally, the presence of Galeolaria on the underside of boulders increased Petrolisthes abundance by 50% compared to boulders lacking Galeolaria. Our findings suggest the facilitative role of Galeolaria is stronger at more wave-exposed sites, which appears to contribute to a higher abundance of invasive Petrolisthes.</t>
  </si>
  <si>
    <t>[Wright, Jeffrey T.] Univ Tasmania, Inst Marine &amp; Antarctic Studies, Private Bag 129, Hobart, Tas 7001, Australia; [Holmes, Zachary C.; Byers, James E.] Univ Georgia, Odum Sch Ecol, Athens, GA 30602 USA; [Holmes, Zachary C.] Duke Univ, Med Ctr, Dept Mol Genet &amp; Microbiol, Durham, NC 27710 USA</t>
  </si>
  <si>
    <t>University of Tasmania; University System of Georgia; University of Georgia; Duke University</t>
  </si>
  <si>
    <t>Wright, JT (corresponding author), Univ Tasmania, Inst Marine &amp; Antarctic Studies, Private Bag 129, Hobart, Tas 7001, Australia.</t>
  </si>
  <si>
    <t>jeffrey.wright@utas.edu.au</t>
  </si>
  <si>
    <t>Byers, James/AFJ-8413-2022; Wright, Jeffrey/J-7536-2014</t>
  </si>
  <si>
    <t>Byers, James/0000-0001-9240-0287; Wright, Jeffrey/0000-0002-1085-4582</t>
  </si>
  <si>
    <t>10.1016/j.marenvres.2018.09.025</t>
  </si>
  <si>
    <t>WOS:000452943500014</t>
  </si>
  <si>
    <t>Porobic, J; Fulton, EA; Frusher, S; Parada, C; Haward, M; Ernst, B; Stram, D</t>
  </si>
  <si>
    <t>Porobic, Javier; Fulton, Elizabeth A.; Frusher, Stewart; Parada, Carolina; Haward, Marcus; Ernst, Billy; Stram, Diana</t>
  </si>
  <si>
    <t>Implementing Ecosystem-based Fisheries Management: Lessons from Chile's experience</t>
  </si>
  <si>
    <t>EBFM; EAF; Small-scale fisheries; Policy coherence; Fisheries policy; Chilean ecosystems</t>
  </si>
  <si>
    <t>MAXIMUM SUSTAINABLE-YIELD; POLICY COHERENCE; CLIMATE-CHANGE; GOVERNANCE; FRAMEWORK; IMPACTS; MYTHS; MSY</t>
  </si>
  <si>
    <t>The Ecosystem-based Fisheries Management (EBFM) paradigm has been incorporated in the new Chilean Fisheries Act, requiring Chile to transition into EBFM. Chile is a major fishing nation and has substantial industrial and artisanal fleets that provide significant social and economic benefits to Chile and its coastal communities. With Chile facing global challenges, such as food security and climate change, transitioning to EBFM is seen as a mechanism for improved management of Chile's marine resources. Using Chile as an example to review coherence, strategies and implication of policies for transitioning toward EBFM. In Chile, the implementation of EBFM, in general, appears to be making progress and should be able to be applied for all fisheries (and aqua culture). Despite positive outcomes, there are weaknesses that can harm the successful implementation of EBFM. Changes such as management councils and scientific committees structured around ecosystems rather than single species, the engagement of broader types of stakeholders, and the use of appropriate reference points are necessary for a strong implementation of EBFM. Incorporating these modifications under the current management framework would enable Chile to improve its implementation of EBFM and prepare its fisheries to address future management challenges under scenarios of change.</t>
  </si>
  <si>
    <t>[Porobic, Javier] IMAS, Quantitat Marine Sci Program, Hobart, Tas, Australia; [Porobic, Javier; Fulton, Elizabeth A.] CSIRO Oceans &amp; Atmosphere, Hobart, Tas, Australia; [Fulton, Elizabeth A.; Frusher, Stewart; Haward, Marcus] Univ Tasmania, Ctr Marine Socioecol, Hobart, Tas, Australia; [Porobic, Javier; Frusher, Stewart; Haward, Marcus] Univ Tasmania, Inst Marine &amp; Antarctic Studies, Hobart, Tas, Australia; [Parada, Carolina] Univ Concepcion, Dept Geofis, Casilla 160-C, Concepcion, Chile; [Ernst, Billy] Univ Concepcion, Dept Oceanog, Casilla 160-C, Concepcion, Chile; [Ernst, Billy] Nucleo Milenio INVASAL, Concepcion, Chile; [Stram, Diana] North Pacific Fishery Management Council, 605 West 4th,Suite 306, Anchorage, AK 99501 USA</t>
  </si>
  <si>
    <t>Commonwealth Scientific &amp; Industrial Research Organisation (CSIRO); University of Tasmania; University of Tasmania; Universidad de Concepcion; Universidad de Concepcion</t>
  </si>
  <si>
    <t>Porobic, J (corresponding author), CSIRO Marine &amp; Atmospher Res, Hobart, Tas, Australia.</t>
  </si>
  <si>
    <t>javier.porobicgarate@csiro.au</t>
  </si>
  <si>
    <t>Parada Véliz, Carolina/HXK-1997-2023; Fulton, Beth/A-2871-2008; Porobic, Javier/ABE-7495-2021; Haward, Marcus/G-3369-2014</t>
  </si>
  <si>
    <t>Porobic, Javier/0000-0001-5642-5372; Haward, Marcus/0000-0003-4775-0864; Parada Veliz, Carolina/0000-0003-1311-5563</t>
  </si>
  <si>
    <t>10.1016/j.marpol.2018.08.037</t>
  </si>
  <si>
    <t>GX9DS</t>
  </si>
  <si>
    <t>WOS:000448099300010</t>
  </si>
  <si>
    <t>Webster, M; Gerland, S; Holland, M; Hunke, E; Kwok, R; Lecomte, O; Massom, R; Perovich, D; Sturm, M</t>
  </si>
  <si>
    <t>Webster, Melinda; Gerland, Sebastian; Holland, Marika; Hunke, Elizabeth; Kwok, Ron; Lecomte, Olivier; Massom, Robert; Perovich, Don; Sturm, Matthew</t>
  </si>
  <si>
    <t>Snow in the changing sea-ice systems</t>
  </si>
  <si>
    <t>MASS-BALANCE; THERMAL-CONDUCTIVITY; OPTICAL-PROPERTIES; REGIONAL PATTERNS; SOUTHERN-OCEAN; ARCTIC-OCEAN; LATE WINTER; PACK ICE; DEPTH; COVER</t>
  </si>
  <si>
    <t>Snow is the most reflective, and also the most insulative, natural material on Earth. Consequently, it is an integral part of the sea-ice and climate systems. However, the spatial and temporal heterogeneities of snow pose challenges for observing, understanding and modelling those systems under anthropogenic warming. Here, we survey the snow-ice system, then provide recommendations for overcoming present challenges. These include: collecting process-oriented observations for model diagnostics and understanding snow-ice feedbacks, and improving our remote sensing capabilities of snow for monitoring large-scale changes in snow on sea ice. These efforts could be achieved through stronger coordination between the observational, remote sensing and modelling communities, and would pay dividends through distinct improvements in predictions of polar environments.</t>
  </si>
  <si>
    <t>[Webster, Melinda] NASA, Goddard Space Flight Ctr, Greenbelt, MD 20771 USA; [Gerland, Sebastian] Norwegian Polar Res Inst, Tromso, Norway; [Holland, Marika] Natl Ctr Atmospher Res, POB 3000, Boulder, CO 80307 USA; [Hunke, Elizabeth] Los Alamos Natl Lab, Fluid Dynam &amp; Solid Mech Grp T 3, Los Alamos, NM USA; [Kwok, Ron] Jet Prop Lab, Pasadena, CA USA; [Lecomte, Olivier] Catholic Univ Louvain, Georges Lemaitre Ctr Earth &amp; Climate Res, Earth &amp; Life Inst, Louvain La Neuve, Belgium; [Massom, Robert] Australian Antarctic Div, Hobart, Tas, Australia; [Massom, Robert] Antarctic Climate &amp; Ecosyst Cooperat Res Ctr, Hobart, Tas, Australia; [Perovich, Don] Dartmouth Coll, Thayer Sch Engn, Hanover, NH 03755 USA; [Sturm, Matthew] Univ Alaska Fairbanks, Fairbanks, AK USA</t>
  </si>
  <si>
    <t>National Aeronautics &amp; Space Administration (NASA); NASA Goddard Space Flight Center; Norwegian Polar Institute; National Center Atmospheric Research (NCAR) - USA; United States Department of Energy (DOE); Los Alamos National Laboratory; National Aeronautics &amp; Space Administration (NASA); NASA Jet Propulsion Laboratory (JPL); Universite Catholique Louvain; Australian Antarctic Division; Antarctic Climate &amp; Ecosystems Cooperative Research Centre (ACE CRC); Dartmouth College; University of Alaska System; University of Alaska Fairbanks</t>
  </si>
  <si>
    <t>Webster, M (corresponding author), NASA, Goddard Space Flight Ctr, Greenbelt, MD 20771 USA.</t>
  </si>
  <si>
    <t>melinda.a.webster@nasa.gov</t>
  </si>
  <si>
    <t>Sturm, Matthew/GXF-6926-2022; Kwok, Ron/A-9762-2008; Kwok, Ronald/L-3968-2019</t>
  </si>
  <si>
    <t>Kwok, Ron/0000-0003-4051-5896; Kwok, Ronald/0000-0003-4051-5896; Holland, Marika/0000-0001-5621-8939; Perovich, Don/0000-0002-0576-0864; Massom, Robert/0000-0003-1533-5084; Webster, Melinda/0000-0002-5976-9485</t>
  </si>
  <si>
    <t>NASA Terrestrial Hydrology Program; Australian Antarctic Division; Australian Government's Cooperative Research Centres Programme through the Antarctic Climate and Ecosystems Cooperative Research Centre; National Science Foundation; NASA Cryospheric Sciences Program; Belgian Fonds National de la Recherche Scientifique; European Commission [GA 727862, GA 641727]; project ID Arctic - Norwegian Ministries for Foreign Affairs and Climate and Environment (programme Arktis 2030).; Earth system modelling programme of the Department of Energy's Biological and Environmental Research Program; Jet Propulsion Laboratory, California Institute of Technology; ESA; NASA; NSF [1603361]; Directorate For Geosciences; Office of Polar Programs (OPP) [1603361] Funding Source: National Science Foundation</t>
  </si>
  <si>
    <t>NASA Terrestrial Hydrology Program(National Aeronautics &amp; Space Administration (NASA)); Australian Antarctic Division; Australian Government's Cooperative Research Centres Programme through the Antarctic Climate and Ecosystems Cooperative Research Centre(Australian GovernmentDepartment of Industry, Innovation and ScienceCooperative Research Centres (CRC) Programme); National Science Foundation(National Science Foundation (NSF)); NASA Cryospheric Sciences Program(National Aeronautics &amp; Space Administration (NASA)); Belgian Fonds National de la Recherche Scientifique(Fonds de la Recherche Scientifique - FNRS); European Commission(European Union (EU)European Commission Joint Research Centre); project ID Arctic - Norwegian Ministries for Foreign Affairs and Climate and Environment (programme Arktis 2030).; Earth system modelling programme of the Department of Energy's Biological and Environmental Research Program; Jet Propulsion Laboratory, California Institute of Technology; ESA(European Space Agency); NASA(National Aeronautics &amp; Space Administration (NASA)); NSF(National Science Foundation (NSF)); Directorate For Geosciences; Office of Polar Programs (OPP)(National Science Foundation (NSF)NSF - Directorate for Geosciences (GEO))</t>
  </si>
  <si>
    <t>M.S. was funded by the NASA Terrestrial Hydrology Program. R.M. was supported by the Australian Antarctic Division and the Australian Government's Cooperative Research Centres Programme through the Antarctic Climate and Ecosystems Cooperative Research Centre. M.H. was supported by the National Science Foundation. D.P. and M.W. were funded by the NASA Cryospheric Sciences Program. O.L. was supported by the Belgian Fonds National de la Recherche Scientifique and the European Commission's Horizon 2020 projects APPLICATE (GA 727862) and PRIMAVERA (GA 641727). S.G. was supported by the project ID Arctic, funded by the Norwegian Ministries for Foreign Affairs and Climate and Environment (programme Arktis 2030). E.C.H. was supported by the Earth system modelling programme of the Department of Energy's Biological and Environmental Research Program. R.K. was supported by the Jet Propulsion Laboratory, California Institute of Technology under contract with NASA. We thank the following investigators for the 2000-2017 spring snow depth data shown in Fig. 2a: C. Polashenski, N. Wright, G. Liston and C. Planck from the project Snow, Wind, and Time: Understanding Snow Redistribution and its Effects on Sea Ice Mass Balance (NSF Award Number: 1603361); B. Notenboom on behalf of the 2-Degree North Pole Expedition; the Norwegian Polar Institute's long-term Arctic sea ice monitoring programme and the Norwegian Young Sea Ice Cruise (N-ICE2015); B. Ousland (and T. Ulrich in 2007) from Arctic traverses in 2001 and 2007, and A. Hubert and D. Dansercoer from the ESA-sponsored Arctic Arc expedition in 2007.</t>
  </si>
  <si>
    <t>10.1038/s41558-018-0286-7</t>
  </si>
  <si>
    <t>GY8AK</t>
  </si>
  <si>
    <t>WOS:000448839600013</t>
  </si>
  <si>
    <t>Jeofry, H; Ross, N; Le Brocq, A; Graham, AGC; Li, JL; Gogineni, P; Morlighem, M; Jordan, T; Siegert, MJ</t>
  </si>
  <si>
    <t>Jeofry, Hafeez; Ross, Neil; Le Brocq, Anne; Graham, Alastair G. C.; Li, Jilu; Gogineni, Prasad; Morlighem, Mathieu; Jordan, Thomas; Siegert, Martin J.</t>
  </si>
  <si>
    <t>Hard rock landforms generate 130 km ice shelf channels through water focusing in basal corrugations</t>
  </si>
  <si>
    <t>WEDDELL SEA SECTOR; WEST ANTARCTICA; SUBGLACIAL BEDFORMS; STREAMLINED HARD; GROUNDING LINE; SHEET; BED; BENEATH; MODEL; ZONE</t>
  </si>
  <si>
    <t>Satellite imagery reveals flowstripes on Foundation Ice Stream parallel to ice flow, and meandering features on the ice-shelf that cross-cut ice flow and are thought to be formed by water exiting a well-organised subglacial system. Here, ice-penetrating radar data show flow-parallel hard-bed landforms beneath the grounded ice, and channels incised upwards into the ice shelf beneath meandering surface channels. As the ice transitions to flotation, the ice shelf incorporates a corrugation resulting from the landforms. Radar reveals the presence of subglacial water alongside the landforms, indicating a well-organised drainage system in which water exits the ice sheet as a point source, mixes with cavity water and incises upwards into a corrugation peak, accentuating the corrugation downstream. Hard-bedded landforms influence both subglacial hydrology and ice-shelf structure and, as they are known to be widespread on formerly glaciated terrain, their influence on the ice-sheet-shelf transition could be more widespread than thought previously.</t>
  </si>
  <si>
    <t>[Jeofry, Hafeez; Siegert, Martin J.] Imperial Coll London, Grantham Inst, London SW7 2AZ, England; [Jeofry, Hafeez; Siegert, Martin J.] Imperial Coll London, Dept Earth Sci &amp; Engn, London SW7 2AZ, England; [Jeofry, Hafeez] Univ Malaysia Terengganu, Sch Marine Sci &amp; Environm, Kuala Terengganu 21300, Terengganu, Malaysia; [Ross, Neil] Newcastle Univ, Sch Geog Polit &amp; Sociol, Newcastle Upon Tyne NE1 7RU, Tyne &amp; Wear, England; [Le Brocq, Anne; Graham, Alastair G. C.] Univ Exeter, Geog, Coll Life &amp; Environm Sci, Exeter EX4 4RJ, Devon, England; [Li, Jilu] Univ Kansas, Ctr Remote Sensing Ice Sheets, Lawrence, KS 66045 USA; [Gogineni, Prasad] Univ Alabama, ECE Dept, Tuscaloosa, AL 35487 USA; [Gogineni, Prasad] Univ Alabama, AEM Dept, Tuscaloosa, AL 35487 USA; [Morlighem, Mathieu] Univ Calif Irvine, Dept Earth Syst Sci, Irvine, CA 92697 USA; [Jordan, Thomas] Stanford Univ, Dept Geophys, Stanford, CA 94305 USA; [Jordan, Thomas] Univ Bristol, Sch Geog Sci, Bristol BS8 1SS, Avon, England</t>
  </si>
  <si>
    <t>Imperial College London; Imperial College London; Universiti Malaysia Terengganu; Newcastle University - UK; University of Exeter; University of Kansas; University of Alabama System; University of Alabama Tuscaloosa; University of Alabama System; University of Alabama Tuscaloosa; University of California System; University of California Irvine; Stanford University; University of Bristol</t>
  </si>
  <si>
    <t>Siegert, MJ (corresponding author), Imperial Coll London, Grantham Inst, London SW7 2AZ, England.;Siegert, MJ (corresponding author), Imperial Coll London, Dept Earth Sci &amp; Engn, London SW7 2AZ, England.</t>
  </si>
  <si>
    <t>m.siegert@imperial.ac.uk</t>
  </si>
  <si>
    <t>Jeofry, Hafeez/AAG-5474-2019; Siegert, Martin J/A-3826-2008; Siegert, Martin/M-9939-2019; Morlighem, Mathieu/O-9942-2014</t>
  </si>
  <si>
    <t>Siegert, Martin J/0000-0002-0090-4806; Siegert, Martin/0000-0002-0090-4806; Morlighem, Mathieu/0000-0001-5219-1310; Jordan, Thomas/0000-0002-2096-8858; Jeofry, Muhammad Hafeez/0000-0003-4638-4516</t>
  </si>
  <si>
    <t>NASA [NNX10AT68G]; University of Kansas; UK NERC AFI [NE/G013071/1]; NERC [NE/G013071/1, NE/G00465X/3] Funding Source: UKRI</t>
  </si>
  <si>
    <t>NASA(National Aeronautics &amp; Space Administration (NASA)); University of Kansas; UK NERC AFI(UK Research &amp; Innovation (UKRI)Natural Environment Research Council (NERC)); NERC(UK Research &amp; Innovation (UKRI)Natural Environment Research Council (NERC))</t>
  </si>
  <si>
    <t>CReSIS radar data were collected as a part of NASA grant # NNX10AT68G and a significant resources for processing these data were provided through ANT # NT-0424589, and with additional support from the University of Kansas. IMAFI radar data were collected through UK NERC AFI grant NE/G013071/1 to MJS. We thank Quantarctica and the Norwegian Polar Institute for datasets and colour schemes used in Figs. 1 and 3 (see: http://quantarctica.npolar.no/about.html).Supplementary Figure 4 uses the Bedmap2 depiction of the Antarctic subglacial topography (https://www.bas.ac.uk/project/bedmap-2/).We would like to acknowledge the hard work done by the Moderate-Resolution Imaging Spectroradiometer (MODIS) Mosaic of Antarctica (MOA) team in compiling the MOA imagery used in Fig. 1, and Supplementary Figures 1 and 4 (https://nsidc.org/data/moa). We would also like to thank Dustin Schroeder at Stanford University for his helpful comments on the reflectivity analysis.</t>
  </si>
  <si>
    <t>NOV 1</t>
  </si>
  <si>
    <t>10.1038/s41467-018-06679-z</t>
  </si>
  <si>
    <t>GY9EF</t>
  </si>
  <si>
    <t>WOS:000448941200006</t>
  </si>
  <si>
    <t>Bova, SC; Herbert, TD; Altabet, MA</t>
  </si>
  <si>
    <t>Bova, Samantha C.; Herbert, Timothy D.; Altabet, Mark A.</t>
  </si>
  <si>
    <t>Ventilation of Northern and Southern Sources of Aged Carbon in the Eastern Equatorial Pacific During the Younger Dryas Rise in Atmospheric CO2</t>
  </si>
  <si>
    <t>INTERMEDIATE WATER VENTILATION; TROPICAL PACIFIC; DEEP-OCEAN; RADIOCARBON EVIDENCE; GLACIAL TERMINATION; CLIMATE-CHANGE; SEA-SURFACE; LAST; DIOXIDE; VARIABILITY</t>
  </si>
  <si>
    <t>Atmospheric carbon dioxide (CO2) levels rose by similar to 90 ppmv during the last deglaciation, but the source of this carbon remains unknown. One popular hypothesis suggests carbon accumulated in the deep Southern Ocean, becoming increasingly radiocarbon (C-14) depleted during the last glacial period, and was released into Antarctic Intermediate Water (AAIW) and, subsequently, the atmosphere during deglaciation. Detection of extremely C-14 depleted carbon in the intermediate-depth tropical oceans during periods of atmospheric CO2 rise was initially considered the smoking gun for the hypothesis, but attempts to reproduce the anomalies closer to the Southern Ocean source have largely failed. Here we present new C-14 records from four cores recovered at intermediate depths in the eastern equatorial Pacific (EEP). In the context of additional geochemical records, including benthic foraminiferal stable isotopes and sedimentary nitrogen isotopes, we demonstrate that the extreme C-14 anomalies observed during the last deglaciation do not reflect the radiocarbon content of AAIW. We show that although AAIW likely transported modestly C-14 depleted carbon to the EEP subsurface, the extreme C-14 signatures might reflect a distinct source of aged carbon arriving from the north, suggesting the North Pacific helped transport deep ocean carbon to the atmosphere during the last deglaciation. In the EEP, additional local hydrothermal inputs of( 14)C-free carbon near the Galapagos Islands magnified the already low-C-1(4) signatures. Finally, regardless of arrival route (North/South Pacific or hydrothermal), C-14-depleted carbon was released from the EEP subsurface during a late deglacial pulse of renewed upwelling, likely contributing to the Younger Dryas rise in atmospheric CO2. Plain Language Summary Atmospheric carbon dioxide (CO2) is an important greenhouse gas that helps propagate major changes in Earth's climate. The last deglaciation (11,000-18,000 years BP) is the most recent natural example of rapid CO2 rise comparable in magnitude, though not in duration, to the human perturbation. Thus, understanding what drove atmospheric CO2 rise during this transition period may help us better understand the carbon system and predict its response to future change. It has been previously hypothesized that the deep ocean stores carbon away from the atmosphere during glacial intervals, thereby cooling global climate, but it is not yet clear what drives its release or by what pathway it returns to the atmosphere during deglaciation. In this paper, we use radiocarbon measurements on the shells of deep-dwelling foraminifera (single-celled protists with shells) to detect the release of glacially stored deep ocean carbon, which should have an aged or low radiocarbon signature, in the eastern equatorial Pacific. The data presented here provide evidence for the release of this aged deep ocean carbon in the eastern equatorial Pacific during the last deglaciation and also reveal an influx of radiocarbon-free geologic carbon to the study site, likely sourced from nearby hydrothermal systems.</t>
  </si>
  <si>
    <t>[Bova, Samantha C.] State Univ New Jersey Rutgers, Inst Earth Ocean &amp; Atmospher Sci, Dept Marine &amp; Coastal Sci, New Brunswick, NJ 08901 USA; [Herbert, Timothy D.] Brown Univ, Inst Brown Study Environm &amp; Soc, Dept Earth Environm &amp; Planetary Sci, Providence, RI 02912 USA; [Altabet, Mark A.] Univ Massachusetts, Sch Marine Sci &amp; Technol, New Bedford, MA USA</t>
  </si>
  <si>
    <t>Rutgers University System; Rutgers University New Brunswick; Brown University; University of Massachusetts System</t>
  </si>
  <si>
    <t>Bova, SC (corresponding author), State Univ New Jersey Rutgers, Inst Earth Ocean &amp; Atmospher Sci, Dept Marine &amp; Coastal Sci, New Brunswick, NJ 08901 USA.</t>
  </si>
  <si>
    <t>samantha.bova@rutgers.edu</t>
  </si>
  <si>
    <t>Bova, Samantha/0000-0002-5064-8775; Altabet, Mark/0000-0003-3120-0710; Herbert, Timothy/0000-0003-1556-4290</t>
  </si>
  <si>
    <t>NSF-OCE [1003387]; Directorate For Geosciences; Division Of Ocean Sciences [1003387] Funding Source: National Science Foundation</t>
  </si>
  <si>
    <t>NSF-OCE(National Science Foundation (NSF)NSF - Directorate for Geosciences (GEO)); Directorate For Geosciences; Division Of Ocean Sciences(National Science Foundation (NSF)NSF - Directorate for Geosciences (GEO))</t>
  </si>
  <si>
    <t>We thank Luke Skinner and two other anonymous reviewers for helpful comments that greatly improved this manuscript. Support for this work was provided by funds from NSF-OCE grant 1003387. Radiocarbon data are provided as a supporting information data set to this publication. All data sets (radiocarbon, benthic delta13C, benthic delta18O, and sedimentary delta15N) are archived online at the World Data Service for Paleoclimatology (https://www.ncdc.noaa.gov/data-access/paleoclimatology-data).</t>
  </si>
  <si>
    <t>10.1029/2018PA003386</t>
  </si>
  <si>
    <t>HD7KD</t>
  </si>
  <si>
    <t>WOS:000452730000002</t>
  </si>
  <si>
    <t>Poggemann, DW; Nürnberg, D; Hathorne, EC; Frank, M; Rath, W; Reissig, S; Bahr, A</t>
  </si>
  <si>
    <t>Poggemann, D-W; Nuernberg, D.; Hathorne, E. C.; Frank, M.; Rath, W.; Reissig, S.; Bahr, A.</t>
  </si>
  <si>
    <t>Deglacial Heat Uptake by the Southern Ocean and Rapid Northward Redistribution Via Antarctic Intermediate Water</t>
  </si>
  <si>
    <t>FORAMINIFERAL MG/CA PALEOTHERMOMETRY; MERIDIONAL OVERTURNING CIRCULATION; NEODYMIUM ISOTOPE COMPOSITION; LAST GLACIAL MAXIMUM; BIPOLAR SEE-SAW; TROPICAL ATLANTIC; THERMOHALINE CIRCULATION; PALEOCLIMATE DATA; AMOC VARIABILITY; CLIMATE-CHANGE</t>
  </si>
  <si>
    <t>Antarctic Intermediate Water (AAIW) is an important conduit for nutrients to reach the nutrient-poor low-latitude ocean areas. In the Atlantic, it forms part of the return path of the Atlantic Meridional Overturning Circulation (AMOC). Despite the importance of AAIW, little is known about variations in its composition and signature during the prominent AMOC and climate changes of the last deglaciation. Here we reconstruct benthic foraminiferal Mg/Ca-based intermediate water temperatures (IWTMg/ca) and intermediate water neodymium (Nd) isotope compositions at submillennial resolution from unique sediment cores located at the northern tip of modern AAIW extent in the tropical W-Atlantic (850- and 1018-m water depth). Our data indicate a pronounced warming of AAIW in the tropical W-Atlantic during Heinrich Stadial 1 and the Younger Dryas. We argue that these warming events were induced by major AMOC perturbations resulting in the pronounced accumulation of heat in the surface Southern Ocean. Combined with published results, our data suggest the subsequent uptake of Southern Ocean heat by AAIW and its rapid northward transfer to the tropical W-Atlantic. Hence, the rapid deglacial northern climate perturbations directly controlled the AAIW heat budget in the tropical W-Atlantic after a detour via the Southern Ocean. We speculate that the ocean heat redistribution via AAIW effectively dampened Southern Hemisphere warming during the deglaciation and may therefore have been a crucial player in the climate seesaw mechanisms between the two hemispheres.</t>
  </si>
  <si>
    <t>[Poggemann, D-W; Nuernberg, D.; Hathorne, E. C.; Frank, M.; Rath, W.; Reissig, S.] GEOMAR Helmholtz Ctr Ocean Res Kiel, Kiel, Germany; [Bahr, A.] Heidelberg Univ, Inst Earth Sci, Heidelberg, Germany</t>
  </si>
  <si>
    <t>Helmholtz Association; GEOMAR Helmholtz Center for Ocean Research Kiel; Ruprecht Karls University Heidelberg</t>
  </si>
  <si>
    <t>Nürnberg, D (corresponding author), GEOMAR Helmholtz Ctr Ocean Res Kiel, Kiel, Germany.</t>
  </si>
  <si>
    <t>dnuernberg@geomar.de</t>
  </si>
  <si>
    <t>Hathorne, Ed/AAC-6315-2020; Rath, Willi/AAH-5654-2021</t>
  </si>
  <si>
    <t>Hathorne, Ed/0000-0002-7813-2455; Rath, Willi/0000-0003-1951-8494; Bahr, Andre/0000-0001-5890-8773; Nuernberg, Dirk/0000-0002-7136-1896; Frank, Martin/0000-0002-8606-4421</t>
  </si>
  <si>
    <t>Cluster of Excellence-The Future Ocean Kiel</t>
  </si>
  <si>
    <t>This research was funded by the Cluster of Excellence-The Future Ocean Kiel. We would like to thank Katharina Pahnke and Philipp Bonning (University of Oldenburg, Germany) for the Nd isotope measurements. We thank the crew of R/V Meteor for their help in the collection of the sediment samples. All data are available online at the Data Publisher for Earth &amp; Environmental Science, PANGAEA: https://doi.org/10.1594/PANGAEA.895761.</t>
  </si>
  <si>
    <t>10.1029/2017PA003284</t>
  </si>
  <si>
    <t>Bronze, Green Submitted, Green Published</t>
  </si>
  <si>
    <t>WOS:000452730000009</t>
  </si>
  <si>
    <t>King, TM; Rosenheim, BE; Post, AL; Gabris, T; Burt, T; Domack, EW</t>
  </si>
  <si>
    <t>King, Theresa M.; Rosenheim, Brad E.; Post, Alexandra L.; Gabris, Theresa; Burt, Taylor; Domack, Eugene W.</t>
  </si>
  <si>
    <t>Large-Scale Intrusion of Circumpolar Deep Water on Antarctic Margin Recorded by Stylasterid Corals</t>
  </si>
  <si>
    <t>RADIOCARBON-BASED AGES; LATE-HOLOCENE ADVANCE; ICE-SHELF; GLACIER FLUCTUATIONS; SOUTHERN-OCEAN; CLIMATE-CHANGE; BOMB RADIOCARBON; NEW-ZEALAND; PRIMNOA-RESEDAEFORMIS; SEDIMENTARY RECORD</t>
  </si>
  <si>
    <t>We present centennial-scale radiocarbon ( C-14) records archived by deep sea stylasterid corals from the outer shelf and upper slope of the Antarctic margin. These novel stylasterids (Errina spp.) were collected from the western Ross Sea shelf (500 m) and slope (1,700 m), as well as the eastern Wilkes Land shelf (670 m). We provide two corals from each region and document an abrupt reversal of C-14 ages in the upper (younger) part of each coral. We test the statistical robustness of each record and demonstrate the significance of the age reversals, as well as the ability of these corals to record environmental change. We discuss a variety of possible drivers for this C-14 reversal and conclude that it is most likely an encroachment of C-14-depeleted Circumpolar Deep Water (CDW). This water mass has regionally intruded onto the Antarctic margin in recent decades, facilitating loss of grounded Antarctic ice; which has implications for global sea level, deep-water formation, and carbon sequestration in the Southern Ocean. Thus, understanding the past variability of CDW on the margin is vital to better constrain climate change trajectories in the near future. We estimate large-scale encroachment of CDW onto the shelf likely commencing after 1830 CE (+/- 120 year). We present possible drivers for the intrusion, but highlight the need for additional chronologic constraint. This study not only demonstrates the utility of a novel coral taxon but also presents the paleoceanographic community with a testable hypothesis concerning a recent, widespread CDW intrusion. Plain Language Summary The Southern Ocean surrounds the continent of Antarctica and is made up of some of the world's oldest water. Waters from around the globe flow into the Southern Ocean where they can mix and flow back out to recirculate around the world. One such old water mass is Circumpolar Deep Water, or CDW, and it is made from parts of warm Atlantic waters and cool polar waters. Some Atlantic heat is retained in CDW and gives it a characteristic temperature of 1 degrees C, which is warm enough to melt ice around Antarctica. CDW is generally deeper than other waters and does not routinely interact with ice around Antarctica. Recently, CDW has been making its way up under ice shelves (the floating extension of land-based ice) in Antarctica and melting significant amounts of ice. When the ice shelves melt, the support that they provide the grounded ice behind them is compromised, and large amounts of ice on land can flow faster out to sea. This has the potential to greatly increase global sea level, impacting the increasingly dense coastal communities around the world. Because CDW is also much older than other water masses in the Southern Ocean, it has a very distinct, old radiocarbon age. In this study, we employ deep sea stylasterid corals as archives of past ocean variability. As the corals grow, they incorporate chemical signals into their skeletons that reflect the chemical signals of the water they are living in, including radiocarbon. We analyze corals from two locations on the Antarctic continental shelf, located seaward of nearby ice shelves. These sites are 1,300 km (800 miles) apart in different settings at the western Ross Sea and eastern Wilkes Land margins. We expected that if the stylasterids were growing and there was no water mass change, the radiocarbon records should be older at the bottom of the specimen and younger at the top, similar to how we would expect a tree to grow. What we observe is an unexpected change in the younger portion of each coral; the ages become abruptly older. This suggests that at some point during the corals' lives, old CDW had moved in and forced them to record older ages. Further, the CDW intrusion was recorded by each coral, which suggests that this was a large-scale event, happening over a wide range of the Antarctic margin. We convert the radiocarbon ages to calendar years and determine that the intrusion of CDW up onto the continental shelf roughly coincides with a time of stronger winds over the Southern Ocean as well as reduced bottom water formation in the midnineteenth century. Stronger westerly winds would force surface waters offshore, pulling CDW up onto the shelf to replace it. A reduced amount of bottom water being produced on the shelf (through ice freezing that rejects salty water that sinks to the bottom of the ocean); CDW could also be pulled up to fill a void. At this point we are unable to separate the true mechanism that caused CDW to flow up onto the continental shelf, but we are hopeful that with additional methods of age determination we can. What is more, we have evidence for an intrusion of CDW in a region of Antarctica that was previously unaffected. These findings could help us understand on what timescale CDW intrudes under ice shelves and help us better understand the possible impacts CDW-induced melt could have in the near future.</t>
  </si>
  <si>
    <t>[King, Theresa M.; Rosenheim, Brad E.; Domack, Eugene W.] Univ S Florida, Coll Marine Sci, St Petersburg, FL 33701 USA; [Post, Alexandra L.] Geosci Australia, Marine &amp; Coastal Environm Grp, Canberra, ACT, Australia; [Gabris, Theresa; Burt, Taylor] Hamilton Coll, Clinton, NY 13323 USA</t>
  </si>
  <si>
    <t>State University System of Florida; University of South Florida; Geoscience Australia; Hamilton College</t>
  </si>
  <si>
    <t>King, TM (corresponding author), Univ S Florida, Coll Marine Sci, St Petersburg, FL 33701 USA.</t>
  </si>
  <si>
    <t>theresaking@mail.usf.edu</t>
  </si>
  <si>
    <t>Rosenheim, Brad/F-6349-2012</t>
  </si>
  <si>
    <t>Rosenheim, Brad/0000-0001-6141-4651; King, Theresa/0000-0002-5176-4380</t>
  </si>
  <si>
    <t>Early work on the coral radiocarbon records was supported by grants from the National Science Foundation to E.W. Domack while at Hamilton College. We are grateful to the scientists of NBP 07-01 for preserving the coral specimens as bycatch of rock dredges and for the help of A. Leventer and B. Huber in the shipping of the specimens to Hamilton College. We are grateful also for the crew and contract support during NBP 14-02 while we collected corals from the Wilkes Land margin. Samples used in this study have been assigned the following International Geo Sample Numbers (IGSNs): IECOR0001 to IECOR0035; http://www.geosamples.org/. All data generated in this study are available in tables found in the supporting information.</t>
  </si>
  <si>
    <t>10.1029/2018PA003439</t>
  </si>
  <si>
    <t>WOS:000452730000010</t>
  </si>
  <si>
    <t>De Santis, A; Pavón-Carrasco, FJ; Ferraccioli, F; Catalán, M; Ishihara, T</t>
  </si>
  <si>
    <t>De Santis, Angelo; Pavon-Carrasco, F. Javier; Ferraccioli, Fausto; Catalan, Manuel; Ishihara, Takemi</t>
  </si>
  <si>
    <t>Statistical analysis of the oceanic magnetic anomaly data</t>
  </si>
  <si>
    <t>PHYSICS OF THE EARTH AND PLANETARY INTERIORS</t>
  </si>
  <si>
    <t>Geomagnetism; Magnetic anomaly data; Oceanic lithosphere; Laplace distribution; Cretaceous Normal Superchron</t>
  </si>
  <si>
    <t>CRUSTAL MAGNETIZATION; GEOMAGNETIC-FIELD; MODELS; CHAMP; FIT</t>
  </si>
  <si>
    <t>The study of the statistical properties of ocean magnetic anomalies could be very important to obtain new understanding on plate tectonics, especially about the past properties of the lithospheric oceanic plates. Here we analyse in terms of statistical distributions the ocean magnetic anomaly data at the global scale covering the crustal oceanic ages from the present to 180 Ma. Our results show that the marine magnetic anomaly data follow the Laplace statistical distribution. This behaviour is observed at global scale and for any time interval within the last 180 Ma. In addition, the statistical parameters of the Laplace distribution are used to define some properties of the crustal oceanic magnetic field, focusing our investigation on the Cretaceous Normal Superchron. Finally, we also provide a physical explanation of this statistical distribution of marine magnetic anomaly data using a test with synthetic data.</t>
  </si>
  <si>
    <t>[De Santis, Angelo; Pavon-Carrasco, F. Javier] Ist Nazl Geofis &amp; Vulcanol, Sez Roma 2, Rome, Italy; [De Santis, Angelo] Univ G Dannunzio, Chieti, Italy; [Ferraccioli, Fausto] British Antarctic Survey, Cambridge, England; [Catalan, Manuel] Real Inst &amp; Observ Armada, Cadiz, Spain; [Ishihara, Takemi] AIST, Inst Geol &amp; Geoinformat, Tokyo, Japan; [Pavon-Carrasco, F. Javier] Univ Complutense Madrid, Fac CC Fis, Madrid, Spain; [Pavon-Carrasco, F. Javier] CSIC UCM, IGEO, Inst Geociencias, Madrid, Spain</t>
  </si>
  <si>
    <t>Istituto Nazionale Geofisica e Vulcanologia (INGV); G d'Annunzio University of Chieti-Pescara; UK Research &amp; Innovation (UKRI); Natural Environment Research Council (NERC); NERC British Antarctic Survey; National Institute of Advanced Industrial Science &amp; Technology (AIST); Complutense University of Madrid; Complutense University of Madrid; Consejo Superior de Investigaciones Cientificas (CSIC); CSIC-UCM - Instituto de Geociencias (IGEO)</t>
  </si>
  <si>
    <t>De Santis, A (corresponding author), Via Vigna Murata 605, I-00153 Rome, Italy.</t>
  </si>
  <si>
    <t>angelo.desantis@ingv.it; fjpavon@ucm.es; ffe@bas.ac.uk; mcatalan@roa.es; t-ishihara@aist.go.jp</t>
  </si>
  <si>
    <t>De Santis, Angelo/AAG-2895-2021; Catalán, Manuel/R-6956-2018; Pavon-Carrasco, F. J./K-7234-2014</t>
  </si>
  <si>
    <t>Pavon-Carrasco, F. J./0000-0001-5545-3769; Ishihara, Takemi/0000-0002-7852-2111; Ferraccioli, Fausto/0000-0002-9347-4736</t>
  </si>
  <si>
    <t>INGV Research Grant; project SAGA-4-EPR (Italian Foreign Office); project DS3F (European Commission); project TEMPO (European Space Agency); NERC [bas0100029] Funding Source: UKRI</t>
  </si>
  <si>
    <t>INGV Research Grant; project SAGA-4-EPR (Italian Foreign Office); project DS3F (European Commission); project TEMPO (European Space Agency); NERC(UK Research &amp; Innovation (UKRI)Natural Environment Research Council (NERC))</t>
  </si>
  <si>
    <t>The data used in this work derive from the magnetic anomaly compilation Geophysical Data System (GEODAS) DVD Version 5.0.10 of the U.S. National Geophysical Data Center (NGDC), which also stores, among others, bathymetric and gravity data. FJPC acknowledges an INGV Research Grant. Also the funds provided in the framework of the projects SAGA-4-EPR (Italian Foreign Office), DS3F (European Commission) and TEMPO (European Space Agency) are acknowledged.</t>
  </si>
  <si>
    <t>0031-9201</t>
  </si>
  <si>
    <t>1872-7395</t>
  </si>
  <si>
    <t>PHYS EARTH PLANET IN</t>
  </si>
  <si>
    <t>Phys. Earth Planet. Inter.</t>
  </si>
  <si>
    <t>10.1016/j.pepi.2018.09.003</t>
  </si>
  <si>
    <t>HE0GC</t>
  </si>
  <si>
    <t>WOS:000452943800004</t>
  </si>
  <si>
    <t>Giffore, RM; Boos, CJ; Reynolds, RM; Woods, DR</t>
  </si>
  <si>
    <t>Giffore, Robert M.; Boos, Christopher J.; Reynolds, Rebecca M.; Woods, David R.</t>
  </si>
  <si>
    <t>Recovery time and heart rate variability following extreme endurance exercise in healthy women</t>
  </si>
  <si>
    <t>PHYSIOLOGICAL REPORTS</t>
  </si>
  <si>
    <t>Exercise; heart rate variability; women</t>
  </si>
  <si>
    <t>AUTONOMIC FUNCTION; SEX-DIFFERENCES; HEMODYNAMICS; BIOFEEDBACK; INTERVAL</t>
  </si>
  <si>
    <t>The relationship between autonomic function and recovery following prolonged arduous exercise in women has not been examined. We undertook an exploratory study that aimed to examine the temporal change in linear and nonlinear measures of heart rate variability (HRV) following prolonged arduous exercise in the form of first all-female (mean age 32.7 +/- 3.1 years) team to attempt an unassisted Antarctic traverse. HRV analysis was performed before and 1, 4, and 15 days postexpedition. The traverse was completed in 61 days. There was a significant paired reduction in heart rate, LnLF, LF:HF, DFA alpha 1 between baseline and 15 days postexercise in the same environment. Conversely, RMSSD, LnHF and HFnu, SD1:SD2, and SampEn significantly increased. DFA alpha 2 levels significantly fell from baseline to Day 1 postexercise. In conclusion, we observed a significant latent increase in relative parasympathetic dominance and RR interval irregularity at 15 days post prolonged arduous exercise, versus pre-exercise baseline, in a group of very fit and healthy adult women.</t>
  </si>
  <si>
    <t>[Giffore, Robert M.; Reynolds, Rebecca M.] Queens Med Res Inst, Ctr Cardiovasc Sci, Edinburgh, Midlothian, Scotland; [Giffore, Robert M.; Woods, David R.] Def Med Serv, Lichfield, England; [Boos, Christopher J.; Woods, David R.] Poole Hosp NHS Fdn Trust, Dept Cardiol, Longfleet Rd, Poole BH15 2JB, Dorset, England; [Boos, Christopher J.; Woods, David R.] Bournemouth Univ, Ctr Postgrad Med Educ, Bournemouth, Dorset, England; [Boos, Christopher J.; Woods, David R.] Leeds Beckett Univ, Res Inst Phys Act &amp; Leisure, Leeds, W Yorkshire, England; [Woods, David R.] Northumbria &amp; Newcastle NHS Trusts, Wansbeck Gen &amp; Royal Victoria Infirm, Newcastle Upon Tyne, Tyne &amp; Wear, England; [Woods, David R.] Univ Newcastle, Newcastle Upon Tyne, Tyne &amp; Wear, England</t>
  </si>
  <si>
    <t>University of Edinburgh; Bournemouth University; Leeds Beckett University; Newcastle University - UK</t>
  </si>
  <si>
    <t>Boos, CJ (corresponding author), Poole Hosp NHS Fdn Trust, Dept Cardiol, Longfleet Rd, Poole BH15 2JB, Dorset, England.</t>
  </si>
  <si>
    <t>christopherboos@hotmail.com</t>
  </si>
  <si>
    <t>Reynolds, Rebecca M/C-3044-2008</t>
  </si>
  <si>
    <t>Women in Ground Close Combat Research Programme</t>
  </si>
  <si>
    <t>This work was supported by the Women in Ground Close Combat Research Programme.</t>
  </si>
  <si>
    <t>2051-817X</t>
  </si>
  <si>
    <t>PHYSIOL REP</t>
  </si>
  <si>
    <t>PHYSIOL. REP.</t>
  </si>
  <si>
    <t>e13905</t>
  </si>
  <si>
    <t>10.14814/phy2.13905</t>
  </si>
  <si>
    <t>HE5BZ</t>
  </si>
  <si>
    <t>WOS:000453387200005</t>
  </si>
  <si>
    <t>Tahon, G; Tytgat, B; Willems, A</t>
  </si>
  <si>
    <t>Tahon, Guillaume; Tytgat, Bjorn; Willems, Anne</t>
  </si>
  <si>
    <t>Diversity of key genes for carbon and nitrogen fixation in soils from the Sor Rondane Mountains, East Antarctica</t>
  </si>
  <si>
    <t>RuBisCO; Diazotrophy; Sequencing; Autotrophy; Community analysis; Antarctic</t>
  </si>
  <si>
    <t>RIBULOSE 1,5-BISPHOSPHATE CARBOXYLASE/OXYGENASE; RIBOSOMAL-RNA SEQUENCES; LARGE-SUBUNIT GENES; CYANOBACTERIAL DIVERSITY; CO2 FIXATION; CD-HIT; BACTERIAL; COMMUNITIES; GREENGENES; PHYLOGENY</t>
  </si>
  <si>
    <t>Although Cyanobacteria are generally considered the most important primary producers and diazotrophs in Antarctic terrestrial ecosystems, in several high-altitude Antarctic regions, they were previously reported to be relatively rare in some samples. In view of these observations, we investigated the presence of non-cyanobacterial carbon- and nitrogen-fixing microorganisms in oligotrophic exposed soils without visible cyanobacterial biomass from the Sor Rondane Mountains, East Antarctica. An Illumina amplicon sequencing approach was used to analyze the bacterial community composition and the diversity and abundance of key genes involved in the carbon- and nitrogen-fixation processes. Analysis of the large subunit of type I ribulose-1,5-biphosphate carboxylase/oxygenase genes (cbbL) revealed a large actinobacterial, and alpha-, beta-, and gammaproteobacterial diversity of CbbL type IC, whereas type IA diversity was restricted to Bradyrhizobium sp.-like sequences. Although a large portion of the CbbL sequences grouped with those of cultivated bacteria, some belonged to currently unknown phylotypes. Data of 16S rRNA genes, however, also revealed that samples contained either considerable numbers of Cyanobacteria or Trebouxiophyceae as oxygenic phototrophic primary producers. Dinitrogenase-reductase genes (nifH) most similar to those of Nostocales cyanobacteria were dominantly retrieved from these oligotrophic soils. These findings suggest that diverse microorganisms capable of assimilating carbon dioxide through the Calvin-Benson-Bassham cycle inhabit these extreme terrestrial systems and potentially may contribute to primary production. However, Cyanobacteria, present in greatly varying numbers as assessed by Illumina amplicon sequencing of a 16S rRNA gene fragment, appear to be the most important nitrogen fixers in these habitats.</t>
  </si>
  <si>
    <t>[Tahon, Guillaume; Tytgat, Bjorn; Willems, Anne] Univ Ghent, Microbiol Lab, Dept Biochem &amp; Microbiol, KL Ledeganckstr 35, B-9000 Ghent, Belgium; [Tytgat, Bjorn] Univ Ghent, Lab Protistol &amp; Aquat Ecol, Dept Biol, B-9000 Ghent, Belgium</t>
  </si>
  <si>
    <t>Ghent University; Ghent University</t>
  </si>
  <si>
    <t>Tahon, G (corresponding author), Univ Ghent, Microbiol Lab, Dept Biochem &amp; Microbiol, KL Ledeganckstr 35, B-9000 Ghent, Belgium.</t>
  </si>
  <si>
    <t>Guillaume.Tahon@UGent.be</t>
  </si>
  <si>
    <t>; Willems, Anne/B-2872-2010</t>
  </si>
  <si>
    <t>, G/0000-0001-7020-4162; Willems, Anne/0000-0002-8421-2881</t>
  </si>
  <si>
    <t>Fund for Scientific Research-Flanders [G.0146.12]; Belgian Science Policy Office (Project CCAMBIO); Ghent University; Hercules Foundation; Flemish Government-department EWI</t>
  </si>
  <si>
    <t>Fund for Scientific Research-Flanders(FWO); Belgian Science Policy Office (Project CCAMBIO); Ghent University(Ghent University); Hercules Foundation; Flemish Government-department EWI</t>
  </si>
  <si>
    <t>This work was supported by the Fund for Scientific Research-Flanders (Project G.0146.12). Additional support was provided by the Belgian Science Policy Office (Project CCAMBIO). The computational resources (Stevin Supercomputer Infrastructure) and services used in this work were provided by the Flemish Supercomputer Center (VSC) funded by Ghent University, the Hercules Foundation, and the Flemish Government-department EWI. This work is a contribution to the State of the Antarctic Ecosystem (AntEco) research program of the Scientific Committee on Antarctic Research (SCAR).</t>
  </si>
  <si>
    <t>10.1007/s00300-018-2353-y</t>
  </si>
  <si>
    <t>GV4NE</t>
  </si>
  <si>
    <t>WOS:000446075800002</t>
  </si>
  <si>
    <t>Travers, T; van den Hoff, J; Lea, MA; Carlyon, K; Reisinger, R; de Bruyn, PJN; Morrice, M</t>
  </si>
  <si>
    <t>Travers, Toby; van den Hoff, John; Lea, Mary-Anne; Carlyon, Kris; Reisinger, Ryan; de Bruyn, P. J. Nico; Morrice, Margie</t>
  </si>
  <si>
    <t>Aspects of the ecology of killer whale (Orcinus orca Linn.) groups in the near-shore waters of Sub-Antarctic Macquarie Island</t>
  </si>
  <si>
    <t>Diet; Feeding behaviour; Group size; Southern elephant seal</t>
  </si>
  <si>
    <t>SEALS MIROUNGA-LEONINA; CROZET ARCHIPELAGO; POPULATION; BEHAVIOR; PREDATION; ABUNDANCE; OCEAN; CONSEQUENCES; PATAGONIA; DECLINES</t>
  </si>
  <si>
    <t>Occurrences of killer whales (Orcinus orca) in the waters surrounding Sub-Antarctic Macquarie Island have been recorded since the 1820s; however, their presence only became the focus of scientific research in the mid-1990s. The analyses of sightings data collected from the island between 1986 and 2015 are presented herein. The study provides evidence of a relationship between killer whale sighting probability and seasonal prey availability. Killer whales were present at the island year-round with a distinct seasonal peak in November-December, and coincident with a peak in occurrence of southern elephant seals (Mirounga leonina) due to breeding season activity, particularly the dispersal of weaned pups. Supporting this association and killer whales' top-down influence on the survival of juvenile and adult southern elephant seals, pinnipeds accounted for 79% of prey identified, with weaned southern elephant seal pups contributing over a quarter of feeding events observed in the near-shore environment. Fur seals and penguins were also identified as prey. Killer whale groups had a median group size of three individuals, and groups of three to five individuals were most often observed feeding/milling in near-shore waters. The largest range in group sizes were observed during their peak occurrence in early summer, particularly in the number of sub-adult and female whales per group. Adult males made up 75% of single occurrences, and singletons were most often observed travelling. Overall, the ecology of killer whales at Macquarie Island was similar to that of killer whales studied at other Sub-Antarctic locations, with comparable seasonality, behaviour, diet, and group structure. Much remains to be learnt regarding the seasonal movements of whales and their diet at other times of year, their relationship to killer whales sighted in coastal Australian, New Zealand and Antarctic ecosystems, and impact on diet from commercial fisheries operations and fluctuating prey populations.</t>
  </si>
  <si>
    <t>[Travers, Toby; Lea, Mary-Anne] Univ Tasmania, Inst Marine &amp; Antarctic Studies, 20 Castray Esplanade, Hobart, Tas 7000, Australia; [van den Hoff, John] Australian Antarctic Div, 203 Channel Highway, Kingston, Tas 7054, Australia; [Lea, Mary-Anne] Antarctic Climate &amp; Ecosyst CRC, 20 Castray Esplanade, Hobart, Tas 7000, Australia; [Carlyon, Kris] Dept Primary Ind Pk Water &amp; Environm, Marine Conservat Program, 134 Macquarie St, Hobart, Tas 7000, Australia; [Reisinger, Ryan] Nelson Mandela Univ, Dept Zool, POB 77000, ZA-6031 Port Elizabeth, South Africa; [Reisinger, Ryan] Univ La Rochelle, Ctr Etud Biol Chize, CNRS, UMR 7372, F-79360 Villiers En Bois, France; [de Bruyn, P. J. Nico] Univ Pretoria, Dept Zool &amp; Entomol, Mammal Res Inst, Private Bag X20, ZA-0028 Hatfield, South Africa; [Morrice, Margie] Deakin Univ, Sch Life &amp; Environm Sci, POB 432, Warrnambool, Vic 3280, Australia</t>
  </si>
  <si>
    <t>University of Tasmania; Australian Antarctic Division; University of Tasmania; Nelson Mandela University; Centre National de la Recherche Scientifique (CNRS); CNRS - Institute of Ecology &amp; Environment (INEE); La Rochelle Universite; University of Pretoria; Deakin University</t>
  </si>
  <si>
    <t>van den Hoff, J (corresponding author), Australian Antarctic Div, 203 Channel Highway, Kingston, Tas 7054, Australia.</t>
  </si>
  <si>
    <t>john_van@aad.gov.au</t>
  </si>
  <si>
    <t>de Bruyn, P. J. Nico/E-4176-2010; Lea, Mary-Anne/E-9054-2013; Reisinger, Ryan/D-6151-2014</t>
  </si>
  <si>
    <t>de Bruyn, P. J. Nico/0000-0002-9114-9569; Lea, Mary-Anne/0000-0001-8318-9299; Morrice, Margie/0000-0001-6903-4565; Reisinger, Ryan/0000-0002-8933-6875</t>
  </si>
  <si>
    <t>Whale and Dolphin Conservation Society</t>
  </si>
  <si>
    <t>Many thanks go to those keen-eyed expeditioners who contributed sightings data for killer whales at Macquarie Island. Shannon McKay, Catherine Bell, Marguerite Tarzia and Maria Garcia assisted with the database maintenance. The Whale and Dolphin Conservation Society are thanked for their support in an early collation of data for a Technical Report by MM.</t>
  </si>
  <si>
    <t>10.1007/s00300-018-2361-y</t>
  </si>
  <si>
    <t>WOS:000446075800008</t>
  </si>
  <si>
    <t>Xavier, JC; Cherel, Y; Medeiros, R; Velez, N; Dewar, M; Ratcliffe, N; Carreiro, AR; Trathan, PN</t>
  </si>
  <si>
    <t>Xavier, Jose C.; Cherel, Yves; Medeiros, Renata; Velez, Nadja; Dewar, Meagan; Ratcliffe, Norman; Carreiro, Ana R.; Trathan, Phil N.</t>
  </si>
  <si>
    <t>Conventional and molecular analysis of the diet of gentoo penguins: contributions to assess scats for non-invasive penguin diet monitoring</t>
  </si>
  <si>
    <t>Pygoscelis papua; Southern Ocean; Prey genetics; Feeding ecology; Conservation</t>
  </si>
  <si>
    <t>PREY MORPHOLOGICAL CHARACTERS; ANTARCTIC FUR SEALS; DNA-BASED ANALYSIS; PYGOSCELIS-PAPUA; SOUTH GEORGIA; MACARONI PENGUINS; FOOD-CONSUMPTION; MARINE PREDATORS; KRILL; SEX</t>
  </si>
  <si>
    <t>There is a growing search for less invasive methods while studying the diet of Antarctic animals in the wild. Therefore, we compared the diet of gentoo penguins from stomach contents (i.e. through visual identification of prey remains) and scats (i.e. faeces), and further compared prey DNA assay in fresh and old scats. Prey remains identified visually in stomach contents and scats were broadly comparable: the crustaceans and fish were the most important components, with Themisto gaudichaudii clearly being the most frequent and numerous prey species in both sampling methods. By mass, differences in species frequency were observed in stomach contents (Parachaenichthys georgianus) and scats (Champsocephalus gunnari), with the former fish species absent in scats. Differences were detected in the most frequent prey (T. gaudichaudii and Euphausia superba) and in various fish species, most with bigger sizes in scats. Allometric equations to estimate most crustacean's sizes (i.e. relationships between carapace and mass/total length) are needed. For DNA studies, when comparing DNA from fresh and old scats, both provided similar results that, in general, were also similar to the visual analysis. In order to use penguin scats (along with the use of DNA analyses) for monitoring purposes, allometric equations to estimate mass and size of prey (most crustaceans) and better designed species-specific primers are needed for targeting key prey species (e.g. Euphausia superba, T. gaudichaudii). These DNA methodologies can complement other methods (i.e. visual analyses and stomach contents analyses) in monitoring programs of penguins.</t>
  </si>
  <si>
    <t>[Xavier, Jose C.; Velez, Nadja; Carreiro, Ana R.] Univ Coimbra, Inst Marine Res, Dept Life Sci, P-3001401 Coimbra, Portugal; [Xavier, Jose C.; Ratcliffe, Norman; Trathan, Phil N.] British Antarctic Survey, Nat Environm Res Council, Madingley Rd, Cambridge CB3 0ET, England; [Cherel, Yves] Univ La Rochelle, Ctr Etud Biol Chize, CNRS, UMR 7372, F-79360 Villiers En Bois, France; [Medeiros, Renata] Cardiff Univ, Cardiff Sch Biosci, Sir Martin Evans Bldg,Museum Ave, Cardiff CF10 3AX, S Glam, Wales; [Dewar, Meagan] Federat Univ Australia, Sch Appl &amp; Biomed Sci, Berwick, Australia; [Dewar, Meagan] Deakin Univ, Sch Life &amp; Environm Sci, Burwood, Australia</t>
  </si>
  <si>
    <t>Universidade de Coimbra; UK Research &amp; Innovation (UKRI); Natural Environment Research Council (NERC); NERC British Antarctic Survey; Centre National de la Recherche Scientifique (CNRS); CNRS - Institute of Ecology &amp; Environment (INEE); La Rochelle Universite; Cardiff University; Federation University Australia; Deakin University</t>
  </si>
  <si>
    <t>Xavier, JC (corresponding author), Univ Coimbra, Inst Marine Res, Dept Life Sci, P-3001401 Coimbra, Portugal.;Xavier, JC (corresponding author), British Antarctic Survey, Nat Environm Res Council, Madingley Rd, Cambridge CB3 0ET, England.</t>
  </si>
  <si>
    <t>JCCX@cantab.net</t>
  </si>
  <si>
    <t>Carreiro, Ana Rita/JBJ-6406-2023; Carreiro, Ana Rita/ABD-8977-2020; Xavier, José/KFB-6739-2024; Velez, Nadja/KEJ-5394-2024; Dewar, Meagan/AAI-3969-2021; Medeiros, Renata/M-8616-2015</t>
  </si>
  <si>
    <t>Carreiro, Ana Rita/0000-0003-1300-1371; /0000-0002-9621-6660; Dewar, Meagan/0000-0003-0581-2422; Medeiros, Renata/0000-0002-5833-309X</t>
  </si>
  <si>
    <t>Investigator FCT program [IF/00616/2013]; FCT [MARE- UID/MAR/04292/2013]; Antarctic science Bursary; NERC [bas0100035] Funding Source: UKRI</t>
  </si>
  <si>
    <t>Investigator FCT program(Fundacao para a Ciencia e a Tecnologia (FCT)); FCT(Fundacao para a Ciencia e a Tecnologia (FCT)); Antarctic science Bursary; NERC(UK Research &amp; Innovation (UKRI)Natural Environment Research Council (NERC))</t>
  </si>
  <si>
    <t>We thank Antarctic science Bursary for the Antarctic Science scholarship awarded to this project and the editor Dieter Piepenburg, Tom Hart and two other referees for their comments. JX is supported by the Investigator FCT program (IF/00616/2013) and is part of the SCAR Ant-ERA, SCAR EGBAMM, PROPOLAR and ICED programs. This study benefited from the strategic program of MARE, financed by FCT (MARE-UID/MAR/04292/2013). We thank Naomi Treble and Alexandra McCubbin for their support in the lab.</t>
  </si>
  <si>
    <t>10.1007/s00300-018-2364-8</t>
  </si>
  <si>
    <t>WOS:000446075800010</t>
  </si>
  <si>
    <t>Yarzábal, LA; Monserrate, L; Buela, L; Chica, E</t>
  </si>
  <si>
    <t>Andres Yarzabal, Luis; Monserrate, Lorena; Buela, Lenys; Chica, Eduardo</t>
  </si>
  <si>
    <t>Antarctic Pseudomonas spp. promote wheat germination and growth at low temperatures</t>
  </si>
  <si>
    <t>Biofertilizers; Plant-growth promoting bacteria; Pseudomonas; Psychrotolerant; Antarctica</t>
  </si>
  <si>
    <t>PLANT-GROWTH; SP NOV.; PSYCHROTOLERANT BACTERIUM; PHOSPHATE SOLUBILIZATION; RHIZOCTONIA-SOLANI; BIOLOGICAL-CONTROL; CYANIDE PRODUCTION; INDOLEACETIC-ACID; HIGH-ALTITUDE; BIOCONTROL</t>
  </si>
  <si>
    <t>The development of cold-active biofertilizers and biopesticides could help improve sustainable agriculture in mountainous regions. With this aim, both psychrophilic and psychrotolerant microorganisms have been prospected in cold regions around the world and tested for their plant-growth promoting (PGP) effects. Interestingly, very little is known about the PGP effects of polar microorganisms in commercial crops. This study aimed at isolating cold-active plant-growth promoting Pseudomonas spp. from Antarctic soils and testing their PGP effects, both in vitro and on wheat (Triticum aestivum). Twenty-five Pseudomonas spp. strains isolated from Antarctic soils at Greenwich Island (South Shetland Islands, Antarctic Peninsula) were tested. The isolates grew well at temperatures ranging from 4 to 30 A degrees C and were therefore considered as eury-psychrophiles. The isolates solubilized tri-calcium phosphate at 8 and 16 A degrees C in the presence of different sugars as sole carbon sources. Besides producing indole-acetic acid, siderophores and hydrogen cyanide, several isolates inhibited growth of three plant pathogenic fungi (Fusarium oxysporum, Pythium ultimum and Phytophtora infestans) by means of both soluble- and volatile-secondary metabolites. Bacterization of T. aestivum seeds with selected isolates significantly enhanced root elongation. Moreover, when grown in sterile soil and in a temperature-controlled growth chamber at 14 +/- 1 A degrees C, inoculated T. aestivum seedlings showed a significant increase in their root- and shoot-lengths compared to untreated controls. Overall, the results suggest that some of these Antarctic Pseudomonas spp. isolates could act as cold-active biofertilizers.</t>
  </si>
  <si>
    <t>[Andres Yarzabal, Luis; Buela, Lenys] Univ Catolica Cuenca, Unidad Salud &amp; Bienestar, Ave Amer, Cuenca, Azuay, Ecuador; [Andres Yarzabal, Luis] Univ Andes, Lab Microbiol Mol &amp; Biotecnol, Fac Ciencias, Ave Alberto Carnevalli, Merida, Estado Merida, Venezuela; [Monserrate, Lorena] ESPOL Polytech Univ, Escuela Super Politecn Litoral, ESPOL, Biotechnol Res Ctr Ecuador, Campus Gustavo Galindo, Guayaquil, Ecuador; [Buela, Lenys] Univ Andes, Fac Farm &amp; Bioanal, Ave 16 Septiembre, Merida, Estado Merida, Venezuela; [Chica, Eduardo] Univ Cuenca, Carrera Ingn Agron, Fac Ciencias Agr, Ave 12 Octubre &amp; Diego Tapia, Cuenca, Azuay, Ecuador</t>
  </si>
  <si>
    <t>University of Los Andes Venezuela; Escuela Superior Politecnica del Litoral; University of Los Andes Venezuela; Universidad de Cuenca</t>
  </si>
  <si>
    <t>Yarzábal, LA (corresponding author), Univ Catolica Cuenca, Unidad Salud &amp; Bienestar, Ave Amer, Cuenca, Azuay, Ecuador.;Yarzábal, LA (corresponding author), Univ Andes, Lab Microbiol Mol &amp; Biotecnol, Fac Ciencias, Ave Alberto Carnevalli, Merida, Estado Merida, Venezuela.</t>
  </si>
  <si>
    <t>yluis@ula.ve</t>
  </si>
  <si>
    <t>Yarzábal, Luis Andrés/S-5845-2019</t>
  </si>
  <si>
    <t>Yarzábal, Luis Andrés/0000-0003-1243-7704; Monserrate-Maggi, Lorena/0000-0001-9161-9471</t>
  </si>
  <si>
    <t>SENESCYT; Ecuadorian Antarctic Institute (INAE); [MAE-DNB-CM-2017-0059]</t>
  </si>
  <si>
    <t>SENESCYT; Ecuadorian Antarctic Institute (INAE);</t>
  </si>
  <si>
    <t>The authors are grateful to Ing. Esteban Falconi (INIAP Santa Catalina, Ecuador) for kindly supplying the wheat seeds. We also thank Kari Carson for critical reading of the manuscript. LAY acknowledges Proyecto Prometeo of the National Secretary of Science, Technology and Innovation of Ecuador (SENESCYT). This project was partially financed by SENESCYT and Ecuadorian Antarctic Institute (INAE) and was conducted under Genetic Resource Access Contract No MAE-DNB-CM-2017-0059.</t>
  </si>
  <si>
    <t>10.1007/s00300-018-2374-6</t>
  </si>
  <si>
    <t>WOS:000446075800016</t>
  </si>
  <si>
    <t>Wendleder, A; Friedl, P; Mayer, C</t>
  </si>
  <si>
    <t>Wendleder, Anna; Friedl, Peter; Mayer, Christoph</t>
  </si>
  <si>
    <t>Impacts of Climate and Supraglacial Lakes on the Surface Velocity of Baltoro Glacier from 1992 to 2017</t>
  </si>
  <si>
    <t>glacier velocity; glacier dynamic; intensity and speckle tracking; supraglacial lake; SAR; Landsat data; NDWI; Karakorum</t>
  </si>
  <si>
    <t>DIFFERENCE WATER INDEX; KARAKORAM; ABLATION; NDWI; EVOLUTION; THICKNESS; REGION; MOTION; PAMIR; PONDS</t>
  </si>
  <si>
    <t>The Baltoro Glacier is one of the largest glaciers in the Karakoram mountain range. Long-term monitoring of glacier dynamics provides key information on glacier evolution in a changing climate, which is essential for regional water resource and natural hazard management. On large glaciers, detailed field based mass balance is not feasible. Ice dynamic variations quantify changes in mass transport and possibly the influence of environmental parameters on the evolution of the glacier. Although velocity variations of Baltoro Glacier during winter and summer are linked to seasonally enhanced basal sliding, little is known about differences in timing and magnitude of (intra-)seasonal velocity variations and their determining mechanisms. We present time series of annual, seasonal, and intra-seasonal glacier surface velocities by means of intensity offset tracking applied on multi-mission Synthetic Aperture Radar (SAR) data for a period of 25 years from 1992 to 2017. Supraglacial lakes forming on the downstream glacier surface in summer were mapped from 1991 to 2017 based on the Normalized Difference Water Index (NDWI), calculated from multi-spectral Landsat and ASTER (Advanced Spaceborne Thermal Emission and Reflection Radiometer) imagery. Additionally, precipitation data of the Tropical Rainfall Measurement Mission (TRMM) and temperature data of ERA-Interim were used to derive the Standardized Precipitation Index (SPI) and Standardized Temperature Index (STI) from 1998 to 2017. Linking surface velocities to the SPI confirmed a strong correlation between heavy precipitation events in winter and the magnitude and the timing of glacier acceleration in summer. Downstream extensions of summer acceleration that have been found since 2015 may be explained by additional water draining from an increased number of supraglacial lakes through crevasses that have been formed in consequence of higher initial velocities, evoked by strong winter precipitation. The warmer melt seasons observed in the years 2015 to 2017 additionally affects the formation of a supraglacial lake, so stronger summer acceleration events in recent years may be indirectly related to global warming.</t>
  </si>
  <si>
    <t>[Wendleder, Anna; Friedl, Peter] German Aerosp Ctr DLR, German Remote Sensing Data Ctr DFD, D-82234 Oberpfaffenhofen, Germany; [Friedl, Peter] Friedrich Alexander Univ Erlangen Nuremberg, Inst Geog, D-91052 Erlangen, Germany; [Mayer, Christoph] Bavarian Acad Sci &amp; Humanities, Geodesy &amp; Glaciol, D-80637 Munich, Germany</t>
  </si>
  <si>
    <t>Helmholtz Association; German Aerospace Centre (DLR); University of Erlangen Nuremberg</t>
  </si>
  <si>
    <t>Wendleder, A (corresponding author), German Aerosp Ctr DLR, German Remote Sensing Data Ctr DFD, D-82234 Oberpfaffenhofen, Germany.</t>
  </si>
  <si>
    <t>anna.wendleder@dlr.de; peter.friedl@fau.de; christoph.mayer@lrz.badw-muenchen.de</t>
  </si>
  <si>
    <t>Friedl, Peter/0009-0000-9891-6655; Mayer, Christoph/0000-0002-4226-4608</t>
  </si>
  <si>
    <t>DLR VO-R Young Investigator Group Antarctic Research; DLR/BMWi project [1029 50EE1716]</t>
  </si>
  <si>
    <t>DLR VO-R Young Investigator Group Antarctic Research; DLR/BMWi project</t>
  </si>
  <si>
    <t>Peter Friedl was partly funded by the DLR VO-R Young Investigator Group Antarctic Research and partly by the DLR/BMWi project 1029 50EE1716.</t>
  </si>
  <si>
    <t>10.3390/rs10111681</t>
  </si>
  <si>
    <t>HC3WO</t>
  </si>
  <si>
    <t>gold, Green Submitted, Green Accepted</t>
  </si>
  <si>
    <t>WOS:000451733800012</t>
  </si>
  <si>
    <t>Jokinen, T; Sipilä, M; Kontkanen, J; Vakkari, V; Tisler, P; Duplissy, EM; Junninen, H; Kangasluoma, J; Manninen, HE; Petäjä, T; Kulmala, M; Worsnop, DR; Kirkby, J; Virkkula, A; Kerminen, VM</t>
  </si>
  <si>
    <t>Jokinen, T.; Sipila, M.; Kontkanen, J.; Vakkari, V.; Tisler, P.; Duplissy, E-M; Junninen, H.; Kangasluoma, J.; Manninen, H. E.; Petaja, T.; Kulmala, M.; Worsnop, D. R.; Kirkby, J.; Virkkula, A.; Kerminen, V-M</t>
  </si>
  <si>
    <t>Ion-induced sulfuric acid-ammonia nucleation drives particle formation in coastal Antarctica</t>
  </si>
  <si>
    <t>SCIENCE ADVANCES</t>
  </si>
  <si>
    <t>SOUTH-POLE; SIZE DISTRIBUTIONS; GROWTH-RATES; COSMIC-RAYS; AEROSOL; H2SO4; SPECTROMETER; CONDENSATION; MSA; OH</t>
  </si>
  <si>
    <t>Formation of new aerosol particles from trace gases is a major source of cloud condensation nuclei (CCN) in the global atmosphere, with potentially large effects on cloud optical properties and Earth's radiative balance. Controlled laboratory experiments have resolved, in detail, the different nucleation pathways likely responsible for atmospheric new particle formation, yet very little is known from field studies about the molecular steps and compounds involved in different regions of the atmosphere. The scarcity of primary particle sources makes secondary aerosol formation particularly important in the Antarctic atmosphere. Here, we report on the observation of ion-induced nucleation of sulfuric acid and ammonia-a process experimentally investigated by the CERN CLOUD experiment-as a major source of secondary aerosol particles over coastal Antarctica. We further show that measured high sulfuric acid concentrations, exceeding 10(7) molecules cm(-3), are sufficient to explain the observed new particle growth rates. Our findings show that ion-induced nucleation is the dominant particle formation mechanism, implying that galactic cosmic radiation plays a key role in new particle formation in the pristine Antarctic atmosphere.</t>
  </si>
  <si>
    <t>[Jokinen, T.; Sipila, M.; Kontkanen, J.; Duplissy, E-M; Junninen, H.; Kangasluoma, J.; Manninen, H. E.; Petaja, T.; Kulmala, M.; Worsnop, D. R.; Virkkula, A.; Kerminen, V-M] Univ Helsinki, INAR Inst Atmospher &amp; Earth Syst Res, POB 64, FIN-00014 Helsinki, Finland; [Vakkari, V.; Tisler, P.; Virkkula, A.] Finnish Meteorol Inst, Erik Palmenin Aukio 1, Helsinki 00560, Finland; [Junninen, H.] Univ Tartu, Inst Phys, Lab Environm Phys, EE-50090 Tartu, Estonia; [Manninen, H. E.; Kirkby, J.] CERN, CH-1211 Geneva, Switzerland; [Worsnop, D. R.] Aerodyne Res Inc, Billerica, MA 01821 USA; [Kirkby, J.] Goethe Univ Frankfurt, Inst Atmospher &amp; Environm Sci, D-60438 Frankfurt, Germany</t>
  </si>
  <si>
    <t>University of Helsinki; Finnish Meteorological Institute; University of Tartu; University of Tartu Institute of Physics; European Organization for Nuclear Research (CERN); Aerodyne Research; Goethe University Frankfurt</t>
  </si>
  <si>
    <t>Jokinen, T (corresponding author), Univ Helsinki, INAR Inst Atmospher &amp; Earth Syst Res, POB 64, FIN-00014 Helsinki, Finland.</t>
  </si>
  <si>
    <t>tuija.jokinen@helsinki.fi</t>
  </si>
  <si>
    <t>Jokinen, Tuija/B-3365-2014; Duplissy, Ella-Maria/D-9439-2018; Virkkula, Aki/B-8575-2014; Kirkby, Jasper/A-4973-2012; Kontkanen, Jenni/AAL-1368-2020; Kangasluoma, Juha/AAY-7941-2021; Duplissy, Ella-Maria/AAR-9209-2021; Petäjä, Tuukka/A-8009-2008; Worsnop, Douglas R/D-2817-2009; kangasluoma, juha/W-7450-2019; Kerminen, Veli-Matti/M-9026-2014; Sipila, Mikko/G-3024-2010; Junninen, Heikki/C-2157-2014</t>
  </si>
  <si>
    <t>Jokinen, Tuija/0000-0002-1280-1396; Virkkula, Aki/0000-0003-4874-7552; Kirkby, Jasper/0000-0003-2341-9069; Kontkanen, Jenni/0000-0002-5373-3537; Duplissy, Ella-Maria/0000-0001-6959-6592; Petäjä, Tuukka/0000-0002-1881-9044; Sipila, Mikko/0000-0002-8594-7003; Kangasluoma, Juha/0000-0002-1639-1187; Junninen, Heikki/0000-0001-7178-9430</t>
  </si>
  <si>
    <t>Academy of Finland (Centre of Excellence) [1118615, 251427, 264375, 264390, 272041, 296628, 306853]; European Research Council (ERC) under the European Union's Horizon 2020 research and innovation programme (GASPARCON) [714621, 689443]; NordForsk [26060]; AXA Research Fund postdoctoral grant; European Regional Development Fund under Mobilitas Pluss programme [MOBTT42]; Academy of Finland (AKA) [264375, 264390] Funding Source: Academy of Finland (AKA)</t>
  </si>
  <si>
    <t>Academy of Finland (Centre of Excellence)(Research Council of Finland); European Research Council (ERC) under the European Union's Horizon 2020 research and innovation programme (GASPARCON)(European Research Council (ERC)); NordForsk(NordForsk); AXA Research Fund postdoctoral grant(AXA Research Fund); European Regional Development Fund under Mobilitas Pluss programme(European Union (EU)); Academy of Finland (AKA)(Research Council of Finland)</t>
  </si>
  <si>
    <t>This work was partly funded by the Academy of Finland (Centre of Excellence 1118615, projects nos. 251427, 264375, 264390, 272041, 296628, and 306853), the European Research Council (ERC) under the European Union's Horizon 2020 research and innovation programme (GASPARCON grant agreement nos. 714621 and 689443 via project iCUPE, Integrative and Comprehensive Understanding on Polar Environments), and the NordForsk funded Nordic Centre of Excellence CRAICC (Cryosphere-atmosphere interactions in a changing Arctic climate, project no. 26060). V.V. is beneficiary of an AXA Research Fund postdoctoral grant. This work was supported by European Regional Development Fund, project MOBTT42, under Mobilitas Pluss programme.</t>
  </si>
  <si>
    <t>2375-2548</t>
  </si>
  <si>
    <t>SCI ADV</t>
  </si>
  <si>
    <t>Sci. Adv.</t>
  </si>
  <si>
    <t>eaat9744</t>
  </si>
  <si>
    <t>10.1126/sciadv.aat9744</t>
  </si>
  <si>
    <t>HD0QK</t>
  </si>
  <si>
    <t>WOS:000452212000026</t>
  </si>
  <si>
    <t>Hu, QH; Xie, ZQ; Wang, XM; Kang, H; Zhang, YQ; Ding, X; Zhang, PF</t>
  </si>
  <si>
    <t>Hu, Qihou; Xie, Zhouqing; Wang, Xinming; Kang, Hui; Zhang, Yuqing; Ding, Xiang; Zhang, Pengfei</t>
  </si>
  <si>
    <t>Monocarboxylic and dicarboxylic acids over oceans from the East China Sea to the Arctic Ocean: Roles of ocean emissions, continental input and secondary formation</t>
  </si>
  <si>
    <t>LONG-RANGE TRANSPORT; ON-ROAD VEHICLES; ORGANIC AEROSOL; FINE PARTICLES; FATTY-ACIDS; PHOTOCHEMICAL PRODUCTION; MOLECULAR-DISTRIBUTIONS; PARTICULATE MERCURY; MARINE AEROSOLS; DICARBONYLS</t>
  </si>
  <si>
    <t>Organic acids are major components in marine organic aerosols. Many studies on the occurrence, sources and sinks of organic acids over oceans in the low and middle latitudes have been conducted. However, the understanding of relative contributions of specific sources to organic acids over oceans, especially in the high latitudes, is still inadequate. This study measured organic acids, including C-14:0 - C-32:0 saturated monocarboxylic acids (MCAs), C-16: 1, C-18: 1 and C-18: 2 unsaturated MCAs, and di-C-4 - di-C-10 dicarboxylic acids (DCAs), in the marine boundary layer from the East China Sea to the Arctic Ocean during the 3rd Chinese Arctic Research Expedition (CHINARE 08). The average concentrationswere 18 +/- 16 ng/m(3) and 11 +/- 5.4 ng/m(3) for SMCA and SDCA, respectively. The levels of saturated MCAs were much higher than those of unsaturated DCAs, with peaks at C-16: 0, C-18: 0 and C-14: 0. DCAs peaked at di-C-4, followed by di-C-9 and di-C-8. Concentrations of MCAs and DCAs generally decreased with increasing latitudes. Sources of MCAs and DCAs were further investigated using principal component analysis with a multiple linear regression (PCA - MLR) model. Overall, carboxylic acids originated from ocean emissions, continental input (including biomass burning, anthropogenic emissions and terrestrial plant emissions), and secondary formation. All the five sources contributed to MCAs with ocean emissions as the predominant source (48%), followed by biomass burning (20%). In contrast, only 3 sources (i.e., secondary formation 50%), anthropogenic emissions (41%) and biomass burning (9%)) contributed to DCAs. Furthermore, the sources varied with regions. Over the Arctic Ocean, only secondary formation and anthropogenic emissions contributed to MCAs and DCAs. (C) 2018 Elsevier B.V. All rights reserved.</t>
  </si>
  <si>
    <t>[Hu, Qihou; Xie, Zhouqing] Chinese Acad Sci, Anhui Inst Opt &amp; Fine Mech, Key Lab Environm Opt &amp; Technol, Hefei 230031, Anhui, Peoples R China; [Xie, Zhouqing; Kang, Hui] Univ Sci &amp; Technol China, Inst Polar Environm, Sch Earth &amp; Space Sci, Hefei 230026, Anhui, Peoples R China; [Xie, Zhouqing; Kang, Hui] Univ Sci &amp; Technol China, Anhui Prov Key Lab Polar Environm &amp; Global Change, Sch Earth &amp; Space Sci, Hefei 230026, Anhui, Peoples R China; [Wang, Xinming; Zhang, Yuqing; Ding, Xiang] Chinese Acad Sci, Guangzhou Inst Geochem, State Key Lab Organ Geochem, Guangzhou 510640, Guangdong, Peoples R China; [Zhang, Pengfei] China Univ Geosci, Sch Environm Studies, Wuhan 430074, Hubei, Peoples R China; [Zhang, Pengfei] China Univ Geosci, Hubei Prov Engn Res Ctr Systemat Water Pollut Con, Wuhan 430074, Hubei, Peoples R China</t>
  </si>
  <si>
    <t>Chinese Academy of Sciences; Hefei Institutes of Physical Science, CAS; Anhui Institute of Optics &amp; Fine Mechanics (AIOFM), CAS; Chinese Academy of Sciences; University of Science &amp; Technology of China, CAS; Chinese Academy of Sciences; University of Science &amp; Technology of China, CAS; Chinese Academy of Sciences; Guangzhou Institute of Geochemistry, CAS; China University of Geosciences; China University of Geosciences</t>
  </si>
  <si>
    <t>Xie, ZQ (corresponding author), Chinese Acad Sci, Anhui Inst Opt &amp; Fine Mech, Key Lab Environm Opt &amp; Technol, Hefei 230031, Anhui, Peoples R China.;Zhang, PF (corresponding author), China Univ Geosci, Sch Environm Studies, Wuhan 430074, Hubei, Peoples R China.</t>
  </si>
  <si>
    <t>zqxie@ustc.edu.cn; zhangpf@cug.edu.cn</t>
  </si>
  <si>
    <t>Wang, Xinming/A-7388-2014; xie, zhouqing/P-9661-2019; Zhang, Pengfei/C-2264-2013; Ding, Xiang/C-7018-2012</t>
  </si>
  <si>
    <t>Wang, Xinming/0000-0002-1982-0928; Zhang, Pengfei/0000-0002-1765-5965; Ding, Xiang/0000-0002-1218-1879</t>
  </si>
  <si>
    <t>National Natural Science Foundation of China [41676173, 41503105]; Program of China Polar Environment Investigation and Assessment, China Arctic and Antarctic Administration [2011-2018]</t>
  </si>
  <si>
    <t>National Natural Science Foundation of China(National Natural Science Foundation of China (NSFC)); Program of China Polar Environment Investigation and Assessment, China Arctic and Antarctic Administration</t>
  </si>
  <si>
    <t>This research was supported by grants from the National Natural Science Foundation of China (Project Nos. 41676173, 41503105), and the Program of China Polar Environment Investigation and Assessment, China Arctic and Antarctic Administration (Project No. 2011-2018) (CAAA 2011-2018).</t>
  </si>
  <si>
    <t>10.1016/j.scitotenv.2018.05.311</t>
  </si>
  <si>
    <t>GM7WU</t>
  </si>
  <si>
    <t>WOS:000438408800031</t>
  </si>
  <si>
    <t>Li, Z; Liu, JB; Yang, F; Niu, XG; Li, LL; Wang, ZM; Chen, RZ</t>
  </si>
  <si>
    <t>Li, Zheng; Liu, Jingbin; Yang, Fan; Niu, Xiaoguang; Li, Leilei; Wang, Zemin; Chen, Ruizhi</t>
  </si>
  <si>
    <t>A Bayesian Density Model Based Radio Signal Fingerprinting Positioning Method for Enhanced Usability</t>
  </si>
  <si>
    <t>indoor positioning; fingerprinting positioning; received signal strength indication (RSSI); Bayesian density model</t>
  </si>
  <si>
    <t>INDOOR; LOCATION; DISTANCE; DATABASE; STRENGTH</t>
  </si>
  <si>
    <t>Indoor navigation and location-based services increasingly show promising marketing prospects. Indoor positioning based onWi-Fi radio signal has been studied for more than a decade because Wi-Fi, a signal of opportunity without extra cost, is extensively deployed for internet connections. Bayesian fingerprinting positioning, a classical Wi-Fi-based indoor positioning method, consists of two phases: radio map learning and position inference. Thus far, the application of Bayesian fingerprinting positioning is limited due to its poor usability; radio map learning requires an adequate number of received signal strength indication (RSSI) observables at each reference point, long-term fieldwork, and high development and maintenance costs. In this paper, based on a statistical analysis of actual RSSI observables, a Weibull-Bayesian density model is proposed to represent the probability density of Wi-Fi RSSI observables. The Weibull model, which is parameterized with three parameters that can be calculated with fewer samples, can calculate the probability density with a higher accuracy than the traditional histogram method. Furthermore, the parameterizedWeibull model can simplify the radio map by storing only three parameters that can restore the whole probability density, i.e., it is not necessary to store the probability distribution based on traditionally separated RSSI bins. Bayesian positioning inference is performed in the positioning phase using probability density rather than the traditional probability distribution of predefined RSSI bins. The proposed method was implemented on an Android smartphone, and the performance was evaluated in different indoor environments. Results revealed that the proposed method enhanced the usability ofWi-Fi Bayesian fingerprinting positioning by requiring fewer RSSI observables and improved the positioning accuracy by 19-32% in different building environments compared with the classic histogram-based method, even when more samples were used.</t>
  </si>
  <si>
    <t>[Li, Zheng; Liu, Jingbin; Yang, Fan; Chen, Ruizhi] Wuhan Univ, State Key Lab Informat Engn Surveying Mapping &amp; R, Wuhan 430079, Hubei, Peoples R China; [Li, Zheng; Wang, Zemin] Wuhan Univ, Chinese Antarctic Ctr Surveying &amp; Mapping, Wuhan 430079, Hubei, Peoples R China; [Liu, Jingbin; Yang, Fan; Niu, Xiaoguang; Chen, Ruizhi] Wuhan Univ, Collaborat Innovat Ctr Geospatial Technol, Wuhan 430079, Hubei, Peoples R China; [Niu, Xiaoguang] Wuhan Univ, Sch Comp Sci, Wuhan 430072, Hubei, Peoples R China; [Li, Leilei] Chongqing Univ, Coll Aerosp Engn, Chongqing 400044, Peoples R China</t>
  </si>
  <si>
    <t>Wuhan University; Wuhan University; Wuhan University; Wuhan University; Chongqing University</t>
  </si>
  <si>
    <t>Liu, JB (corresponding author), Wuhan Univ, State Key Lab Informat Engn Surveying Mapping &amp; R, Wuhan 430079, Hubei, Peoples R China.;Liu, JB (corresponding author), Wuhan Univ, Collaborat Innovat Ctr Geospatial Technol, Wuhan 430079, Hubei, Peoples R China.</t>
  </si>
  <si>
    <t>2016206440005@whu.edu.cn; jingbin.liu@whu.edu.cn; fanyang1990@foxmail.com; xgniu@whu.edu.cn; lill@cqu.edu.cn; zmwang@whu.edu.cn; ruizhi.chen@whu.edu.cn</t>
  </si>
  <si>
    <t>Liu, Jingbin/AAE-8803-2020; Chen, Ruizhi/JWA-0977-2024; ZeMin, Wang/AAU-3422-2020</t>
  </si>
  <si>
    <t>Niu, Xiaoguang/0000-0003-4252-3291; Chen, Ruizhi/0000-0001-6683-2342; Liu, Jingbin/0000-0001-6216-0956</t>
  </si>
  <si>
    <t>National Key Research Development Program of China [2016YFB0502204]; Natural Science Fund of China [41874031, 61872431]; Technology Innovation Program of Hubei Province [2018AAA070]; Natural Science Fund of Hubei Province [2018CFA007]</t>
  </si>
  <si>
    <t>National Key Research Development Program of China; Natural Science Fund of China(National Natural Science Foundation of China (NSFC)); Technology Innovation Program of Hubei Province; Natural Science Fund of Hubei Province</t>
  </si>
  <si>
    <t>This study was supported in part by the National Key Research Development Program of China with project No. 2016YFB0502204, the Natural Science Fund of China with Project No. 41874031, the Natural Science Fund of China with Project No. 61872431, the Technology Innovation Program of Hubei Province with Project No. 2018AAA070, and the Natural Science Fund of Hubei Province with Project No. 2018CFA007.</t>
  </si>
  <si>
    <t>10.3390/s18114063</t>
  </si>
  <si>
    <t>HC1YJ</t>
  </si>
  <si>
    <t>WOS:000451598900473</t>
  </si>
  <si>
    <t>Gil, A; Kovaltsov, GA; Mikhailov, VV; Mishev, A; Poluianov, S; Usoskin, IG</t>
  </si>
  <si>
    <t>Gil, Agnieszka; Kovaltsov, Gennady A.; Mikhailov, Vladimir V.; Mishev, Alexander; Poluianov, Stepan; Usoskin, Ilya G.</t>
  </si>
  <si>
    <t>An Anisotropic Cosmic-Ray Enhancement Event on 07-June-2015: A Possible Origin</t>
  </si>
  <si>
    <t>SOLAR PHYSICS</t>
  </si>
  <si>
    <t>Solar cosmic rays</t>
  </si>
  <si>
    <t>SOLAR MODULATION; PAMELA; FIELD</t>
  </si>
  <si>
    <t>A usual event, called anisotropic cosmic- ray enhancement (ACRE), was observed as a small increase (&lt;= 5%) in the count rates of polar neutron monitors during 12 - 19 UT on 07 June 2015. The enhancement was highly anisotropic, as detected only by neutron monitors with asymptotic directions in the southwest quadrant in geocentric solar ecliptic (GSE) coordinates. The estimated rigidity of the corresponding particles is &lt;= 1 GV. No associated detectable increase was found in the space- borne data from the Geostationary Operational Environmental Satellite (GOES), the Energetic and Relativistic Nuclei and Electron (ERNE) on board the Solar and Heliospheric Observatory (SOHO), or the Payload for Antimatter Matter Exploration and Light- nuclei Astrophysics (PAMELA) instruments, whose sensitivity was not sufficient to detect the event. No solar energetic particles were present during that time interval. The heliospheric conditions were slightly disturbed, so that the interplanetary magnetic field strength gradually increased during the event, followed by an increase of the solar wind speed after the event. It is proposed that the event was related to a crossing of the boundary layer between two regions with different heliospheric parameters, with a strong gradient of low- rigidity (&lt; 1 GV) particles. It was apparently similar to another cosmic- ray enhancement (e. g., on 22 June 2015) that is thought to have been caused by the local anisotropy of Forbush decreases, with the difference that in our case, the interplanetary disturbance was not observed at Earth, but passed by southward for this event.</t>
  </si>
  <si>
    <t>[Gil, Agnieszka] Siedlce Univ, Inst Math &amp; Phys, PL-08110 Siedlce, Poland; [Kovaltsov, Gennady A.; Mishev, Alexander; Poluianov, Stepan; Usoskin, Ilya G.] Univ Oulu, Space Climate Res Unit, Oulu 90014, Finland; [Kovaltsov, Gennady A.] Ioffe Phys Tech Inst, Politekhn Skaya 26, St Petersburg 194021, Russia; [Mikhailov, Vladimir V.] MEPhI, Kashirskoe Shosse 31, Moscow 115409, Russia; [Mishev, Alexander; Poluianov, Stepan; Usoskin, Ilya G.] Univ Oulu, Sodankyla Geophys Observ, Oulu 90014, Finland</t>
  </si>
  <si>
    <t>University of Oulu; Russian Academy of Sciences; St. Petersburg Scientific Centre of the Russian Academy of Sciences; Ioffe Physical Technical Institute; National Research Nuclear University MEPhI (Moscow Engineering Physics Institute); University of Oulu</t>
  </si>
  <si>
    <t>Usoskin, IG (corresponding author), Univ Oulu, Space Climate Res Unit, Oulu 90014, Finland.;Usoskin, IG (corresponding author), Univ Oulu, Sodankyla Geophys Observ, Oulu 90014, Finland.</t>
  </si>
  <si>
    <t>ilya.usoskin@oulu.fi</t>
  </si>
  <si>
    <t>Gil, Agnieszka/ABE-2088-2020; Poluianov, Stepan/Q-6251-2019; Kovaltsov, Gennady A/F-5191-2014; Usoskin, Ilya/E-5089-2014; Mikhailov, Vladimir/B-5368-2014</t>
  </si>
  <si>
    <t>Gil, Agnieszka/0000-0002-1291-5908; Poluianov, Stepan/0000-0002-9119-4298; Usoskin, Ilya/0000-0001-8227-9081; Mishev, Alexander/0000-0002-7184-9664; Mikhailov, Vladimir/0000-0003-3851-2901</t>
  </si>
  <si>
    <t>Academy of Finland Centre of Excellence ReSoLVE [272157]; Academy of Finland Centre of Excellence CRIPA; Finnish Antarctic Research Program (FINNARP); Polish National Science Centre [DEC-2016/22/E/HS5/00406]; Ministry of Education and Science of the Russian Federation [3.2131.2017]; Academy of Finland Centre of Excellence CRIPA-X [304435]; French-Italian Concordia Station (IPEV program) [n903]; French-Italian Concordia Station (PNRA Project) [LTCPAA PNRA14_00091]; Academy of Finland (AKA) [304435] Funding Source: Academy of Finland (AKA); Austrian Science Fund (FWF) [N903] Funding Source: Austrian Science Fund (FWF)</t>
  </si>
  <si>
    <t>Academy of Finland Centre of Excellence ReSoLVE; Academy of Finland Centre of Excellence CRIPA; Finnish Antarctic Research Program (FINNARP); Polish National Science Centre; Ministry of Education and Science of the Russian Federation(Ministry of Education and Science, Russian Federation); Academy of Finland Centre of Excellence CRIPA-X; French-Italian Concordia Station (IPEV program); French-Italian Concordia Station (PNRA Project); Academy of Finland (AKA)(Research Council of Finland); Austrian Science Fund (FWF)(Austrian Science Fund (FWF))</t>
  </si>
  <si>
    <t>We thank Rami Vainio for his useful comments on the SOHO/ERNE data, and Dusan Odstrcil for valuable discussion on the heliospheric conditions. The work was partly supported by the projects of the Academy of Finland Centre of Excellence ReSoLVE (No. 272157), CRIPA, and CRIPA-X (No. 304435), and by the Finnish Antarctic Research Program (FINNARP). A.G. acknowledges the Polish National Science Centre, decision number DEC-2016/22/E/HS5/00406. V.M. acknowledges the Ministry of Education and Science of the Russian Federation (contract no. 3.2131.2017). European Neutron Monitor database NMDB (http://nmdb.eu) and PI of individual NMs are acknowledged for cosmic-ray data. Data from the OULU, DOMC, and DOMB stations are directly available at http://cosmicrays.oulu.fi.The neutron monitor data from South Pole are provided by the University of Wisconsin, River Falls. Collaboration and staff of the French-Italian Concordia Station (IPEV program n903 and PNRA Project LTCPAA PNRA14_00091) is acknowledged for support of DOMB/DOMCmonitors. Simulation results are from http://helioweather.net and also have been provided by the Community Coordinated Modeling Center at Goddard Space Flight Center through their public Runs on Request system (http://ccmc.gsfc.nasa.gov). The ENLIL Model was developed by Dusan Odstrcil, now at the George Mason University -Space Weather Lab and NASA/GSFC - Space Weather Lab.</t>
  </si>
  <si>
    <t>0038-0938</t>
  </si>
  <si>
    <t>1573-093X</t>
  </si>
  <si>
    <t>SOL PHYS</t>
  </si>
  <si>
    <t>Sol. Phys.</t>
  </si>
  <si>
    <t>10.1007/s11207-018-1375-5</t>
  </si>
  <si>
    <t>HB6OH</t>
  </si>
  <si>
    <t>WOS:000451190100001</t>
  </si>
  <si>
    <t>Vaideanu, P; Dima, M; Voiculescu, M</t>
  </si>
  <si>
    <t>Vaideanu, Petru; Dima, Mihai; Voiculescu, Mirela</t>
  </si>
  <si>
    <t>Atlantic Multidecadal Oscillation footprint on global high cloud cover</t>
  </si>
  <si>
    <t>THEORETICAL AND APPLIED CLIMATOLOGY</t>
  </si>
  <si>
    <t>High cloud cover; Atlantic Multidecadal Oscillation; Sea surface temperature; Precipitation; Convection</t>
  </si>
  <si>
    <t>SEA-SURFACE TEMPERATURE; THERMOHALINE CIRCULATION; CLIMATE SENSITIVITY; OCEAN; NORTH; FEEDBACK; SYSTEM; MODEL; VARIABILITY; MECHANISMS</t>
  </si>
  <si>
    <t>Due to the complexity of the physical processes responsible for cloud formation and to the relatively short satellite database of continuous data records, cloud behavior in a warming climate remains uncertain. Identifying physical links between climate modes and clouds would contribute not only to a better understanding of the physical processes governing their formation and dynamics, but also to an improved representation of the clouds in climate models. Here, we identify the global footprint of the Atlantic Multidecadal Oscillation (AMO) on high cloud cover, with focus on the tropical and North Atlantic, tropical Pacific and on the circum-Antarctic sector. In the tropical band, the sea surface temperature (SST) and high cloud cover (HCC) anomalies are positively correlated, indicating a dominant role played by convection in mediating the influence of the AMO-related SST anomalies on the HCC field. The negative SST-HCC correlation observed in North Atlantic could be explained by the reduced meridional temperature gradient induced by the AMO positive phase, which would be reflected in less storms and negative HCC anomalies. A similar negative SST-HCC correlation is observed around Antarctica. The corresponding negative correlation around Antarctica could be generated dynamically, as a response to the intensified upward motion in the Ferrel cell. Despite the inherent imperfection of the observed and reanalysis data sets, the AMO footprint on HCC is found to be robust to the choice of dataset, statistical method, and specific time period considered.</t>
  </si>
  <si>
    <t>[Vaideanu, Petru; Dima, Mihai] Univ Bucharest, Fac Phys, Bucharest, Romania; [Dima, Mihai; Voiculescu, Mirela] Univ Dunarea de Jos, Galati, Romania</t>
  </si>
  <si>
    <t>University of Bucharest; Dunarea De Jos University Galati</t>
  </si>
  <si>
    <t>Vaideanu, P (corresponding author), Univ Bucharest, Fac Phys, Bucharest, Romania.</t>
  </si>
  <si>
    <t>vaideanu.petru@yahoo.com</t>
  </si>
  <si>
    <t>Dima, Mihai/G-1370-2010; Voiculescu, Mirela/B-7041-2011; Vaideanu, Petru Cosmin/AAR-7856-2021; Vaideanu, Petru Cosmin/HPD-7947-2023</t>
  </si>
  <si>
    <t>Voiculescu, Mirela/0000-0002-1864-3878; Vaideanu, Petru Cosmin/0000-0002-1291-8383; Vaideanu, Petru Cosmin/0000-0002-1291-8383</t>
  </si>
  <si>
    <t>Romanian NPRDI-II, UEFISCDI [PN-II-ID-PCE-2011-3-0709]</t>
  </si>
  <si>
    <t>Romanian NPRDI-II, UEFISCDI</t>
  </si>
  <si>
    <t>This work was supported by project PN-II-ID-PCE-2011-3-0709, SOLACE (IDEI 283) of the Romanian NPRDI-II, UEFISCDI. ISCCP project is acknowledged for the cloud data. GPCP precipitation data, NOAA_ERSST_V3.b SST data, and AMOindex were provided by the NOAA/OAR/ESRL PSD, Boulder, Colorado, USA, from their Web site at http://www.esrl.noaa.gov/psd/.The HadISST data set was provided by the British Met Office; Hadley Centre Support for the Twentieth Century Reanalysis Project dataset is provided by the U.S. Department of Energy, Office of Science Innovative and Novel Computational Impact on Theory and Experiment program, and Office of Biological and Environmental Research, and by the National Oceanic and Atmospheric Administration Climate Program Office. The European Centre for Medium-Range Weather Forecasts (ECMWF) is acknowledged for ERA 20C and ERA-Interim reanalysis.</t>
  </si>
  <si>
    <t>SPRINGER WIEN</t>
  </si>
  <si>
    <t>WIEN</t>
  </si>
  <si>
    <t>SACHSENPLATZ 4-6, PO BOX 89, A-1201 WIEN, AUSTRIA</t>
  </si>
  <si>
    <t>0177-798X</t>
  </si>
  <si>
    <t>1434-4483</t>
  </si>
  <si>
    <t>THEOR APPL CLIMATOL</t>
  </si>
  <si>
    <t>Theor. Appl. Climatol.</t>
  </si>
  <si>
    <t>3-4</t>
  </si>
  <si>
    <t>10.1007/s00704-017-2330-3</t>
  </si>
  <si>
    <t>GY8GN</t>
  </si>
  <si>
    <t>WOS:000448861400035</t>
  </si>
  <si>
    <t>Chen, SF; Yu, B; Chen, W; Wu, RG</t>
  </si>
  <si>
    <t>Chen, Shangfeng; Yu, Bin; Chen, Wen; Wu, Renguang</t>
  </si>
  <si>
    <t>A Review of Atmosphere-Ocean Forcings Outside the Tropical Pacific on the El Nino-Southern Oscillation Occurrence</t>
  </si>
  <si>
    <t>El Nino-Southern Oscillation; extratropical atmospheric forcing; oceanic forcing; westerly wind anomalies; tropical western pacific</t>
  </si>
  <si>
    <t>SEA-SURFACE TEMPERATURE; SEASONAL FOOTPRINTING MECHANISM; NORTH-ATLANTIC OSCILLATION; HEMISPHERE ANNULAR MODE; SUBSEQUENT WINTER ENSO; WESTERLY WIND EVENTS; EAST-ASIAN WINTER; INDIAN-OCEAN; INTERANNUAL VARIABILITY; ARCTIC OSCILLATION</t>
  </si>
  <si>
    <t>The El Nino-Southern Oscillation (ENSO) is the strongest interannual air-sea coupled variability mode in the tropics, and substantially impacts the global weather and climate. Hence, it is important to improve our understanding of the ENSO variability. Besides the well-known air-sea interaction process over the tropical Pacific, recent studies indicated that atmospheric and oceanic forcings outside the tropical Pacific also play important roles in impacting and modulating the ENSO occurrence. This paper reviews the impacts of the atmosphere-ocean variability outside the tropical Pacific on the ENSO variability, as well as their associated physical processes. The review begins with the contribution of the atmosphere-ocean forcings over the extratropical North Pacific, Atlantic, and Indian Ocean on the ENSO occurrence. Then, an overview of the extratropical atmospheric forcings over the Northern Hemisphere (including the Arctic Oscillation and the Asian monsoon systems) and the Southern Hemisphere (including the Antarctic Oscillation and the Pacific-South American teleconnection), on the ENSO occurrence, is presented. It is shown that the westerly (easterly) wind anomaly over the tropical western Pacific is essential for the occurrence of an El Nino (a La Nina) event. The wind anomalies over the tropical western Pacific also play a key role in relaying the impacts of the atmosphere-ocean forcings outside the tropical Pacific on the ENSO variability. Finally, some relevant questions, that remain to be explored, are discussed.</t>
  </si>
  <si>
    <t>[Chen, Shangfeng; Chen, Wen; Wu, Renguang] Chinese Acad Sci, Inst Atmospher Phys, Ctr Monsoon Syst Res, Beijing 100029, Peoples R China; [Yu, Bin] Environm &amp; Climate Change Canada, Div Climate Res, Toronto, ON M3H 5T4, Canada; [Chen, Wen; Wu, Renguang] Chinese Acad Sci, Inst Atmospher Phys, State Key Lab Numer Modeling Atmospher Sci &amp; Geop, Beijing 100029, Peoples R China</t>
  </si>
  <si>
    <t>Chinese Academy of Sciences; Institute of Atmospheric Physics, CAS; Environment &amp; Climate Change Canada; Chinese Academy of Sciences; Institute of Atmospheric Physics, CAS</t>
  </si>
  <si>
    <t>Chen, SF (corresponding author), Chinese Acad Sci, Inst Atmospher Phys, Ctr Monsoon Syst Res, Beijing 100029, Peoples R China.</t>
  </si>
  <si>
    <t>chenshangfeng@mail.iap.ac.cn; bin.yu@canada.ca; cw@post.iap.ac.cn; renguang@mail.iap.ac.cn</t>
  </si>
  <si>
    <t>Yu, Bin/JAC-8514-2023; Chen, Wen/G-6058-2011; chen, shangfeng/AAO-9288-2020; Yu, Bin/N-4021-2019; chen, Shangfeng/AAP-2223-2020</t>
  </si>
  <si>
    <t>Chen, Wen/0000-0001-9327-9079; chen, shangfeng/0000-0003-4347-8592; Wu, Renguang/0000-0003-4712-2251; Yu, Bin/0000-0002-3706-8194</t>
  </si>
  <si>
    <t>National Natural Science Foundation of China [41605050, 41530425, 41775080, 41721004]; Chinese Academy of Sciences Key Research Program of Frontier Sciences [QYZDY-SSW-DQC024]; Young Elite Scientists Sponsorship Program by CAST [2016QNRC001]</t>
  </si>
  <si>
    <t>National Natural Science Foundation of China(National Natural Science Foundation of China (NSFC)); Chinese Academy of Sciences Key Research Program of Frontier Sciences; Young Elite Scientists Sponsorship Program by CAST</t>
  </si>
  <si>
    <t>We thank two anonymous reviewers for their constructive suggestions and comments, which helped to improve the paper. This study is jointly supported by the National Natural Science Foundation of China grants (41605050, 41530425, 41775080, and 41721004), the Chinese Academy of Sciences Key Research Program of Frontier Sciences (QYZDY-SSW-DQC024), and the Young Elite Scientists Sponsorship Program by CAST (2016QNRC001).</t>
  </si>
  <si>
    <t>10.3390/atmos9110439</t>
  </si>
  <si>
    <t>HB8AW</t>
  </si>
  <si>
    <t>WOS:000451306900026</t>
  </si>
  <si>
    <t>Rosso, FV; Boiaski, NT; Ferraz, SET; Robles, TC</t>
  </si>
  <si>
    <t>Rosso, Flavia Venturini; Boiaski, Nathalie Tissot; Teleginski Ferraz, Simone Erotildes; Robles, Tiago Capello</t>
  </si>
  <si>
    <t>Influence of the Antarctic Oscillation on the South Atlantic Convergence Zone</t>
  </si>
  <si>
    <t>South Atlantic convergence zone; Antarctic Oscillation; Southern Annular Mode; precipitation variability; tropical-extratropical interaction; Brazil; precipitation anomalies</t>
  </si>
  <si>
    <t>INTERANNUAL ACTIVITY; PRECIPITATION; VARIABILITY; HEMISPHERE; AMERICA; BRAZIL; MODES</t>
  </si>
  <si>
    <t>The South Atlantic convergence zone (SACZ) is the main summer-typical atmospheric phenomenon occurring in South America, and it is of great interest because it regulates the rainy season in the most populated regions of Brazil. Frequency variability, persistence, and geographical position of the SACZ and its relationship with intraseasonal variability is well described in the literature. However, the influence of extratropical forcing on the SACZ is not well understood. Consequently, the aim of this study is to evaluate the role of the Antarctic Oscillation (AAO) in SACZ events. The persistence and frequencies of SACZ events, mean, standard deviation of total precipitation per event, lag composite of daily precipitation and geopotential height anomalies were obtained for each phase of the AAO. Therefore, frequency, persistence and total precipitation of SACZ events were higher in positive AAO (AAO+) than negative AAO (AAO-). A teleconnection mechanism between the extratropics and the SACZ region is evident in AAO+, through intensification of the polar and subtropical jets, in the days preceding SACZ. The same was not observed in the AAO-, where the anomalies were confined in the subtropical region and displaced to the South Atlantic Ocean.</t>
  </si>
  <si>
    <t>[Rosso, Flavia Venturini; Boiaski, Nathalie Tissot; Teleginski Ferraz, Simone Erotildes; Robles, Tiago Capello] Univ Fed Santa Maria, Dept Phys, BR-97105900 Santa Maria, RS, Brazil</t>
  </si>
  <si>
    <t>Universidade Federal de Santa Maria (UFSM)</t>
  </si>
  <si>
    <t>Rosso, FV (corresponding author), Univ Fed Santa Maria, Dept Phys, BR-97105900 Santa Maria, RS, Brazil.</t>
  </si>
  <si>
    <t>flahvr@gmail.com; ntboiaski@gmail.com; simonetfe@gmail.com; tiagoc.robles@gmail.com</t>
  </si>
  <si>
    <t>Ferraz, Simone/JJD-3289-2023; Boiaski, Nathalie Tissot/AAG-9843-2020; Ferraz, Simone Erotildes Teleginski/G-1276-2012</t>
  </si>
  <si>
    <t>Boiaski, Nathalie Tissot/0000-0003-3929-4299; Ferraz, Simone Erotildes Teleginski/0000-0002-9688-7480; Rosso, Flavia/0000-0002-6443-986X</t>
  </si>
  <si>
    <t>CAPES; FAPERGS [17/2551-0000821-9]; CNPq [304970/2015-8]</t>
  </si>
  <si>
    <t>CAPES(Coordenacao de Aperfeicoamento de Pessoal de Nivel Superior (CAPES)); FAPERGS(Fundacao de Amparo a Ciencia e Tecnologia do Estado do Rio Grande do Sul (FAPERGS)); CNPq(Conselho Nacional de Desenvolvimento Cientifico e Tecnologico (CNPQ))</t>
  </si>
  <si>
    <t>To CAPES for masters and PhD scholarships; Alexandre C. Xavier for the precipitation data; the ECMWF for the reanalysis data and the ANEEL R&amp;D project developed in partnership between UTE Pecem II, UTE Parnaiba I, Parnaiba II and III Geracao de Energia SA and the Federal University of Santa Maria-UFSM. Nathalie T. Boiaski thanks FAPERGS for funding research project no. 17/2551-0000821-9. Simone Ferraz thanks CNPq for the scholarship 304970/2015-8. We thank the anonymous reviewers for providing insightful comments and constructive suggestions to revise this article.</t>
  </si>
  <si>
    <t>10.3390/atmos9110431</t>
  </si>
  <si>
    <t>WOS:000451306900018</t>
  </si>
  <si>
    <t>Rodzewicz, M; Goraj, Z; Tomaszewski, A</t>
  </si>
  <si>
    <t>Rodzewicz, Miroslaw; Goraj, Zdobyslaw; Tomaszewski, Adam</t>
  </si>
  <si>
    <t>Design and testing of three tailless unmanned aerial vehicle configurations built for surveillance in Antarctic environment</t>
  </si>
  <si>
    <t>PROCEEDINGS OF THE INSTITUTION OF MECHANICAL ENGINEERS PART G-JOURNAL OF AEROSPACE ENGINEERING</t>
  </si>
  <si>
    <t>7th European-Aeronautics-Science-Network (EASN) ) International Conference on Innovation in European Aeronautics Research</t>
  </si>
  <si>
    <t>SEP 26-29, 2017</t>
  </si>
  <si>
    <t>Warsaw, POLAND</t>
  </si>
  <si>
    <t>Aircraft design; unmanned aerial vehicle testing; flying qualities; photogrammetry; Antarctic environment</t>
  </si>
  <si>
    <t>The tailless fixed-wing aircraft have a very compact design and therefore are very attractive as portable unmanned aerial vehicle (UAV) platforms. There is a special need for using such platforms in case of operations in such backlands as Antarctica, because very often the equipment necessary for preparing improvised airfields near Antarctic scientific bases and organizing the UAV flights must be hand-carried. The main aim of this paper is to present the design activity and testing of a number of UAV configurations to be used for aerial monitoring in Antarctic areas and collecting data of local ecosystems. Two UAV flying-wing platforms - MONICA-1 and MONICA-2 - were developed, differing largely with respect to wing-loading and weight-to-power ratios. The light-weight Skywalker X-8 built from the kit and used as a baseline configuration was adapted for special photogrammetric missions. It was found that the main advantage of such light UAV consists in a very simple take-off system (i.e. bungee), however due to low wing loading a usage of this UAV is limited to the so-called 'weather windows' of relatively low wind, which do not frequently occur in Antarctica. MONICA-1 is much less sensitive to gust but as a heavy platform it is more difficult to handle in harsh Antarctic environment. To be able to operate in much wider range of the wind, vertical gust and heavy turbulence, typical for Antarctic zones, a special UAV platform - called MONICA-2 - was designed and manufactured. MONICA-2 platform of higher wing loading is smaller than the X-8 and at the same time is able to carry the same photogrammetry equipment. The effort of designers focused on achieving low sensitivity to gust and turbulence by increasing the critical angle of attack and natural static and dynamic stability in the whole range of operational speeds. The paper contains the selected design details and some observations from the flight tests.</t>
  </si>
  <si>
    <t>[Rodzewicz, Miroslaw; Goraj, Zdobyslaw; Tomaszewski, Adam] Warsaw Univ Technol, Fac Power &amp; Aeronaut Engn, Warsaw, Poland</t>
  </si>
  <si>
    <t>Warsaw University of Technology</t>
  </si>
  <si>
    <t>Rodzewicz, M (corresponding author), Warsaw Univ Technol, Nowowiejska 24, PL-00665 Warsaw, Poland.</t>
  </si>
  <si>
    <t>miro@meil.pw.edu.pl</t>
  </si>
  <si>
    <t>Rodzewicz, Miroslaw/ABD-7241-2020</t>
  </si>
  <si>
    <t>Rodzewicz, Miroslaw/0000-0003-1424-8624; Tomaszewski, Adam/0000-0002-0787-6836; Goraj, Zdobyslaw/0000-0002-1294-8013</t>
  </si>
  <si>
    <t>The research leading to these results has received funding from the Polish-Norwegian Research Programme operated by the National Centre for Research and Development under the Norwegian Financial Mechanism 2009-2014 in the frame of Project Contract No 197810. The paper was partly presented during EASN Conference in Warsaw 2017.26</t>
  </si>
  <si>
    <t>0954-4100</t>
  </si>
  <si>
    <t>2041-3025</t>
  </si>
  <si>
    <t>P I MECH ENG G-J AER</t>
  </si>
  <si>
    <t>Proc. Inst. Mech. Eng. Part G-J. Aerosp. Eng.</t>
  </si>
  <si>
    <t>10.1177/0954410018797855</t>
  </si>
  <si>
    <t>Engineering, Aerospace; Engineering, Mechanical</t>
  </si>
  <si>
    <t>HA5YL</t>
  </si>
  <si>
    <t>WOS:000450355700002</t>
  </si>
  <si>
    <t>Bhartia, PK; McPeters, RD</t>
  </si>
  <si>
    <t>Bhartia, Pawan Kumar; McPeters, Richard D.</t>
  </si>
  <si>
    <t>The discovery of the Antarctic Ozone Hole</t>
  </si>
  <si>
    <t>Ozone depletion; Montreal Protocol; Ozone measurement and technique; Atmospheric chemistry</t>
  </si>
  <si>
    <t>The author Nassim Taleb has coined the term Black Swan event to describe a very low probability event that come as a surprise and has a major effect in the field in which it occurs. He suggests that such events have occurred in history, finance, science, and technology more frequently than one can expect from stochastic theory. The discovery of the Antarctic Ozone Hole fits this description well. In this paper, we describe the events surrounding this discovery and the role of NASA satellite data before and soon after the seminal paper by Farman et al., in May 1985 that first brought this phenomenon to the attention of the broader science community. (C) 2018 Academie des sciences. Published by Elsevier Masson SAS. All rights reserved.</t>
  </si>
  <si>
    <t>[Bhartia, Pawan Kumar; McPeters, Richard D.] NASA, Goddard Space Flight Ctr, Greenbelt, MD 20771 USA</t>
  </si>
  <si>
    <t>National Aeronautics &amp; Space Administration (NASA); NASA Goddard Space Flight Center</t>
  </si>
  <si>
    <t>Bhartia, PK (corresponding author), NASA, Goddard Space Flight Ctr, Greenbelt, MD 20771 USA.</t>
  </si>
  <si>
    <t>pawan.bhartia@nasa.gov</t>
  </si>
  <si>
    <t>McPeters, Richard/G-4955-2013</t>
  </si>
  <si>
    <t>NASA</t>
  </si>
  <si>
    <t>NASA(National Aeronautics &amp; Space Administration (NASA))</t>
  </si>
  <si>
    <t>The work described in this paper was solely funded by NASA. The data described in this paper were produced by the Ozone Processing Team (OPT) at NASA Goddard Space Flight Center led by Albert Fleig. Donald Heath, the Principal Investigator of the SBUV instrument, led the SBUV/TOMS science team. Arlin Krueger was the Principal Investigator of TOMS. The authors grateful acknowledge the contributions of late Drs. Carleton Mateer and J. V. Dave in developing the SBUV/TOMS algorithms, of our colleagues Drs. Ashok Kaveeshwar and Kenneth Klenk, and members of the OPT in producing the data described in this paper.</t>
  </si>
  <si>
    <t>10.1016/j.crte.2018.04.006</t>
  </si>
  <si>
    <t>WOS:000450932300002</t>
  </si>
  <si>
    <t>Kurylo, MJ</t>
  </si>
  <si>
    <t>Kurylo, Michael J.</t>
  </si>
  <si>
    <t>Two decades of polar ozone research via airborne science investigations: Addressing a NASA mandate in atmospheric composition</t>
  </si>
  <si>
    <t>Airborne science; Polar ozone depletion; Stratospheric ozone</t>
  </si>
  <si>
    <t>The comprehensive investigation of polar ozone photochemistry and dynamics has required data obtained from as full a complement of available platforms as possible (ground-based, balloon, aircraft, and satellites). Perhaps the most detailed process studies have been conducted using measurements from aircraft, taking advantage of their targeting capabilities coupled with the potential for enabling measurements at high spatial and temporal resolution. The US National Aeronautics and Space Administration (NASA) conducted the first airborne science investigation of polar ozone in an effort to establish the causes of the recurring seasonal depletion of the Earth's stratospheric ozone layer over Antarctica that was identified in the mid-1980s. Subsequent airborne studies in the polar regions of both hemispheres benefitted from extensive successful collaborations among international scientists and the integration of the aircraft measurements with those obtained using ground-based, balloon-borne, and satellite instruments. This article provides an historical perspective of NASA's utilization of its airborne assets to advance our understanding of the chemical and physical processes that control the abundance of stratospheric ozone in both the Antarctic and Arctic. (C) 2018 Academie des sciences. Published by Elsevier Masson SAS. All rights reserved.</t>
  </si>
  <si>
    <t>[Kurylo, Michael J.] NASA, Univ Space Res Assoc, Goddard Earth Sci Technol &amp; Res, Goddard Space Flight Ctr, Code 916, Greenbelt, MD 20771 USA</t>
  </si>
  <si>
    <t>Universities Space Research Association (USRA); National Aeronautics &amp; Space Administration (NASA); NASA Goddard Space Flight Center</t>
  </si>
  <si>
    <t>Kurylo, MJ (corresponding author), NASA, Univ Space Res Assoc, Goddard Earth Sci Technol &amp; Res, Goddard Space Flight Ctr, Code 916, Greenbelt, MD 20771 USA.</t>
  </si>
  <si>
    <t>michael.j.kury@nasa.gov</t>
  </si>
  <si>
    <t>Kurylo, Michael/H-2201-2012</t>
  </si>
  <si>
    <t>10.1016/j.crte.2018.07.006</t>
  </si>
  <si>
    <t>WOS:000450932300003</t>
  </si>
  <si>
    <t>Staehelin, J; Petropavlovskikh, I; De Mazière, M; Godin-Beekmann, S</t>
  </si>
  <si>
    <t>Staehelin, Johannes; Petropavlovskikh, Irina; De Maziere, Martine; Godin-Beekmann, Sophie</t>
  </si>
  <si>
    <t>The role and performance of ground-based networks in tracking the evolution of the ozone layer</t>
  </si>
  <si>
    <t>Ozone; Monitoring; Global Atmosphere Watch (GAW); Network for the Detection of Atmospheric Composition Change (NDACC); Montreal Protocol</t>
  </si>
  <si>
    <t>STRATOSPHERIC OZONE; VERTICAL-DISTRIBUTION; AROSA SWITZERLAND; EARTHS ATMOSPHERE; PAST CHANGES; DEPLETION; RECOVERY; TRENDS</t>
  </si>
  <si>
    <t>In the 1980s, ground-based monitoring of the ozone layer played a key role in the discovery of the Antarctic Ozone Hole as well as in the first documentation of significant winter and spring long-term downward trends in the populated mid-latitude regions. The article summarizes the close-to-hundred-year-long history of ground-based measurements of stratospheric ozone, and more recent observations of constituents that influence its equilibrium. Ozone observations began long before the recognition of the impact of increasing emissions of manmade ozone-depleting substances on ozone and therefore on UV levels, human health, ecosystems and the Earth climate. The historical ozone observations prior to 1980s are used as a reference for the assessments of the state of the ozone layer linked to the enforcement of the Montreal Protocol. In this paper, we describe the worldwide monitoring networks and their ozone observations used to determine longterm trends with an accuracy of a few percent per decade. Since 1989, the ground-based monitoring activities have provided support for the amendments of the Montreal Protocol (MP). They include monitoring of (a) the ozone total column and the vertical distribution at global scale, (b) the ozone-depleting substances (ODS) related to the MP such as chlorofluorocarbons (CFCs), and their decomposition products in the stratosphere, and (c) the atmospheric species playing a role in ozone depletion, e.g., nitrogen oxides, water vapor, aerosols, polar stratospheric clouds. We highlight important accomplishments in the atmospheric monitoring performed by the Global Atmosphere Watch program (GAW) run under the auspices of the World Meteorological Organization (WMO) and by the Network for the Detection of Atmospheric Composition Change (NDACC). We also address the complementary roles of ground-based networks and satellite instruments. Highquality ground-based measurements have been used to evaluate ozone variabilities and long-term trends, assess chemistry climate models, and check the long-term stability of satellite data, including more recently the merged satellite time-series developed for the detection of ozone recovery at global scale, which might be further modified by climate change. (C) 2018 Academie des sciences. Published by Elsevier Masson SAS. All rights reserved.</t>
  </si>
  <si>
    <t>[Staehelin, Johannes] ETHZ, Inst Atmospher &amp; Climate Sci, CH-8092 Zurich, Switzerland; [Petropavlovskikh, Irina] Univ Colorado, CIRES, NOAA Earth Syst Res Lab, Boulder, CO 80309 USA; [De Maziere, Martine] Royal Belgian Inst Space Aeron BIRA IASB, Brussels, Belgium; [Godin-Beekmann, Sophie] UPMC, UVSQ, Lab Atmosphere Milieux Observat Spatiales, CNRS, Guyancourt, France</t>
  </si>
  <si>
    <t>Swiss Federal Institutes of Technology Domain; ETH Zurich; National Oceanic Atmospheric Admin (NOAA) - USA; University of Colorado System; University of Colorado Boulder; Centre National de la Recherche Scientifique (CNRS); Sorbonne Universite; Universite Paris Cite; Universite Paris Saclay</t>
  </si>
  <si>
    <t>Staehelin, J (corresponding author), ETHZ, Inst Atmospher &amp; Climate Sci, CH-8092 Zurich, Switzerland.</t>
  </si>
  <si>
    <t>Johannes.Staehelin@env.ethz.ch</t>
  </si>
  <si>
    <t>10.1016/j.crte.2018.08.007</t>
  </si>
  <si>
    <t>WOS:000450932300005</t>
  </si>
  <si>
    <t>Dias, MP; Carneiro, APB; Warwick-Evans, V; Harris, C; Lorenz, K; Lascelles, B; Clewlow, HL; Dunn, MJ; Hinke, JT; Kim, JH; Kokubun, N; Manco, F; Ratcliffe, N; Santos, M; Takahashi, A; Trivelpiece, W; Trathan, PN</t>
  </si>
  <si>
    <t>Dias, Maria P.; Carneiro, Ana Paula Bertoldi; Warwick-Evans, Victoria; Harris, Colin; Lorenz, Katharina; Lascelles, Ben; Clewlow, Harriet L.; Dunn, Michael J.; Hinke, Jefferson T.; Kim, Jeong-Hoon; Kokubun, Nobuo; Manco, Fabrizio; Ratcliffe, Norman; Santos, Mercedes; Takahashi, Akinori; Trivelpiece, Wayne; Trathan, Philip N.</t>
  </si>
  <si>
    <t>Identification of marine Important Bird and Biodiversity Areas for penguins around the South Shetland Islands and South Orkney Islands</t>
  </si>
  <si>
    <t>Antarctica; conservation; marine Important Bird and Biodiversity Areas; penguins; tracking data</t>
  </si>
  <si>
    <t>RESTRICTED SEARCH; 1ST-PASSAGE TIME; HABITAT USE; FINE-SCALE; SEABIRDS; CONSERVATION; ALBATROSS; TRACKING</t>
  </si>
  <si>
    <t>Aim To provide a method of analyzing penguin tracking data to identify priority at-sea areas for seabird conservation (marine IBAs), based on pre-existing approaches for flying seabirds but revised according to the specific ecology of Pygoscelis penguin species. Location Waters around the Antarctic Peninsula, South Shetland, and South Orkney archipelagos (FAO Subareas 48.1 and 48.2). Methods We made key improvements to the pre-existing protocol for identifying marine IBAs that include refining the track interpolation method and revision of parameters for the kernel analysis (smoothing factor and utilization distribution) using sensitivity tests. We applied the revised method to 24 datasets of tracking data on penguins (three species, seven colonies, and three different breeding stages-incubation, brood, and creche). Results We identified five new marine IBAs for seabirds in the study area, estimated to hold ca. 600,000 adult penguins. Main conclusions The results demonstrate the efficacy of a new method for the designation of a network of marine IBAs in Antarctic waters for penguins based on tracking data, which can contribute to an evidence-based, precautionary, management framework for krill fisheries.</t>
  </si>
  <si>
    <t>[Dias, Maria P.; Carneiro, Ana Paula Bertoldi; Lascelles, Ben] BirdLife Int, Cambridge, England; [Warwick-Evans, Victoria; Clewlow, Harriet L.; Dunn, Michael J.; Ratcliffe, Norman; Trathan, Philip N.] NERC, British Antarctic Survey, Cambridge, England; [Harris, Colin; Lorenz, Katharina] ERA, Cambridge, England; [Clewlow, Harriet L.] Univ Exeter, Ctr Ecol &amp; Conservat, Penryn, Cornwall, England; [Hinke, Jefferson T.; Trivelpiece, Wayne] NOAA, Antarctic Ecosyst Res Div, Southwest Fisheries Sci Ctr, Natl Marine Fisheries Serv, La Jolla, CA USA; [Kim, Jeong-Hoon] Korea Polar Res Inst, Div Polar Life Sci, Incheon, South Korea; [Kokubun, Nobuo; Takahashi, Akinori] Natl Inst Polar Res, Tachikawa, Tokyo, Japan; [Manco, Fabrizio] Anglia Ruskin Univ, Fac Sci &amp; Technol, Cambridge, England; [Santos, Mercedes] Inst Antartico Argentino, Dept Biol Predadores Tope, Buenos Aires, DF, Argentina</t>
  </si>
  <si>
    <t>BirdLife International; UK Research &amp; Innovation (UKRI); Natural Environment Research Council (NERC); NERC British Antarctic Survey; University of Exeter; National Oceanic Atmospheric Admin (NOAA) - USA; Korea Polar Research Institute (KOPRI); Research Organization of Information &amp; Systems (ROIS); National Institute of Polar Research (NIPR) - Japan; Anglia Ruskin University; Instituto Antartico Argentino</t>
  </si>
  <si>
    <t>Dias, MP (corresponding author), BirdLife Int, Cambridge, England.</t>
  </si>
  <si>
    <t>Carneiro, Ana Paula/IQT-6077-2023; Dias, Maria P./D-1331-2012; , Jefferson/AAG-1702-2021</t>
  </si>
  <si>
    <t>Dias, Maria P./0000-0002-7281-4391; , Jefferson/0000-0002-3600-1414; Clewlow, Harriet L./0000-0002-5925-9100; , Ana/0000-0003-0573-7549; Warwick-Evans, Victoria/0000-0002-0583-5504; Takahashi, Akinori/0000-0002-9868-0408</t>
  </si>
  <si>
    <t>Pew Charitable Trusts [29326]; Darwin+ Initiative [DPLUS009, DPLUS054]; NERC [bas0100035] Funding Source: UKRI</t>
  </si>
  <si>
    <t>Pew Charitable Trusts; Darwin+ Initiative; NERC(UK Research &amp; Innovation (UKRI)Natural Environment Research Council (NERC))</t>
  </si>
  <si>
    <t>Pew Charitable Trusts, Grant/Award Number: 29326; Darwin+ Initiative, Grant/Award Number: DPLUS009 and DPLUS054</t>
  </si>
  <si>
    <t>10.1002/ece3.4519</t>
  </si>
  <si>
    <t>HA5WV</t>
  </si>
  <si>
    <t>WOS:000450351400015</t>
  </si>
  <si>
    <t>Moore, JM; Carvajal, JI; Rouse, GW; Wilson, NG</t>
  </si>
  <si>
    <t>Moore, Jenna M.; Carvajal, Jose I.; Rouse, Greg W.; Wilson, Nerida G.</t>
  </si>
  <si>
    <t>The Antarctic Circumpolar Current isolates and connects: Structured circumpolarity in the sea star Glabraster antarctica</t>
  </si>
  <si>
    <t>Antarctica; cytochrome c oxidase subunit 1; Echinodermata; internal transcribed spacer region 2; phylogeography; Scotia Arc</t>
  </si>
  <si>
    <t>POPULATION GENETIC-STRUCTURE; PELAGIC LARVAL DURATION; LAST GLACIAL MAXIMUM; OPEN-OCEAN BARRIERS; SOUTHERN-OCEAN; MITOCHONDRIAL LINEAGES; POLAR FRONT; PROMACHOCRINUS-KERGUELENSIS; CRYPTIC SPECIATION; WATER-FLOW</t>
  </si>
  <si>
    <t>Aim The Antarctic Circumpolar Current (ACC) connects benthic populations by transporting larvae around the continent, but also isolates faunas north and south of the Antarctic Convergence. We test circumpolar panmixia and dispersal across the Antarctic Convergence barrier in the benthic sea star Glabraster antarctica. Location The Southern Ocean and south Atlantic Ocean, with comprehensive sampling including the Magellanic region, Scotia Arc, Antarctic Peninsula, Ross Sea, and East Antarctica. Methods The cytochrome c oxidase subunit I (COI) gene (n = 285) and the internal transcribed spacer region 2 (ITS2; n = 33) were sequenced. We calculated haplotype networks for each genetic marker and estimated population connectivity and the geographic distribution of genetic structure using phi(ST) for COI data. Results Glabraster antarctica is a single circum-Antarctic species with instances of gene flow between distant locations. Despite the homogenizing potential of the ACC, population structure is high (phi(ST) = 0.5236), and some subpopulations are genetically isolated. Genetic breaks in the Magellanic region do not align with the Antarctic Convergence, in contrast with prior studies. Connectivity patterns in East Antarctic sites are not uniform, with some regional isolation and some surprising affinities to the distant Magellanic and Scotia Arc regions. Main conclusions Despite gene flow over extraordinary distances, there is strong phylogeographic structuring and genetic barriers evident between geographically proximate regions (e.g., Shag Rocks and South Georgia). Circumpolar panmixia is rejected, although some subpopulations show a circumpolar distribution. Stepping-stone dispersal occurs within the Scotia Arc but does not appear to facilitate connectivity across the Antarctic Convergence. The patterns of genetic connectivity in Antarctica are complex and should be considered in protected area planning for Antarctica.</t>
  </si>
  <si>
    <t>[Moore, Jenna M.] Univ Florida, Florida Museum Nat Hist, Gainesville, FL 32611 USA; [Moore, Jenna M.; Carvajal, Jose I.; Rouse, Greg W.; Wilson, Nerida G.] UCSD, Scripps Inst Oceanog, La Jolla, CA USA; [Carvajal, Jose I.; Wilson, Nerida G.] Western Australian Museum, Welshpool, WA, Australia; [Wilson, Nerida G.] Univ Western Australia, Crawley, WA, Australia</t>
  </si>
  <si>
    <t>State University System of Florida; University of Florida; University of California System; University of California San Diego; Scripps Institution of Oceanography; Western Australian Museum; University of Western Australia</t>
  </si>
  <si>
    <t>Wilson, NG (corresponding author), Western Australian Museum, Welshpool, WA, Australia.</t>
  </si>
  <si>
    <t>nerida.wilson@museum.wa.gov.au</t>
  </si>
  <si>
    <t>Wilson, Nerida G./AAC-1456-2019; Rouse, Gregory/AAW-1494-2021; Rochette, Mally/JFS-0030-2023; Rouse, Greg W/F-2611-2010; Wilson, Nerida/G-8433-2011</t>
  </si>
  <si>
    <t>Rouse, Gregory/0000-0001-9036-9263; Rouse, Greg W/0000-0001-9036-9263; Moore, Jenna/0000-0003-0546-7833; Wilson, Nerida/0000-0002-0784-0200</t>
  </si>
  <si>
    <t>Division of Graduate Education [1315138]; Office of Polar Programs [1043749]; Direct For Education and Human Resources; Division Of Graduate Education [1315138] Funding Source: National Science Foundation; Directorate For Geosciences; Office of Polar Programs (OPP) [1043749] Funding Source: National Science Foundation</t>
  </si>
  <si>
    <t>Division of Graduate Education(National Science Foundation (NSF)NSF - Directorate for STEM Education (EDU)); Office of Polar Programs(National Science Foundation (NSF)NSF - Directorate for Geosciences (GEO)); Direct For Education and Human Resources; Division Of Graduate Education(National Science Foundation (NSF)NSF - Directorate for STEM Education (EDU)); Directorate For Geosciences; Office of Polar Programs (OPP)(National Science Foundation (NSF)NSF - Directorate for Geosciences (GEO))</t>
  </si>
  <si>
    <t>Division of Graduate Education, Grant/Award Number: 1315138; Office of Polar Programs, Grant/Award Number: 1043749</t>
  </si>
  <si>
    <t>10.1002/ece3.4551</t>
  </si>
  <si>
    <t>WOS:000450351400024</t>
  </si>
  <si>
    <t>Huang, DH; Liu, EX; Hu, HQ; Liu, JJ</t>
  </si>
  <si>
    <t>Huang DeHong; Liu ErXiao; Hu HongQiao; Liu JianJun</t>
  </si>
  <si>
    <t>Algorithm for the estimation of ionosphere parameters from ground scatter echoes of SuperDARN</t>
  </si>
  <si>
    <t>SCIENCE CHINA-TECHNOLOGICAL SCIENCES</t>
  </si>
  <si>
    <t>ionosphere parameters; ground echoes; SuperDARN</t>
  </si>
  <si>
    <t>MESOSPHERE SUMMER ECHOES; HF RADARS; BACKSCATTER; CONVECTION; DISTURBANCES; LOCATION</t>
  </si>
  <si>
    <t>The High-frequency over-the-horizon radar ground and sea backscatter echoes can be used to estimate the ionosphere critical frequency, providing the ionosphere states up to thousands of kilometers from the transmitter to receiver location. In this study, using the frequency scanning mode of super dual auroral radar network (SuperDARN), the skip distance of every frequency band can be obtained, then, the variation of maximum usable frequency with range is estimated. With the knowledge of elevation angles or an assigned virtual reflection height in ionosphere, the F-region critical frequency has been estimated. The cross correlation of these two sample populations as a function of the lag is calculated, which shows that the cross-correlation coefficients can be as high as 0.8 in all selected events at 0 lag, thus validating the rationality of the proposed algorithm. Therefore, the algorithm is suitable for application under conditions of abundant ground/sea backscatter echoes.</t>
  </si>
  <si>
    <t>[Huang DeHong; Liu ErXiao; Hu HongQiao; Liu JianJun] Polar Res Inst China, Key Lab Polar Sci, State Ocean Adm, Shanghai 200136, Peoples R China; [Liu ErXiao] Hangzhou Dianzi Univ, Coll Commun Engn, Hangzhou 310018, Zhejiang, Peoples R China</t>
  </si>
  <si>
    <t>Polar Research Institute of China; Hangzhou Dianzi University</t>
  </si>
  <si>
    <t>Liu, EX (corresponding author), Polar Res Inst China, Key Lab Polar Sci, State Ocean Adm, Shanghai 200136, Peoples R China.;Liu, EX (corresponding author), Hangzhou Dianzi Univ, Coll Commun Engn, Hangzhou 310018, Zhejiang, Peoples R China.</t>
  </si>
  <si>
    <t>liuerxiao001@163.com</t>
  </si>
  <si>
    <t>National Natural Science Foundation of China [41704154, 41431072, 41474146, 41644167, 41674169]; Zhejiang Provincial Science and Technology Plan Project [LGG18F010009]; State Oceanic Administration Key Laboratory for Polar Science [KP201503]; Chinese Arctic and Antarctic Administration [IC201608]; International Collaboration Supporting Project</t>
  </si>
  <si>
    <t>National Natural Science Foundation of China(National Natural Science Foundation of China (NSFC)); Zhejiang Provincial Science and Technology Plan Project; State Oceanic Administration Key Laboratory for Polar Science; Chinese Arctic and Antarctic Administration; International Collaboration Supporting Project</t>
  </si>
  <si>
    <t>This work was supported by the National Natural Science Foundation of China (Grant Nos. 41704154, 41431072, 41474146, 41644167 &amp; 41674169), the Zhejiang Provincial Science and Technology Plan Project (Grant No. LGG18F010009), State Oceanic Administration Key Laboratory for Polar Science (Grant No. KP201503), the International Collaboration Supporting Project, and Chinese Arctic and Antarctic Administration (Grant No. IC201608). We thank the University of Leicester radar group that continuously operate the Hankasalmi HF radar and provide the data used in this study. The Sodankyla observatory is appreciated for the ionosonde data. We thank Professor Ruiyuan Liu for the fruitful discussions and comments on this research.</t>
  </si>
  <si>
    <t>1674-7321</t>
  </si>
  <si>
    <t>1869-1900</t>
  </si>
  <si>
    <t>SCI CHINA TECHNOL SC</t>
  </si>
  <si>
    <t>Sci. China-Technol. Sci.</t>
  </si>
  <si>
    <t>10.1007/s11431-017-9178-4</t>
  </si>
  <si>
    <t>Engineering, Multidisciplinary; Materials Science, Multidisciplinary</t>
  </si>
  <si>
    <t>HA3YO</t>
  </si>
  <si>
    <t>WOS:000450194100014</t>
  </si>
  <si>
    <t>Gianni, GM; Pesce, A; Soler, SR</t>
  </si>
  <si>
    <t>Gianni, G. M.; Pesce, A.; Soler, S. R.</t>
  </si>
  <si>
    <t>Transient plate contraction between two simultaneous slab windows: Insights from Paleogene tectonics of the Patagonian Andes</t>
  </si>
  <si>
    <t>JOURNAL OF GEODYNAMICS</t>
  </si>
  <si>
    <t>Slab-window; Midocean ridge-trench interaction; Intraplate contraction; Intraplate magmatism</t>
  </si>
  <si>
    <t>NEW-AGE CONSTRAINTS; SAN-JORGE BASIN; SOUTHERN CHILE; RIDGE SUBDUCTION; BACK-ARC; ANTARCTIC PENINSULA; EXTENSIONAL BASIN; EARLY MIOCENE; ARGENTINA; EVOLUTION</t>
  </si>
  <si>
    <t>Plate kinematic reconstructions show that the Farallon-Phoenix (Aluk) spreading center subducted under South America sometime between the Late Cretaceous and the Paleogene periods. Geological studies have supported a ridge-trench interaction in Patagonia during Paleocene to Eocene times mostly based on the documentation of slab window magmatism and Andean arc-quiescence. However, a revision of most recent works dealing with the Paleogene tectonic evolution of Central Patagonia between 39 degrees S to 50 degrees S highlights inconsistencies in this model. Particularly, the existence of two discrete areas with simultaneous slab window-related magmatism separated by a sector with plate-wide contraction, along with a spatio-temporal mismatch between magmatism location and ridge kinematics, preclude a single ridge-trench interaction. With the purpose to better understand this complex tectonic setting, we integrated this updated geological evolution into a plate kinematic model. We propose that the oblique collision of a segmented Farallon-Phoenix/Aluk mid-ocean ridge would explain the latitudinally variable tectonomagmatic evolution of Patagonia during early Paleogene times. Finally, this work adds resolution to geodynamic processes in active margins where complex midocean ridge-trench interactions take place.</t>
  </si>
  <si>
    <t>[Gianni, G. M.; Pesce, A.; Soler, S. R.] Univ Nacl San Juan, CONICET, IGSV, Inst Geofis Sismol Ingn Votponi, San Juan, Argentina</t>
  </si>
  <si>
    <t>Consejo Nacional de Investigaciones Cientificas y Tecnicas (CONICET); Universidad Nacional de San Juan</t>
  </si>
  <si>
    <t>Gianni, GM (corresponding author), Univ Nacl San Juan, CONICET, IGSV, Inst Geofis Sismol Ingn Votponi, San Juan, Argentina.</t>
  </si>
  <si>
    <t>guidogianni22@gmail.com</t>
  </si>
  <si>
    <t>Soler, Santiago Rubén/AAF-6723-2019</t>
  </si>
  <si>
    <t>Soler, Santiago Rubén/0000-0001-9202-5317; Pesce, Agustina/0000-0002-5538-8845; Gianni, Guido Martin/0000-0001-9036-0621</t>
  </si>
  <si>
    <t>Consejo Nacional de Investigaciones Cientificas y Tecnicas (CONICET)(Consejo Nacional de Investigaciones Cientificas y Tecnicas (CONICET))</t>
  </si>
  <si>
    <t>We acknowledge the support given by the Consejo Nacional de Investigaciones Cientificas y Tecnicas (CONICET). The authors greatly appreciate the corrections made by two anonymous reviewers that improved substantially the original version of this manuscript. We also acknowledge the efficient handling of the manuscript by the editor, Prof. Artemieva. GG is thankful to Dr. Cesar Navarrete and Dr. Andres Echaurren for fruitful discussion on Andean geology.</t>
  </si>
  <si>
    <t>0264-3707</t>
  </si>
  <si>
    <t>J GEODYN</t>
  </si>
  <si>
    <t>J. Geodyn.</t>
  </si>
  <si>
    <t>10.1016/j.jog.2018.07.008</t>
  </si>
  <si>
    <t>HA0MD</t>
  </si>
  <si>
    <t>WOS:000449901200007</t>
  </si>
  <si>
    <t>Ward, DFL; Wotherspoon, S; Melbourne-Thomas, J; Haapkylä, J; Johnson, CR</t>
  </si>
  <si>
    <t>Ward, Delphi F. L.; Wotherspoon, Simon; Melbourne-Thomas, Jessica; Haapkylae, Jessica; Johnson, Craig R.</t>
  </si>
  <si>
    <t>Detecting ecological regime shifts from transect data</t>
  </si>
  <si>
    <t>ECOLOGICAL MONOGRAPHS</t>
  </si>
  <si>
    <t>attractor reconstruction; characteristic length scale; coral disease; coral reefs; critical transitions; ecosystem change; emergent spatial patterns; nonlinear prediction; phase shifts; spatial data</t>
  </si>
  <si>
    <t>PHASE-SHIFTS; INTERMEDIATE-SCALE; MARINE ECOSYSTEMS; CORAL-REEFS; COMMUNITIES; DISTURBANCE; RESILIENCE; DETERMINISM; THRESHOLDS; RESPONSES</t>
  </si>
  <si>
    <t>Timely detection of ecological regime shifts is a key problem for ecosystem managers, because changed ecosystem dynamics and function will usually necessitate a change in management strategies. However, currently available methods for detecting regime shifts depend on having multiple long time series data from both before and after the regime shift. This data requirement is prohibitive for many ecosystems. Here, we present a new approach for detecting regime shifts from one-dimensional spatial (transect) data from just a single time step either side of the transition. Characteristic length scale (CLS) estimation is a method of attractor reconstruction combined with nonlinear prediction that enables identification of the emergent scale at which deterministic behavior of the system is best observed. Importantly, previous studies show that a fundamental change in ecosystem dynamics, from one domain of attraction to another, is reflected in a change in the CLS, i.e., the approach enables distinguishing regime shifts from variability in dynamics around a single attractor. Until now the method required highly resolved two-dimensional spatial data, but here we adapted the approach so that the CLS can be estimated from one-dimensional transect data. We demonstrate its successful application to both model and real ecosystem data. In our model test cases, we detected change in the CLS in cases where the shape (topology) of the interaction network had changed, leading to a shift in community composition. In an examination of benthic transect data from four Indonesian coral reefs, changes in the CLS for two of the reefs indicate a regime shift. This new development in estimating CLSs makes it possible to detect regime shifts in systems where data are limited, removing ambiguity in the interpretation of community change.</t>
  </si>
  <si>
    <t>[Ward, Delphi F. L.; Wotherspoon, Simon; Johnson, Craig R.] Univ Tasmania, Inst Marine &amp; Antarctic Studies, Private Bag 129, Hobart, Tas 7001, Australia; [Ward, Delphi F. L.; Melbourne-Thomas, Jessica] Univ Tasmania, Antarctic Climate &amp; Ecosyst Cooperat Res Ctr, Private Bag 80, Hobart, Tas 7001, Australia; [Wotherspoon, Simon; Melbourne-Thomas, Jessica] Dept Environm &amp; Energy, Australian Antarctic Div, 203 Channel Highway, Kingston, Tas 7050, Australia; [Haapkylae, Jessica] James Cook Univ, Sch Marine &amp; Trop Biol, ARC Ctr Excellence Coral Reef Studies, Townsville, Qld 4811, Australia</t>
  </si>
  <si>
    <t>University of Tasmania; University of Tasmania; Antarctic Climate &amp; Ecosystems Cooperative Research Centre (ACE CRC); Australian Antarctic Division; James Cook University</t>
  </si>
  <si>
    <t>Ward, DFL (corresponding author), Univ Tasmania, Inst Marine &amp; Antarctic Studies, Private Bag 129, Hobart, Tas 7001, Australia.;Ward, DFL (corresponding author), Univ Tasmania, Antarctic Climate &amp; Ecosyst Cooperat Res Ctr, Private Bag 80, Hobart, Tas 7001, Australia.</t>
  </si>
  <si>
    <t>delphi.ward@utas.edu.au</t>
  </si>
  <si>
    <t>Melbourne-Thomas, Jess/N-2437-2019; Wotherspoon, Simon J/B-2390-2013; Johnson, Craig/E-1788-2013</t>
  </si>
  <si>
    <t>Melbourne-Thomas, Jess/0000-0001-6585-876X; Wotherspoon, Simon J/0000-0002-6947-4445; Ward, Delphi/0000-0002-1802-2617; Johnson, Craig/0000-0002-9511-905X</t>
  </si>
  <si>
    <t>Australian Government Research Training Program Scholarship; Quantitative Antarctic Science program top-up scholarship; Australian Government's Cooperative Research Centres Programme through the Antarctic Climate and Ecosystem Cooperative Research Centre; Australian Antarctic Science Program [4343, 4347]; NeCTAR; Australian Government through the National Collaborative Research Infrastructure Strategy</t>
  </si>
  <si>
    <t>Australian Government Research Training Program Scholarship(Australian GovernmentDepartment of Industry, Innovation and Science); Quantitative Antarctic Science program top-up scholarship; Australian Government's Cooperative Research Centres Programme through the Antarctic Climate and Ecosystem Cooperative Research Centre(Australian GovernmentDepartment of Industry, Innovation and ScienceCooperative Research Centres (CRC) Programme); Australian Antarctic Science Program; NeCTAR; Australian Government through the National Collaborative Research Infrastructure Strategy(Australian GovernmentDepartment of Industry, Innovation and Science)</t>
  </si>
  <si>
    <t>D. Ward is supported by an Australian Government Research Training Program Scholarship and a Quantitative Antarctic Science program top-up scholarship. This project was supported by the Australian Government's Cooperative Research Centres Programme through the Antarctic Climate and Ecosystem Cooperative Research Centre, by the Australian Antarctic Science Program (projects 4343 and 4347) and by NeCTAR. NeCTAR is supported by the Australian Government through the National Collaborative Research Infrastructure Strategy. Thanks to Mike Sumner for remote computing assistance, to Andrew Constable, and particularly Lewi Stone, whose helpful comments greatly improved the manuscript.</t>
  </si>
  <si>
    <t>0012-9615</t>
  </si>
  <si>
    <t>1557-7015</t>
  </si>
  <si>
    <t>ECOL MONOGR</t>
  </si>
  <si>
    <t>Ecol. Monogr.</t>
  </si>
  <si>
    <t>10.1002/ecm.1312</t>
  </si>
  <si>
    <t>HA0GX</t>
  </si>
  <si>
    <t>Green Published, Green Accepted</t>
  </si>
  <si>
    <t>WOS:000449887100012</t>
  </si>
  <si>
    <t>Frederick, JE; Tinsley, BA</t>
  </si>
  <si>
    <t>Frederick, John E.; Tinsley, Brian A.</t>
  </si>
  <si>
    <t>The response of longwave radiation at the South Pole to electrical and magnetic variations: Links to meteorological generators and the solar wind</t>
  </si>
  <si>
    <t>GLOBAL ATMOSPHERIC ELECTRICITY; QUASI-STATIC MODEL; CLOUD MICROPHYSICS; HIGH-LATITUDES; FIELD; CIRCUIT; PERTURBATIONS; POTENTIALS; VORTICITY; COVER</t>
  </si>
  <si>
    <t>An increasing body of evidence supports the conclusion that electrical variations in the Polar Regions influence atmospheric radiative properties. These influences can be transmitted (1) by the global electric circuit from remote thunderstorms and electrified shower clouds; (2) from local electric fields associated with ionospheric currents that generate magnetic activity, and (3) from local penetration of the solar wind electric field. A regression-based analysis reveals a positive relationship between downwelling longwave radiation observed during the dark portion of the year at the South Pole and the vertical electric field measured at the Antarctic stations Vostok and Concordia from 1998 to 2011, component (1). An increase in the electric field of 22.4 Vm(-1) qual to one standard deviation of the nighttime mean, is followed one day later by a longwave irradiance 2.78 +/- 1.90% larger than would exist otherwise. In addition, a significant negative correlation with a lag of two days exists between longwave irradiance recorded from late 1993 to mid-2017 and the A(p) index, which measures temporal variations in the surface magnetic field associated with electric fields of ionospheric origin, component (2). There is a weaker, less-definitive, positive correlation of longwave irradiance with the interplanetary magnetic field index B-y which is associated with the solar wind electric field, component (3). These results are consistent with previous work using visible radiation, and with the hypothesis that the ionosphere-earth current density influences the microphysics of polar clouds, with consequences for radiative processes and meteorological variables such as surface pressure.</t>
  </si>
  <si>
    <t>[Frederick, John E.] Univ Chicago, Chicago, IL 60637 USA; [Tinsley, Brian A.] Univ Texas Dallas, Richardson, TX 75083 USA</t>
  </si>
  <si>
    <t>University of Chicago; University of Texas System; University of Texas Dallas</t>
  </si>
  <si>
    <t>Frederick, JE (corresponding author), Univ Chicago, Dept Geophys Sci, 1950 E Greyhound Pass,Box 18-199, Carmel, IN 46033 USA.</t>
  </si>
  <si>
    <t>frederic@uchicago.edu</t>
  </si>
  <si>
    <t>10.1016/j.jastp.2018.08.003</t>
  </si>
  <si>
    <t>WOS:000449447700024</t>
  </si>
  <si>
    <t>Harrison, RG; Nicoll, KA</t>
  </si>
  <si>
    <t>Harrison, R. G.; Nicoll, K. A.</t>
  </si>
  <si>
    <t>Fair weather criteria for atmospheric electricity measurements</t>
  </si>
  <si>
    <t>GEOELECTRIC FIELD; SMOKE CONCENTRATIONS; ANTARCTICA; CIRCUIT; VOSTOK; STATION; LERWICK; LONDON; MAITRI</t>
  </si>
  <si>
    <t>The global atmospheric electric circuit, which links the space environment with terrestrial weather, has mostly been investigated using fair-weather surface atmospheric electricity measurements. Retrieving global circuit information, however, requires the selection of fair weather data, to avoid local meteorological disturbances. The research results presented here challenge the applicability of long-standing definitions of electrically fair weather atmospheric conditions. From detailed new measurements and theory, three improved requirements (FW1 to FW3) for fair weather atmospheric electricity conditions are described. These are: (FW1) absence of hydrometeors, aerosol and haze, as apparent through the visual range exceeding 2 km, (FW2) negligible cumuliform cloud and no extensive stratus cloud with cloud base below 1500 m, and (FW3) surface wind speed between 1 m s(-1) and 8 m s(-1). Automatic and manual measurement approaches to identifying these requirements are given. Through applying these criteria at the many measurements sites now operating, the noise from meteorological variability will be reduced, leading to data more representative of the global electric circuit.</t>
  </si>
  <si>
    <t>[Harrison, R. G.; Nicoll, K. A.] Univ Reading, Dept Meteorol, Reading, Berks, England; [Nicoll, K. A.] Univ Bath, Dept Elect &amp; Elect Engn, Bath, Avon, England</t>
  </si>
  <si>
    <t>University of Reading; University of Bath</t>
  </si>
  <si>
    <t>Nicoll, KA (corresponding author), Univ Reading, Dept Meteorol, Reading, Berks, England.</t>
  </si>
  <si>
    <t>k.a.nicoll@reading.ac.uk</t>
  </si>
  <si>
    <t>Harrison, RG/GWQ-8421-2022; Nicoll, Keri/L-6106-2017</t>
  </si>
  <si>
    <t>Harrison, RG/0000-0003-0693-347X; Nicoll, Keri/0000-0001-5580-6325</t>
  </si>
  <si>
    <t>NERC [NE/N013689/1, NE/L011514/2, NE/L011514/1]; UAE research programme for rain enhancement science; EU COST action [CA15211]; NERC [NE/L011514/2, NE/N013689/1, NE/L011514/1] Funding Source: UKRI</t>
  </si>
  <si>
    <t>NERC(UK Research &amp; Innovation (UKRI)Natural Environment Research Council (NERC)); UAE research programme for rain enhancement science; EU COST action(European Union (EU)European Cooperation in Science and Technology (COST)); NERC(UK Research &amp; Innovation (UKRI)Natural Environment Research Council (NERC))</t>
  </si>
  <si>
    <t>K.A.N. acknowledges the support of NERC through Independent Research Fellowship NE/L011514/1 and NE/L011514/2. The Halley PG data was obtained in collaboration with the British Antarctic Survey (with thanks to David Maxfield and Mervyn Freeman) through a Collaborative Gearing Scheme grant. PG and meteorology data from Reading and Halley is available and archived through CEDA (http://data.ceda.ac.uk//badc/glocaem/data/) funded by NERC through the GLOCAEM project (NE/N013689/1). The CS110 field mill and SWS-200 present weather sensor under test at Reading during November 2017 (fig7a) were funded by the UAE research programme for rain enhancement science. EU COST action CA15211 provided opportunities for productive discussions with Hugo Silva, Jozef Bor and Anna Odzimek.</t>
  </si>
  <si>
    <t>10.1016/j.jastp.2018.07.008</t>
  </si>
  <si>
    <t>WOS:000449447700026</t>
  </si>
  <si>
    <t>Gabis, IP</t>
  </si>
  <si>
    <t>Gabis, I. P.</t>
  </si>
  <si>
    <t>Seasonal dependence of the quasi-biennial oscillation (QBO): New evidence from IGRA data</t>
  </si>
  <si>
    <t>Quasi-biennial oscillation (QBO); Integrated global radiosonde archive (IGRA); Tropical upwelling; Seasonal synchronization</t>
  </si>
  <si>
    <t>BREWER-DOBSON CIRCULATION; EQUATORIAL STRATOSPHERIC WIND; ANNUAL CYCLE; ZONAL WINDS; CHANGING CLIMATE; MODEL; SYNCHRONIZATION; REPRESENTATION; ACCELERATION; TEMPERATURES</t>
  </si>
  <si>
    <t>The seasonal features of the quasi-biennial oscillation (QBO) of the zonal wind in the equatorial stratosphere were examined using daily data from the Integrated Global Radiosonde Archive (IGRA). Analysis of forty years of daily IGRA data (1977-2016) shows the characteristics of a descent rate of easterly and westerly wind regimes that cannot be found from the mean monthly data. This study clearly demonstrates the stepwise descent of the easterly regime in the whole height range from similar to 10 to similar to 70 hPa, with the alternation of intervals with faster and slower descent. Furthermore, it seems that the easterly descent always sharply accelerates (decelerates) near equinoxes (solstices). Thus, the easterly regime descends faster in intervals from equinox to solstice, while from solstice to equinox the descent rate is lower and often is near zero or negative. These findings cannot be explained by the influence of annually varying tropical upwelling with a stronger and weaker strength in Northern Hemisphere winter and summer, respectively. Also it seems that the westerly wind regime, irrespective of the time of its appearance at similar to 10 hPa, always reaches the level similar to 70 hPa simultaneously with the appearance of the next easterly wind regime at similar to 10 hPa. Consequently, seasonal alignment of the QBO seems to be primarily associated with the regularities of the easterly descent. The sharp changes of the easterly descent rate near equinoxes and solstices are especially evident in the layer 20-50 hPa, and the QBO period can be determined using these seasonal features of the easterly. The advantage of this method is the possibility of the long-term forecasting of the QBO due to the discretely changing QBO period, which turns out to be equal to 24, 30 or 36 months.</t>
  </si>
  <si>
    <t>[Gabis, I. P.] Arctic &amp; Antarctic Res Inst, St Petersburg 199397, Russia</t>
  </si>
  <si>
    <t>Gabis, IP (corresponding author), Arctic &amp; Antarctic Res Inst, St Petersburg 199397, Russia.</t>
  </si>
  <si>
    <t>gabis@aari.nw.ru</t>
  </si>
  <si>
    <t>10.1016/j.jastp.2018.08.012</t>
  </si>
  <si>
    <t>WOS:000449447700033</t>
  </si>
  <si>
    <t>Murdmaa, IO; Seitkalieva, EA; Dara, OM; Dorokhova, EV; Simagin, NV</t>
  </si>
  <si>
    <t>Murdmaa, I. O.; Seitkalieva, E. A.; Dara, O. M.; Dorokhova, E. V.; Simagin, N. V.</t>
  </si>
  <si>
    <t>Glauconite Sand from the Terrace of the Patagonian Continental Slope, Southwestern Atlantic</t>
  </si>
  <si>
    <t>LITHOLOGY AND MINERAL RESOURCES</t>
  </si>
  <si>
    <t>CONTOURITE SYSTEMS; AKADEMIK-IOFFE; CRUISE</t>
  </si>
  <si>
    <t>This brief communication describes the first finding of glauconite sand alternating with calcareous foraminiferal-coccolithic ooze on the Piedra Buena contourite terrace of the Patagonian continental slope at a depth of 2327 m. It is suggested that the fine-sand glauconite grains were supplied from the shelf during glaciations, rewashed and sorted by alongslope (contour) currents of the Circumpolar Antarctic waters with the formation of sandy glauconite contourites.</t>
  </si>
  <si>
    <t>[Murdmaa, I. O.; Seitkalieva, E. A.; Dara, O. M.; Dorokhova, E. V.; Simagin, N. V.] Shirshov Inst Oceanol, Moscow 117997, Russia</t>
  </si>
  <si>
    <t>Murdmaa, IO (corresponding author), Shirshov Inst Oceanol, Moscow 117997, Russia.</t>
  </si>
  <si>
    <t>murdmaa@mail.ru</t>
  </si>
  <si>
    <t>Dorokhova, Evgenia V/L-3075-2016; Murdmaa, Ivar/T-3538-2017</t>
  </si>
  <si>
    <t>Dorokhova, Evgenia/0000-0002-0079-7342</t>
  </si>
  <si>
    <t>Russian Science Foundation [14-50-00095]; State Task of FANO [0149-2018-0012]</t>
  </si>
  <si>
    <t>Russian Science Foundation(Russian Science Foundation (RSF)); State Task of FANO</t>
  </si>
  <si>
    <t>This work was supported by the Russian Science Foundation, project no. 14-50-00095. Results of the grain-size study were obtained under the State Task of FANO (project no. 0149-2018-0012, ED).</t>
  </si>
  <si>
    <t>0024-4902</t>
  </si>
  <si>
    <t>1608-3229</t>
  </si>
  <si>
    <t>LITHOL MINER RESOUR+</t>
  </si>
  <si>
    <t>Lithol. Miner. Resour.</t>
  </si>
  <si>
    <t>10.1134/S0024490218060068</t>
  </si>
  <si>
    <t>Geochemistry &amp; Geophysics; Geology; Mineralogy</t>
  </si>
  <si>
    <t>GZ5AC</t>
  </si>
  <si>
    <t>WOS:000449423900002</t>
  </si>
  <si>
    <t>Ha, SY; Min, JO; Joo, H; Kim, MS; Kang, SH; Shin, KH</t>
  </si>
  <si>
    <t>Ha, Sun-Yong; Min, Jun-Oh; Joo, HyoungMin; Kim, Min-Seob; Kang, Sung-Ho; Shin, Kyung-Hoon</t>
  </si>
  <si>
    <t>Synthesis of mycosporine-like amino acids by a size-fractionated marine phytoplankton community of the arctic beaufort sea</t>
  </si>
  <si>
    <t>JOURNAL OF PHOTOCHEMISTRY AND PHOTOBIOLOGY B-BIOLOGY</t>
  </si>
  <si>
    <t>Arctic; Beaufort sea; Mycosporine-like amino acids (MAAs); Mackenzie Shelf; Micro-phytoplankton</t>
  </si>
  <si>
    <t>MACKENZIE RIVER; ANTARCTIC PHYTOPLANKTON; ULTRAVIOLET-RADIATION; OZONE LOSS; SHELF; ICE; PHOTOSYNTHESIS; ABSORPTION; NUTRIENT; MATTER</t>
  </si>
  <si>
    <t>During the RV-ARAON cruise, a comparative study on the biosynthesis of mycosporine-like amino acids (MAAs) was conducted for the size-fractionated phytoplankton of the Beaufort Sea (Arctic). The MAAs contents in the micro-phytoplankton community (&gt; 20 mu m size) is considerably higher than that observed in the nano-(20-2 mu m size) and pico-phytoplankton (&lt; 2 mu m size) communities. The micro-phytoplankton of the Mackenzie Shelf had a relatively higher Chlorophyll a (Chl a) concentration. Considering the total phytoplankton community, the MAAs concentration as well as net production of individual MAAs (such as shinorine and palythine) were higher at the Mackenzie Shelf rather than at the sites located beyond the Beaufort Sea; precisely, the highest net production rates of shinorine and palythine were 0.211 (+/- 0.02) ng C L-1 d(-1) and 0.136 (+/- 0.001) ng C L-1 d(-1) respectively (No other MAAs were detected). The micro-phytoplankton used around 0.5% of the total carbon uptake for the synthesis of MAAs. Compared to the smaller phytoplankton community, the micro-phytoplankton utilized more of their energy for the biosynthesis of MAAs; on the other hand, nano- and pico-phytoplankton focused on cellular activity and had poor biosynthesis of MAAs. This clearly indicates the phytoplankton size-dependent variation in the biosynthesis of MAA in the natural phytoplankton community. This study revealed the environmental adaptation of the various sizes of phytoplankton community as well as their physiological response in the Arctic Beaufort Sea.</t>
  </si>
  <si>
    <t>[Ha, Sun-Yong; Joo, HyoungMin; Kang, Sung-Ho] Korea Polar Res Inst KOPRI, Div Polar Ocean Sci, 26 Songdomirae Ro, Incheon 21990, South Korea; [Min, Jun-Oh; Shin, Kyung-Hoon] Hanyang Univ, Dept Marine Sci &amp; Convergent Technol, Hanyangdaehak Ro 55, Ansan 15588, Kyeonggi Do, South Korea; [Kim, Min-Seob] Natl Inst Environm Res, Environm Measurement &amp; Anal Ctr, Dept Fundamental Environm Res, Incheon 22689, South Korea</t>
  </si>
  <si>
    <t>Korea Polar Research Institute (KOPRI); Hanyang University; National Institute of Environmental Research (NIER), Republic of Korea</t>
  </si>
  <si>
    <t>Shin, KH (corresponding author), Hanyang Univ, Dept Marine Sci &amp; Convergent Technol, Hanyangdaehak Ro 55, Ansan 15588, Kyeonggi Do, South Korea.</t>
  </si>
  <si>
    <t>shinkh@hanyang.ac.kr</t>
  </si>
  <si>
    <t>Shin, Kyung-Hoon/AAD-6999-2021</t>
  </si>
  <si>
    <t>Shin, Kyung-Hoon/0000-0002-3169-4274; Kim, Min Seob/0000-0002-0365-7468</t>
  </si>
  <si>
    <t>Ministry of Oceans and Fisheries (MOF), Korea [20160245]</t>
  </si>
  <si>
    <t>Ministry of Oceans and Fisheries (MOF), Korea</t>
  </si>
  <si>
    <t>This research was a part of the project titled 'Korea-Arctic Ocean Observing System(K-AOOS), KOPRI, 20160245)', funded by the Ministry of Oceans and Fisheries (MOF), Korea.</t>
  </si>
  <si>
    <t>1011-1344</t>
  </si>
  <si>
    <t>1873-2682</t>
  </si>
  <si>
    <t>J PHOTOCH PHOTOBIO B</t>
  </si>
  <si>
    <t>J. Photochem. Photobiol. B-Biol.</t>
  </si>
  <si>
    <t>10.1016/j.jphotobiol.2018.09.008</t>
  </si>
  <si>
    <t>GZ2TN</t>
  </si>
  <si>
    <t>WOS:000449241400011</t>
  </si>
  <si>
    <t>Wenau, S; Spiess, V; Keil, H; Fei, T</t>
  </si>
  <si>
    <t>Wenau, S.; Spiess, V.; Keil, H.; Fei, T.</t>
  </si>
  <si>
    <t>Localization and characterization of a gas bubble stream at a Congo deep water seep site using a 3D gridding approach on single-beam echosounder data</t>
  </si>
  <si>
    <t>MARINE AND PETROLEUM GEOLOGY</t>
  </si>
  <si>
    <t>Seafloor seepage; Flare localization; Single beam echosounder; Lower Congo Basin</t>
  </si>
  <si>
    <t>MULTIBEAM SONAR; METHANE FLUXES; SALT FRONT; COLD SEEPS; SEA; COLUMN; AREA; EMISSIONS; BASIN; TECHNOLOGY</t>
  </si>
  <si>
    <t>This study investigates the geometry and temporal variation of a prominent gas bubble stream from a seafloor pockmark in the Lower Congo Basin. We present results of a 3D gridding approach of singlebeam echosounder water column data (Parasound 18 kHz) that increases the lateral resolution and improves the localization of anomalies beyond the inherent depth-dependent footprint size of the sonar system. This allows a detailed reconstruction of gas bubble trajectories through the water column, revealing a stable gas bubble stream for the deepest 1000 m. The bubbles are shifted laterally by similar to 200 m in the transition zone between North Atlantic Deep Water and Antarctic Intermediate Water with a reconstructed current velocity of similar to 4 cm/s. The direction of lateral shift varies throughout the similar to 15 h survey possibly because of internal waves and small-scale eddies at the water mass boundary. Furthermore, a stacking of SBES water column data acquired during sampling stations showed a periodic variation in seepage intensity with periods of 6 and 8 min, which are likely related to temporally modulated gas supply to the sea floor. Singlebeam echosounder are commonly limited by their small coverage of the survey area during individual passes and their footprint size in detailed imaging of individual seep sites, especially in the deep sea. The presented gridding method for singlebeam echosounder data may facilitate the use of such data in deep water gas bubble stream identification and localization.</t>
  </si>
  <si>
    <t>Univ Bremen, MARUM Ctr Marine Environm Sci, Bremen, Germany; Univ Bremen, Fac Geosci, Bremen, Germany; [Fei, T.] HELLA GmbH &amp; Co KGaA, Rixbecker Str 75, D-59557 Lippstadt, Germany</t>
  </si>
  <si>
    <t>Wenau, S (corresponding author), GEO Bldg R4590,Klagenfurter Str 2, D-28359 Bremen, Germany.</t>
  </si>
  <si>
    <t>swenau@uni-bremen.de</t>
  </si>
  <si>
    <t>Wenau, Stefan/P-4898-2017; Fei, Tai/J-6862-2019; Spiess, Volkhard/E-4376-2010</t>
  </si>
  <si>
    <t>Fei, Tai/0000-0002-4789-4190; Spiess, Volkhard/0000-0001-5019-5844; Wenau, Stefan/0000-0002-3520-7437</t>
  </si>
  <si>
    <t>Federal Ministry for Economic Affairs and Energy (BMWi) [03SX346B]; DFG-Research Center/Cluster of Excellence 'The Ocean in the Earth System MARUM - Center for marine Environmental Sciences' [DFG-EXC 309]</t>
  </si>
  <si>
    <t>Federal Ministry for Economic Affairs and Energy (BMWi)(Federal Ministry for Economic Affairs and Energy (BMWi)); DFG-Research Center/Cluster of Excellence 'The Ocean in the Earth System MARUM - Center for marine Environmental Sciences'</t>
  </si>
  <si>
    <t>We would like to thank the captain and crew of R/V Meteor for their work during Cruise M76/3a that allowed the collection of the data for this study. This work was partly financed through the research program 'IMGAM - Intelligent Monitoring of Climate Wrecking CO2/CH4 Emissions in the Sea' of the Federal Ministry for Economic Affairs and Energy (BMWi project 03SX346B) and through the DFG-Research Center/Cluster of Excellence 'The Ocean in the Earth System MARUM - Center for marine Environmental Sciences' (DFG-EXC 309). The presented dataset is available by contacting the corresponding author at swenau@uni-bremen.de or may be accessed through PANGAEA (www.pangaea.de).We would also like to thank editor Tiago Alves and reviewers Neil Mitchell and Henrique Duarte for their valuable comments on the manuscript.</t>
  </si>
  <si>
    <t>0264-8172</t>
  </si>
  <si>
    <t>1873-4073</t>
  </si>
  <si>
    <t>MAR PETROL GEOL</t>
  </si>
  <si>
    <t>Mar. Pet. Geol.</t>
  </si>
  <si>
    <t>10.1016/j.marpetgeo.2018.07.016</t>
  </si>
  <si>
    <t>GZ1KW</t>
  </si>
  <si>
    <t>WOS:000449128000040</t>
  </si>
  <si>
    <t>Antony, R; Willoughby, AS; Grannas, AM; Catanzano, V; Sleighter, RL; Thamban, M; Hatcher, PG</t>
  </si>
  <si>
    <t>Antony, Runa; Willoughby, Amanda S.; Grannas, Amanda M.; Catanzano, Victoria; Sleighter, Rachel L.; Thamban, Meloth; Hatcher, Patrick G.</t>
  </si>
  <si>
    <t>Photo-biochemical transformation of dissolved organic matter on the surface of the coastal East Antarctic ice sheet</t>
  </si>
  <si>
    <t>BIOGEOCHEMISTRY</t>
  </si>
  <si>
    <t>Dissolved organic matter; ESI-FTICR-MS; Photochemistry; Microbes; Snow; Antarctica</t>
  </si>
  <si>
    <t>RESOLUTION MASS-SPECTROMETRY; BIOLOGICALLY AVAILABLE NITROGEN; PHOTOCHEMICAL TRANSFORMATION; MOLECULAR CHARACTERIZATION; MICROBIAL COMMUNITIES; BACTERIAL-GROWTH; NATURAL-WATERS; CARBON; MARINE; ELECTROSPRAY</t>
  </si>
  <si>
    <t>Recent studies have highlighted the composition and complexity of dissolved organic matter (DOM) in glacial environments. Climate-induced changes to glacier runoff are projected to be an important source of DOM to coastal ecosystems. Photochemical and microbial (termed photo-biochemical) degradation of DOM would determine its fate on the glacier surface and in recipient coastal ecosystems. In order to understand the molecular imprints of photo-biochemical alteration of DOM, in situ field experiments were conducted over a period of 35days in a coastal Antarctic site and DOM molecularly characterised using ultrahigh-resolution mass spectrometry. We show that the biogeochemistry of DOM is highly complex and intimately connected with microbial and photochemical processes operating individually or in combination. Photo-biochemical processes resulted in shifts in the nitrogen, sulfur, and phosphorous content of the DOM. These processes are also an important mechanism for transforming refractory DOM, like dissolved black carbon and carboxylic rich alicyclic molecules from the snow surface. This study is unique, as it provides new molecular-level information on compounds that comprise the photo- and bio-labile, photo- and bio-refractory, as well as photo- and bio-produced fractions of the supraglacial DOM pool. These insights into the interactions between microbes, light, and specific components of the DOM pool highlight the need for studies focused on the biogeochemistry of supraglacial carbon and its response to a changing climate.</t>
  </si>
  <si>
    <t>[Antony, Runa; Thamban, Meloth] Natl Ctr Antarctic &amp; Ocean Res, Vasco Da Gama 403804, Goa, India; [Willoughby, Amanda S.; Sleighter, Rachel L.; Hatcher, Patrick G.] Old Dominion Univ, Dept Chem &amp; Biochem, Norfolk, VA 23529 USA; [Grannas, Amanda M.; Catanzano, Victoria] Villanova Univ, Dept Chem, Villanova, PA 19085 USA; [Sleighter, Rachel L.] FBSciences Inc, Res &amp; Dev, Norfolk, VA 23508 USA</t>
  </si>
  <si>
    <t>Ministry of Earth Sciences (MoES) - India; National Centre for Polar and Ocean Research (NCPOR); Old Dominion University; Villanova University</t>
  </si>
  <si>
    <t>Antony, R (corresponding author), Natl Ctr Antarctic &amp; Ocean Res, Vasco Da Gama 403804, Goa, India.</t>
  </si>
  <si>
    <t>runa@ncaor.gov.in</t>
  </si>
  <si>
    <t>; Grannas, Amanda/F-4804-2010</t>
  </si>
  <si>
    <t>Antony, Runa/0000-0003-4829-4207; Thamban, Meloth/0000-0003-3379-8189; Grannas, Amanda/0000-0003-4719-348X; Sleighter, Rachel/0000-0003-1833-7050</t>
  </si>
  <si>
    <t>Ministry of Earth Sciences (India); NCAOR; National Science Foundation (Antarctic Glaciology Program) [0739691]; Office of Polar Programs (OPP); Directorate For Geosciences [0739691] Funding Source: National Science Foundation</t>
  </si>
  <si>
    <t>Ministry of Earth Sciences (India); NCAOR; National Science Foundation (Antarctic Glaciology Program)(National Science Foundation (NSF)NSF - Directorate for Geosciences (GEO)); Office of Polar Programs (OPP); Directorate For Geosciences(National Science Foundation (NSF)NSF - Directorate for Geosciences (GEO))</t>
  </si>
  <si>
    <t>We thank the Ministry of Earth Sciences (India) and the Director, NCAOR for support. We are grateful for the support from the members and crew of the 33rd Indian Scientific Expedition to Antarctica. Shri M. J. Beg, Director (Logistics), NCAOR, is thanked for providing all necessary logistic support for the sampling, as well as, for the safe transport of samples to Old Dominion University. We also thank the College of Sciences Major Instrumentation Cluster at ODU for their assistance with the FTICR-MS data acquisition. The FTICR-MS analysis was funded by the National Science Foundation (Antarctic Glaciology Program #0739691). We also appreciate the constructive comments provided by reviewers, which allowed us to greatly improve the quality of this manuscript. This is NCAOR contribution number 55/2018.</t>
  </si>
  <si>
    <t>0168-2563</t>
  </si>
  <si>
    <t>1573-515X</t>
  </si>
  <si>
    <t>Biogeochemistry</t>
  </si>
  <si>
    <t>10.1007/s10533-018-0516-0</t>
  </si>
  <si>
    <t>GZ1FT</t>
  </si>
  <si>
    <t>WOS:000449113100008</t>
  </si>
  <si>
    <t>Enriquez, T; Renault, D; Charrier, M; Colinet, H</t>
  </si>
  <si>
    <t>Enriquez, Thomas; Renault, David; Charrier, Maryvonne; Colinet, Herve</t>
  </si>
  <si>
    <t>Cold Acclimation Favors Metabolic Stability in Drosophila suzukii</t>
  </si>
  <si>
    <t>spotted wing drosophila; cold tolerance; cold shock; homeostasis; recovery; metabolites; metabotype</t>
  </si>
  <si>
    <t>CHILL-COMA RECOVERY; FREE AMINO-ACIDS; DIPTERA DROSOPHILIDAE; PHENOTYPIC PLASTICITY; MOLECULAR-MECHANISMS; POPULATION-DYNAMICS; STRESS RESISTANCE; ANTARCTIC MIDGE; ION HOMEOSTASIS; TOLERANCE</t>
  </si>
  <si>
    <t>The invasive fruit fly pest, Drosophila suzukii, is a chill susceptible species, yet it is capable of overwintering in rather cold climates, such as North America and North Europe, probably thanks to a high cold tolerance plasticity. Little is known about the mechanisms underlying cold tolerance acquisition in D. suzukii. In this study, we compared the effect of different forms of cold acclimation (at juvenile or at adult stage) on subsequent cold tolerance. Combining developmental and adult cold acclimation resulted in a particularly high expression of cold tolerance. As found in other species, we expected that cold-acclimated flies would accumulate cryoprotectants and would be able to maintain metabolic homeostasis following cold stress. We used quantitative target GC-MS profiling to explore metabolic changes in four different phenotypes: control, cold acclimated during development or at adult stage or during both phases. We also performed a time-series GC-MS analysis to monitor metabolic homeostasis status during stress and recovery. The different thermal treatments resulted in highly distinct metabolic phenotypes. Flies submitted to both developmental and adult acclimation were characterized by accumulation of cryoprotectants (carbohydrates and amino acids), although concentrations changes remained of low magnitude. After cold shock, non-acclimated chill-susceptible phenotype displayed a symptomatic loss of metabolic homeostasis, correlated with erratic changes in the amino acids pool. On the other hand, the most cold-tolerant phenotype was able to maintain metabolic homeostasis after cold stress. These results indicate that cold tolerance acquisition of D. suzukii depends on physiological strategies similar to other drosophilids: moderate changes in cryoprotective substances and metabolic robustness. In addition, the results add to the body of evidence supporting that mechanisms underlying the different forms of acclimation are distinct.</t>
  </si>
  <si>
    <t>[Enriquez, Thomas; Renault, David; Charrier, Maryvonne; Colinet, Herve] Univ Rennes 1, ECOBIO UMR 6553, CNRS, Rennes, France; [Renault, David] Inst Univ France, Paris, France</t>
  </si>
  <si>
    <t>Universite de Rennes; Centre National de la Recherche Scientifique (CNRS); CNRS - Institute of Ecology &amp; Environment (INEE); Institut Universitaire de France</t>
  </si>
  <si>
    <t>Colinet, H (corresponding author), Univ Rennes 1, ECOBIO UMR 6553, CNRS, Rennes, France.</t>
  </si>
  <si>
    <t>herve.colinet@univ-rennes1.fr</t>
  </si>
  <si>
    <t>Colinet, hervé/K-8768-2019</t>
  </si>
  <si>
    <t>Colinet, hervé/0000-0002-8806-3107; RENAULT, David/0000-0003-3644-1759</t>
  </si>
  <si>
    <t>SUZUKILL project (The French National Research Agency) [ANR-15-CE21-0017]; Austrian Science Fund (FWF) [I 2604-B25]</t>
  </si>
  <si>
    <t>SUZUKILL project (The French National Research Agency); Austrian Science Fund (FWF)(Austrian Science Fund (FWF))</t>
  </si>
  <si>
    <t>This study was funded by SUZUKILL project (The French National Research Agency): ANR-15-CE21-0017 and Austrian Science Fund (FWF): I 2604-B25.</t>
  </si>
  <si>
    <t>10.3389/fphys.2018.01506</t>
  </si>
  <si>
    <t>GY9ZT</t>
  </si>
  <si>
    <t>WOS:000449014500001</t>
  </si>
  <si>
    <t>Mulder, JA; Karlstrom, KE; Halpin, JA; Merdith, AS; Spencer, CJ; Berry, RF; McDonald, B</t>
  </si>
  <si>
    <t>Mulder, Jacob A.; Karlstrom, Karl E.; Halpin, Jacqueline A.; Merdith, Andrew S.; Spencer, Christopher J.; Berry, Ron F.; McDonald, Bradley</t>
  </si>
  <si>
    <t>Rodinian devil in disguise: Correlation of 1.25-1.10 Ga strata between Tasmania and Grand Canyon</t>
  </si>
  <si>
    <t>EAST ANTARCTICA; AUSTRALIA; EVOLUTION; RECONSTRUCTION; PALEOGEOGRAPHY; LAURENTIA; BLOCK; LINKS; AGE</t>
  </si>
  <si>
    <t>Locating the continuation of the ca. 1.30-1.00 Ga Grenville orogen on continents formerly adjacent to Laurentia is central to resolving the paleogeography of the supercontinent Rodinia. Here we emphasize a correlation of late Mesoproterozoic foreland basins that, prior to truncation by Neoproterozoic rift margins, may have extended west of Laurentia within Rodinia. We propose correlation of the Unkar Group (Grand Canyon, Arizona, USA) with the upper Rocky Cape Group (Tasmania, southeast Australia) based on their similar stratigraphy, 1.25-1.10 Ga depositional age, and detrital zircon U-Pb age distribution and Hf isotope composition. This correlation places Tasmania adjacent to southwest Laurentia in the late Mesoproterozoic, which supports a new paleogeographic model for Rodinia. In this model, Tasmania and crustal fragments of Laurentia comprising the South Tasman Rise and the Coats Land block form key links between the Grenville orogen in southwest Laurentia and the Maud orogen (East Antarctica). A 1.14-1.07 Ga connection between the combined Grenville-Maud orogen and the Musgrave orogen of central Australia is compatible with paleomagnetic data but requires similar to 4000 km of relative motion between Australia-Antarctica and Laurentia prior to the final assembly of Rodinia at ca. 0.90 Ga. We hypothesize that the final assembly of Rodinia was achieved by dextral motion between the crust of Australian and Laurentian affinity along a plate boundary concealed beneath ice cover in East Antarctica.</t>
  </si>
  <si>
    <t>[Mulder, Jacob A.] Monash Univ, Sch Earth Atmosphere &amp; Environm, Clayton, Vic 3168, Australia; [Mulder, Jacob A.; Berry, Ron F.] Univ Tasmania, ARC Ctr Excellence Ore Deposits CODES, Sch Nat Sci, Hobart, Tas 7001, Australia; [Karlstrom, Karl E.] Univ New Mexico, Dept Earth &amp; Planetary Sci, Albuquerque, NM 87106 USA; [Halpin, Jacqueline A.] Univ Tasmania, Inst Marine &amp; Antarctic Studies, Hobart, Tas 7001, Australia; [Merdith, Andrew S.] Univ Claude Bernard Lyon 1, Lab Geol Lyon, F-69622 Lyon, France; [Merdith, Andrew S.] Univ Sydney, EarthByte Grp, Sch Geosci, Camperdown, NSW 2006, Australia; [Spencer, Christopher J.] Curtin Univ, Earth Dynam Res Grp, Inst Geosci Res, Sch Earth &amp; Planetary Sci, Perth, WA 6102, Australia; [McDonald, Bradley] Curtin Univ, GeoHist Facil, John de Laeter Ctr, Perth, WA 6102, Australia</t>
  </si>
  <si>
    <t>Monash University; University of Tasmania; University of New Mexico; University of Tasmania; Universite Claude Bernard Lyon 1; Ecole Normale Superieure de Lyon (ENS de LYON); University of Sydney; Curtin University; Curtin University</t>
  </si>
  <si>
    <t>Mulder, JA (corresponding author), Monash Univ, Sch Earth Atmosphere &amp; Environm, Clayton, Vic 3168, Australia.;Mulder, JA (corresponding author), Univ Tasmania, ARC Ctr Excellence Ore Deposits CODES, Sch Nat Sci, Hobart, Tas 7001, Australia.</t>
  </si>
  <si>
    <t>Halpin, Jacqueline A/A-3776-2014; Spencer, Christopher J/E-4345-2013</t>
  </si>
  <si>
    <t>Halpin, Jacqueline A/0000-0002-4992-8681; Karlstrom, Karl/0000-0003-2756-1724; Mulder, Jacob/0000-0001-6197-0439; Berry, Ron/0000-0002-5547-3396; Merdith, Andrew/0000-0002-7564-8149</t>
  </si>
  <si>
    <t>Australian Government Endeavor Scholarship Program; Australian Research Council (ARC) [FL160100168]; National Science Foundation [EAR-1338583]; ARC Centre of Excellence in Ore Deposits (CODES), School of Natural Sciences, University of Tasmania; Australian Geophysical Observing System; AQ44 Australian Education Investment Fund program; ARC LIEF program [LE150100013]; International Geoscience Programme [648]</t>
  </si>
  <si>
    <t>Australian Government Endeavor Scholarship Program(Australian Government); Australian Research Council (ARC)(Australian Research Council); National Science Foundation(National Science Foundation (NSF)); ARC Centre of Excellence in Ore Deposits (CODES), School of Natural Sciences, University of Tasmania; Australian Geophysical Observing System; AQ44 Australian Education Investment Fund program; ARC LIEF program(Australian Research Council); International Geoscience Programme</t>
  </si>
  <si>
    <t>We acknowledge Grand Canyon National Park for permission to undertake research in the Grand Canyon. J. Thompson, S. Meffre, K. Goemann, and S. Feig (University of Tasmania) and D. Giesler, C. White, G. Gehrels, and M. Pecha (University of Arizona) are thanked for analytical assistance. This research was supported by the Australian Government Endeavor Scholarship Program, Australian Research Council (ARC) grant FL160100168, National Science Foundation grant EAR-1338583, and the ARC Centre of Excellence in Ore Deposits (CODES), School of Natural Sciences, University of Tasmania. GeoHistory Facility instruments at Curtin University were funded by an Australian Geophysical Observing System grant provided to AuScope Pty Ltd. by the AQ44 Australian Education Investment Fund program and ARC LIEF program (LE150100013). Ian Dalziel, David Evans, and Alan Collins are thanked for insightful reviews, and Dennis Brown for editorial handling. This is a contribution to the International Geoscience Programme Project 648.</t>
  </si>
  <si>
    <t>10.1130/G45225.1</t>
  </si>
  <si>
    <t>GZ0JG</t>
  </si>
  <si>
    <t>WOS:000449047800016</t>
  </si>
  <si>
    <t>Ferster, BS; Subrahmanyam, B; Fukumori, I; Nyadjro, ES</t>
  </si>
  <si>
    <t>Ferster, Brady S.; Subrahmanyam, Bulusu; Fukumori, Ichiro; Nyadjro, Ebenezer S.</t>
  </si>
  <si>
    <t>Variability of Southern Ocean Transports</t>
  </si>
  <si>
    <t>Ocean; Dynamics; Mass fluxes; transport; Ocean circulation; Ocean dynamics; Ocean models</t>
  </si>
  <si>
    <t>MERIDIONAL OVERTURNING CIRCULATION; ANTARCTIC CIRCUMPOLAR CURRENT; CLIMATE-CHANGE; DRAKE PASSAGE; INDIAN-OCEAN; ANNULAR MODE; SEA-ICE; HEAT; REGRESSION; TRENDS</t>
  </si>
  <si>
    <t>The Southern Ocean (SO) is capable of transporting vast amounts of salt, heat, and nutrients, which allows it to influence and regulate global climate. The variability of depth- and density-integrated volume transports in the SO is studied using the Estimating the Circulation and Climate of the Ocean (ECCO), version 4, release 3 (1992-2015), ocean state estimate. The estimate has a net eastward transport of 150.6 +/- 5.5, 162.6 +/- 7.4, and 148.2 +/- 5.4 Sv (1 Sv 10(6) m(3) s(-1)) between the Atlantic-Indian, Indian-Pacific, and Pacific-Atlantic basins, respectively. The time-mean meridional volume transport across 30 degrees S in the Atlantic is estimated to be -1.4 +/- 0.6 Sv, -14.4 +/- 3.5 Sv in the Indian basin, and 15.5 +/- 4.1 Sv in the Pacific, where negative values are southward. Trends in net volume transport between the basins are statistically insignificant. Within the water column, however, the middle and lower branches of the meridional overturning circulation have trends of -0.289 and 0.248 Sv decade(-1) in the Atlantic basin. The Indian and Pacific basins have decreasing trends in their lower overturning cells. These results indicate increased overturning circulation within the lower branch in the South Atlantic and decreased lower branch circulation within the Indian and Pacific basins and have implications on the thermohaline-driven circulation. Using ECCO, we estimate a southward potential temperature transport of -176.2 degrees +/- 197.2 degrees C Sv and salinity transport of -1.71 +/- 22.4 psu Sv into the SO and indicate potential temperature transport is increasing by -15.0 degrees +/- 13.2 degrees C Sv decade(-1).</t>
  </si>
  <si>
    <t>[Ferster, Brady S.; Subrahmanyam, Bulusu] Univ South Carolina, Sch Earth Ocean &amp; Environm, Columbia, SC 29208 USA; [Fukumori, Ichiro] CALTECH, Jet Prop Lab, Pasadena, CA 91125 USA; [Nyadjro, Ebenezer S.] Univ New Orleans, Dept Phys, New Orleans, LA 70148 USA</t>
  </si>
  <si>
    <t>University of South Carolina System; University of South Carolina Columbia; California Institute of Technology; National Aeronautics &amp; Space Administration (NASA); NASA Jet Propulsion Laboratory (JPL); University of Louisiana System; University of New Orleans</t>
  </si>
  <si>
    <t>Ferster, BS (corresponding author), Univ South Carolina, Sch Earth Ocean &amp; Environm, Columbia, SC 29208 USA.</t>
  </si>
  <si>
    <t>bferster@seoe.sc.edu</t>
  </si>
  <si>
    <t>Ferster, Brady/X-6870-2019; Fukumori, Ichiro/AAY-9005-2020</t>
  </si>
  <si>
    <t>Ferster, Brady/0000-0001-9241-518X; Fukumori, Ichiro/0000-0002-0882-6400; Nyadjro, Ebenezer/0000-0002-8803-5245</t>
  </si>
  <si>
    <t>NASA South Carolina Space Grant Graduate Assistantship</t>
  </si>
  <si>
    <t>Brady Ferster is supported by the NASA South Carolina Space Grant Graduate Assistantship. Information on ECCO and its products can be found on the ECCO group webpage (http://www.ecco-group.org/products.htm). We thank Drs. Lynne Talley and Christopher Piecuch for their comments and suggestions. We would also like to thank the editor and anonymous reviewers for their insightful comments and suggestions.</t>
  </si>
  <si>
    <t>10.1175/JPO-D-18-0055.1</t>
  </si>
  <si>
    <t>GZ1QL</t>
  </si>
  <si>
    <t>WOS:000449143500001</t>
  </si>
  <si>
    <t>Kawasaki, A; Wisniewski, S; Healey, B; Pattyn, N; Kunz, D; Basner, M; Münch, M</t>
  </si>
  <si>
    <t>Kawasaki, A.; Wisniewski, S.; Healey, B.; Pattyn, N.; Kunz, D.; Basner, M.; Muench, M.</t>
  </si>
  <si>
    <t>Impact of long-term daylight deprivation on retinal light sensitivity, circadian rhythms and sleep during the Antarctic winter</t>
  </si>
  <si>
    <t>SEASONAL AFFECTIVE-DISORDER; MELATONIN SUPPRESSION; ARTIFICIAL-LIGHT; PUPIL RESPONSE; PHOTIC HISTORY; HIGH-ALTITUDE; ADAPTATION; SUMMER; DISRUPTION; SUNLIGHT</t>
  </si>
  <si>
    <t>Long-term daylight deprivation such as during the Antarctic winter has been shown to lead to delayed sleep timing and sleep fragmentation. We aimed at testing whether retinal sensitivity, sleep and circadian rest-activity will change during long-term daylight deprivation on two Antarctic bases (Concordia and Halley VI) in a total of 25 healthy crew members (mean age: 34 +/- 11y; 7f). The pupil responses to different light stimuli were used to assess retinal sensitivity changes. Rest-activity cycles were continuously monitored by activity watches. Overall, our data showed increased pupil responses under scotopic (mainly rod-dependent), photopic (mainly L-/M-cone dependent) as well as bright-blue light (mainly melanopsin-dependent) conditions during the time without direct sunlight. Circadian rhythm analysis revealed a significant decay of intra-daily stability, indicating more fragmented rest-activity rhythms during the dark period. Sleep and wake times (as assessed from rest-activity recordings) were significantly delayed after the first month without sunlight (p &lt; 0.05). Our results suggest that during long-term daylight deprivation, retinal sensitivity to blue light increases, whereas circadian rhythm stability decreases and sleep-wake timing is delayed.</t>
  </si>
  <si>
    <t>[Kawasaki, A.] Univ Lausanne, Hop Ophtalm Jules Gonin, Fdn Asile Aveugles, Lausanne, Switzerland; [Wisniewski, S.; Kunz, D.; Muench, M.] Charite Univ Med Berlin, Inst Physiol, Berlin, Germany; [Healey, B.] Ctr Hosp Alps Leman, F-74130 Contamine Sur Arve, France; [Pattyn, N.] Vrije Univ Brussel, Dept Human Physiol, Brussels, Belgium; [Pattyn, N.] Royal Mil Acad, VIPER Res Unit, Brussels, Belgium; [Wisniewski, S.; Kunz, D.; Muench, M.] St Hedwig Krankenhaus, Berlin, Germany; [Kunz, D.] Intellux GmbH, Berlin, Germany; [Basner, M.] Univ Penn, Dept Psychiat, Perelman Sch Med, Philadelphia, PA 19104 USA; [Muench, M.] Charite Univ Med Berlin, Inst Med Immunol, Berlin, Germany</t>
  </si>
  <si>
    <t>University of Lausanne; Free University of Berlin; Humboldt University of Berlin; Charite Universitatsmedizin Berlin; Vrije Universiteit Brussel; University of Pennsylvania; Free University of Berlin; Humboldt University of Berlin; Charite Universitatsmedizin Berlin</t>
  </si>
  <si>
    <t>Münch, M (corresponding author), Charite Univ Med Berlin, Inst Physiol, Berlin, Germany.;Münch, M (corresponding author), St Hedwig Krankenhaus, Berlin, Germany.;Münch, M (corresponding author), Charite Univ Med Berlin, Inst Med Immunol, Berlin, Germany.</t>
  </si>
  <si>
    <t>mirjam.muench@charite.de</t>
  </si>
  <si>
    <t>Munch, Mirjam/R-1307-2019</t>
  </si>
  <si>
    <t>Munch, Mirjam/0000-0003-2087-9916; Pattyn, Nathalie/0000-0002-2690-5479</t>
  </si>
  <si>
    <t>Germany Ministry for Research and Education (BMBF); NASA [NNX14AM81G]; German Space center (DLR) in Cologne (Germany); Intellux Berlin GmbH, (Germany); NASA [678330, NNX14AM81G] Funding Source: Federal RePORTER</t>
  </si>
  <si>
    <t>Germany Ministry for Research and Education (BMBF); NASA(National Aeronautics &amp; Space Administration (NASA)); German Space center (DLR) in Cologne (Germany); Intellux Berlin GmbH, (Germany); NASA(National Aeronautics &amp; Space Administration (NASA))</t>
  </si>
  <si>
    <t>The authors would like to thank all crew members for their participation in this study. We are grateful to D. Hulliger for his help with the preprocessing of the data and Frederic Bernert from iDMed, Marseille, France for his valuable support with customization of the pupillometer devices. We also thank the European Space Agency (ESA) and the British Antarctic Survey (BAS) for their professional advice and provision of logistics and for giving us the opportunity to perform the study on their bases. This study was funded by the Germany Ministry for Research and Education (BMBF) and the German Space center (DLR) in Cologne (Germany), Intellux Berlin GmbH, (Germany). Rest-activity data from Concordia was shared with the project of MB (funded by NASA through grant NNX14AM81G to MB).</t>
  </si>
  <si>
    <t>10.1038/s41598-018-33450-7</t>
  </si>
  <si>
    <t>GY9GX</t>
  </si>
  <si>
    <t>WOS:000448950500037</t>
  </si>
  <si>
    <t>Shi, SC; Li, J; Lin, ZH; Yang, JP; Liu, D; Duan, WY; Lou, Z; Shi, Q; Li, Z; Zhang, W; Miao, W; Yao, QJ</t>
  </si>
  <si>
    <t>Shi, Sheng-Cai; Li, Jing; Lin, Zhen-Hui; Yang, Jin-Ping; Liu, Dong; Duan, Wen-Ying; Lou, Zheng; Shi, Qing; Li, Zhi; Zhang, Wen; Miao, Wei; Yao, Qi-Jun</t>
  </si>
  <si>
    <t>Development of an MKIDs-Based THz Superconducting Imaging Array (TeSIA) at 0.85 THz</t>
  </si>
  <si>
    <t>17th International Workshop on Low Temperature Detectors (LTD)</t>
  </si>
  <si>
    <t>JUL 17-21, 2017</t>
  </si>
  <si>
    <t>Kurume, JAPAN</t>
  </si>
  <si>
    <t>Terahertz; MKIDs; Detector; Equivalent noise temperature; Dome A; DATE5</t>
  </si>
  <si>
    <t>Dome A, the highest point of the cold and dry Antarctic ice sheet, offers the best access to atmospheric windows at THz/FIR wavelengths on Earth. China is planning to build a 5-m THz telescope (DATE5) there. To achieve its scientific goals associated with large sky surveys, we are developing a THz superconducting imaging array (TeSIA) at 0.85 THz (350-m window) with a pixel number of 32x32 and targeting background-limited sensitivity. In this paper, detailed system design and performance of the TeSIA based on aluminum MKIDs are presented.</t>
  </si>
  <si>
    <t>[Shi, Sheng-Cai; Li, Jing; Lin, Zhen-Hui; Yang, Jin-Ping; Liu, Dong; Duan, Wen-Ying; Lou, Zheng; Shi, Qing; Li, Zhi; Zhang, Wen; Miao, Wei; Yao, Qi-Jun] Chinese Acad Sci, Purple Mt Observ, Nanjing 210008, Jiangsu, Peoples R China; [Shi, Sheng-Cai; Li, Jing; Lin, Zhen-Hui; Yang, Jin-Ping; Liu, Dong; Duan, Wen-Ying; Lou, Zheng; Shi, Qing; Li, Zhi; Zhang, Wen; Miao, Wei; Yao, Qi-Jun] Chinese Acad Sci, Key Lab Radio Astron, Nanjing 210008, Jiangsu, Peoples R China; [Lin, Zhen-Hui] Univ Chinese Acad Sci, Beijing 100049, Peoples R China; [Shi, Qing; Li, Zhi] Univ Sci &amp; Technol China, Hefei 230026, Anhui, Peoples R China</t>
  </si>
  <si>
    <t>Purple Mountain Observatory, CAS; Chinese Academy of Sciences; Nanjing Institute of Astronomical Optics &amp; Technology, NAOC, CAS; Chinese Academy of Sciences; Chinese Academy of Sciences; University of Chinese Academy of Sciences, CAS; Chinese Academy of Sciences; University of Science &amp; Technology of China, CAS</t>
  </si>
  <si>
    <t>Shi, SC (corresponding author), Chinese Acad Sci, Purple Mt Observ, Nanjing 210008, Jiangsu, Peoples R China.;Shi, SC (corresponding author), Chinese Acad Sci, Key Lab Radio Astron, Nanjing 210008, Jiangsu, Peoples R China.</t>
  </si>
  <si>
    <t>scshi@pmo.ac.cn</t>
  </si>
  <si>
    <t>SHI, Sheng-Cai/V-9802-2019; Miao, Wei/D-1223-2018; yuan, lin/JDW-7387-2023</t>
  </si>
  <si>
    <t>SHI, Sheng-Cai/0000-0003-0571-9260; Miao, Wei/0000-0002-2458-646X;</t>
  </si>
  <si>
    <t>National Natural Science Foundation of China (NSFC) [11127903, 11422326]; Chinese Academy of Sciences (CAS) [XDB04010300, QYZDJ-SSW-SLH043]</t>
  </si>
  <si>
    <t>National Natural Science Foundation of China (NSFC)(National Natural Science Foundation of China (NSFC)); Chinese Academy of Sciences (CAS)(Chinese Academy of Sciences)</t>
  </si>
  <si>
    <t>This work was supported in part by the National Natural Science Foundation of China (NSFC) under Grant Nos 11127903 and 11422326, and Chinese Academy of Sciences (CAS) under theStrategic Priority Research Program XDB04010300 and Key Research Program of Frontier Sciences Grant No. QYZDJ-SSW-SLH043. Authors are grateful to Dr. C. Otani and Dr. S. Mima (RIKEN, Japan), Dr. J. Baselmans (SRON, The Netherlands) and Dr. Endo (TUDelf, The Netherlands) for their help in our early development of MKIDs.</t>
  </si>
  <si>
    <t>10.1007/s10909-018-1990-4</t>
  </si>
  <si>
    <t>GX7SG</t>
  </si>
  <si>
    <t>WOS:000447975800007</t>
  </si>
  <si>
    <t>Spence, MA; Blanchard, JL; Rossberg, AG; Heath, MR; Heymans, JJ; Mackinson, S; Serpetti, N; Speirs, DC; Thorpe, RB; Blackwell, PG</t>
  </si>
  <si>
    <t>Spence, Michael A.; Blanchard, Julia L.; Rossberg, Axel G.; Heath, Michael R.; Heymans, Johanna J.; Mackinson, Steven; Serpetti, Natalia; Speirs, Douglas C.; Thorpe, Robert B.; Blackwell, Paul G.</t>
  </si>
  <si>
    <t>A general framework for combining ecosystem models</t>
  </si>
  <si>
    <t>FISH AND FISHERIES</t>
  </si>
  <si>
    <t>Bayesian statistics; complex models; multimodel ensemble; multispecies models; simulation models; uncertainty analysis</t>
  </si>
  <si>
    <t>SIZE; UNCERTAINTY; COMMUNITY; FISHERIES; FISH; NO</t>
  </si>
  <si>
    <t>When making predictions about ecosystems, we often have available a number of different ecosystem models that attempt to represent their dynamics in a detailed mechanistic way. Each of these can be used as a simulator of large-scale experiments and make projections about the fate of ecosystems under different scenarios to support the development of appropriate management strategies. However, structural differences, systematic discrepancies and uncertainties lead to different models giving different predictions. This is further complicated by the fact that the models may not be run with the same functional groups, spatial structure or time scale. Rather than simply trying to select a best model, or taking some weighted average, it is important to exploit the strengths of each of the models, while learning from the differences between them. To achieve this, we construct a flexible statistical model of the relationships between a collection of mechanistic models and their biases, allowing for structural and parameter uncertainty and for different ways of representing reality. Using this statistical meta-model, we can combine prior beliefs, model estimates and direct observations using Bayesian methods and make coherent predictions of future outcomes under different scenarios with robust measures of uncertainty. In this study, we take a diverse ensemble of existing North Sea ecosystem models and demonstrate the utility of our framework by applying it to answer the question what would have happened to demersal fish if fishing was to stop.</t>
  </si>
  <si>
    <t>[Spence, Michael A.; Blackwell, Paul G.] Univ Sheffield, Sch Math &amp; Stat, Sheffield, S Yorkshire, England; [Spence, Michael A.] Univ Sheffield, Dept Anim &amp; Plant Sci, Sheffield, S Yorkshire, England; [Spence, Michael A.; Rossberg, Axel G.; Mackinson, Steven; Thorpe, Robert B.] Ctr Environm Fisheries &amp; Aquaculture Sci, Pakefield Rd, Lowestoft NR33 0HT, Suffolk, England; [Blanchard, Julia L.] Univ Tasmania, Inst Marine &amp; Antarctic Studies, Hobart, Tas, Australia; [Blanchard, Julia L.] Univ Tasmania, Ctr Marine Socioecol, Hobart, Tas, Australia; [Rossberg, Axel G.] Queen Mary Univ London, Sch Biol &amp; Chem Sci, Dept Organismal Biol, Aquat Ecol Grp, London, England; [Heath, Michael R.; Speirs, Douglas C.] Univ Strathclyde, Dept Math &amp; Stat, Glasgow, Lanark, Scotland; [Heymans, Johanna J.; Serpetti, Natalia] Scottish Assoc Marine Sci, Scottish Marine Inst, Oban, Argyll, Scotland; [Mackinson, Steven] Scottish Pelag Fishermens Assoc, Fraserburgh, Scotland</t>
  </si>
  <si>
    <t>University of Sheffield; University of Sheffield; Centre for Environment Fisheries &amp; Aquaculture Science; University of Tasmania; University of Tasmania; University of London; Queen Mary University London; University of Strathclyde; UHI Millennium Institute</t>
  </si>
  <si>
    <t>Spence, MA (corresponding author), Ctr Environm Fisheries &amp; Aquaculture Sci, Pakefield Rd, Lowestoft NR33 0HT, Suffolk, England.</t>
  </si>
  <si>
    <t>michael.spence@cefas.co.uk</t>
  </si>
  <si>
    <t>Blackwell, Paul/F-2885-2017; Rossberg, Axel/G-1179-2010; Speirs, Douglas C/D-7526-2013; Heymans, Johanna J/H-4848-2012; Heath, Michael R/D-5765-2013; Blanchard, Julia L/E-4919-2010</t>
  </si>
  <si>
    <t>Rossberg, Axel/0000-0001-9014-3176; Speirs, Douglas C/0000-0002-4367-1459; Heymans, Johanna J/0000-0002-7290-8988; Serpetti, Natalia/0000-0002-9502-5790; Mackinson, Steven/0000-0002-0262-1180; Heath, Michael/0000-0001-6602-3107; Blanchard, Julia/0000-0003-0532-4824</t>
  </si>
  <si>
    <t>Natural Environment Research Council; Department for Environment, Food and Rural Affairs [NE/L003279/1]; NERC [NE/L003120/1, NE/L003279/1, NE/L00321X/1, NE/L003058/1] Funding Source: UKRI</t>
  </si>
  <si>
    <t>Natural Environment Research Council(UK Research &amp; Innovation (UKRI)Natural Environment Research Council (NERC)); Department for Environment, Food and Rural Affairs(Department for Environment, Food &amp; Rural Affairs (DEFRA)); NERC(UK Research &amp; Innovation (UKRI)Natural Environment Research Council (NERC))</t>
  </si>
  <si>
    <t>Natural Environment Research Council and Department for Environment, Food and Rural Affairs, Grant/Award Number: NE/L003279/1</t>
  </si>
  <si>
    <t>1467-2960</t>
  </si>
  <si>
    <t>1467-2979</t>
  </si>
  <si>
    <t>FISH FISH</t>
  </si>
  <si>
    <t>Fish. Fish.</t>
  </si>
  <si>
    <t>10.1111/faf.12310</t>
  </si>
  <si>
    <t>GY1GG</t>
  </si>
  <si>
    <t>Green Submitted, Green Accepted, Green Published, hybrid</t>
  </si>
  <si>
    <t>WOS:000448273100008</t>
  </si>
  <si>
    <t>Bindoff, NL</t>
  </si>
  <si>
    <t>Bindoff, Nathaniel L.</t>
  </si>
  <si>
    <t>Warming and freshening trends</t>
  </si>
  <si>
    <t>NATURE GEOSCIENCE</t>
  </si>
  <si>
    <t>[Bindoff, Nathaniel L.] ARC Ctr Excellence Climate Extremes, Hobart, Tas, Australia; [Bindoff, Nathaniel L.] Antarctic Climate &amp; Ecosyst Cooperat Res Ctr, Hobart, Tas, Australia; [Bindoff, Nathaniel L.] Univ Tasmania, IMAS, Hobart, Tas, Australia; [Bindoff, Nathaniel L.] CSIRO Marine &amp; Atmospher Res, Hobart, Tas, Australia</t>
  </si>
  <si>
    <t>Antarctic Climate &amp; Ecosystems Cooperative Research Centre (ACE CRC); University of Tasmania; Commonwealth Scientific &amp; Industrial Research Organisation (CSIRO)</t>
  </si>
  <si>
    <t>Bindoff, NL (corresponding author), ARC Ctr Excellence Climate Extremes, Hobart, Tas, Australia.;Bindoff, NL (corresponding author), Antarctic Climate &amp; Ecosyst Cooperat Res Ctr, Hobart, Tas, Australia.;Bindoff, NL (corresponding author), Univ Tasmania, IMAS, Hobart, Tas, Australia.;Bindoff, NL (corresponding author), CSIRO Marine &amp; Atmospher Res, Hobart, Tas, Australia.</t>
  </si>
  <si>
    <t>N.Bindoff@utas.edu.au</t>
  </si>
  <si>
    <t>Bindoff, Nathaniel Lee/IVV-0333-2023; Bindoff, Nathaniel Lee/C-8050-2011</t>
  </si>
  <si>
    <t>Bindoff, Nathaniel Lee/0000-0001-5662-9519; Bindoff, Nathaniel Lee/0000-0001-5662-9519</t>
  </si>
  <si>
    <t>75 VARICK ST, 9TH FLR, NEW YORK, NY 10013-1917 USA</t>
  </si>
  <si>
    <t>1752-0894</t>
  </si>
  <si>
    <t>1752-0908</t>
  </si>
  <si>
    <t>NAT GEOSCI</t>
  </si>
  <si>
    <t>Nat. Geosci.</t>
  </si>
  <si>
    <t>10.1038/s41561-018-0239-9</t>
  </si>
  <si>
    <t>GY6CE</t>
  </si>
  <si>
    <t>WOS:000448672100003</t>
  </si>
  <si>
    <t>Simms, AR; Whitehouse, PL; Simkins, LM; Nield, G; DeWitt, R; Bentley, MJ</t>
  </si>
  <si>
    <t>Simms, Alexander R.; Whitehouse, Pippa L.; Simkins, Lauren M.; Nield, Grace; DeWitt, Regina; Bentley, Michael J.</t>
  </si>
  <si>
    <t>Late Holocene relative sea levels near Palmer Station, northern Antarctic Peninsula, strongly controlled by late Holocene ice-mass changes</t>
  </si>
  <si>
    <t>OPTICALLY STIMULATED LUMINESCENCE; SOUTH SHETLAND ISLANDS; JAMES-ROSS-ISLAND; GLACIAL ISOSTATIC-ADJUSTMENT; MARGUERITE BAY; CLIMATE-CHANGE; LATE PLEISTOCENE; RAISED BEACHES; BARILARI BAY; OCEAN</t>
  </si>
  <si>
    <t>Many studies of Holocene relative sea-level (RSL) changes across Antarctica assume that their reconstructions record uplift from glacial isostatic adjustment caused by the demise of the Last Glacial Maximum (LGM) ice sheets. However, recent analysis of GPS observations suggests that mantle viscosity beneath the Antarctic Peninsula is weaker than previously thought, which would imply that solid Earth motion is not controlled by post-LGM ice-sheet retreat but instead by late Holocene ice-mass changes. If this hypothesis is correct, one might expect to find Holocene RSL records that do not reflect a monotonic decrease in the rate of RSL fall but show variations in the rate of RSL change through the Holocene. We present a new record of late Holocene RSL change from Torgersen Island near Palmer Station in the western Antarctic Peninsula that shows an increase in the rate of relative sea-level fall from 3.0 +/- 1.2 mm/yr to 5.1 +/- 1.8 mm/yr during the late Holocene. Independent studies of the glacial history of the region provide evidence of ice-sheet changes over similar time scales that may be driving this change. When our RSL records are corrected for sea-surface height changes associated with glacial isostatic adjustment (GIA), the rate of post-0.79 ka land uplift at Torgersen Island, 53 1.8 mm/yr, is much higher than the rate of uplift recorded at a nearby GPS site at Palmer Station prior to the Larsen B breakup in 2002 AD (1998-2002 AD; &lt;0.1 mm/yr), but similar to the rates observed after 2002 AD (2002-2013 AD; 6-9 mm/yr). This substantial variation in uplift rates further supports the hypothesis that Holocene RSL rates of change are recording responses to late Holocene and recent changes in local ice loading rather than a post-LGM signal across portions of the Antarctic Peninsula. Thus middle-to-late Holocene RSL data may not be an effective tool for constraining the size of the LGM ice sheet across portions of the Antarctic Peninsula underlain by weaker mantle. In addition, current global-scale GIA models are unable to predict our observed changes in late Holocene RSL. Complexities in Earth structure and neoglacial history need to be taken into consideration in GIA models used for correcting modern satellite-based observations of ice-mass loss. (C) 2018 Elsevier Ltd. All rights reserved.</t>
  </si>
  <si>
    <t>[Simms, Alexander R.] Univ Calif Santa Barbara, Dept Earth Sci, 1006 Webb Hall, Santa Barbara, CA 93106 USA; [Whitehouse, Pippa L.; Nield, Grace; Bentley, Michael J.] Univ Durham, Dept Geog, Durham DH1 3LE, England; [Simkins, Lauren M.] Univ Virginia, Dept Environm Sci, Clark Hall 205,291 McCormick Rd, Charlottesville, VA 22904 USA; [DeWitt, Regina] East Carolina Univ, Dept Phys, Howell Sci Complex,Rm C-209,1000 E 5th St, Greenville, NC 27858 USA</t>
  </si>
  <si>
    <t>University of California System; University of California Santa Barbara; Durham University; University of Virginia; University of North Carolina; East Carolina University</t>
  </si>
  <si>
    <t>Simms, AR (corresponding author), Univ Calif Santa Barbara, Dept Earth Sci, 1006 Webb Hall, Santa Barbara, CA 93106 USA.</t>
  </si>
  <si>
    <t>asimms@geol.ucsb.edu; pippa.whitehouse@durham.ac.uk; lsimkins@virginia.edu; dewittr@ecu.edu</t>
  </si>
  <si>
    <t>IPO, PAGES/JXY-7546-2024; Simms, Alexander R/E-5609-2012; Bentley, Michael J/F-7386-2011; Nield, Grace/I-8366-2012</t>
  </si>
  <si>
    <t>Bentley, Michael J/0000-0002-2048-0019; DeWitt, Regina/0000-0003-2876-5489; Whitehouse, Pippa/0000-0002-9092-3444; Nield, Grace/0000-0002-3897-7904; Simms, Alexander/0000-0001-5034-2189</t>
  </si>
  <si>
    <t>National Science Foundation Office of Polar [OPP-0838781, OPP-1644197]; NERC [NE/F01452X/1, NE/K009958/1] Funding Source: UKRI; Natural Environment Research Council [NE/K009958/1] Funding Source: researchfish</t>
  </si>
  <si>
    <t>National Science Foundation Office of Polar; NERC(UK Research &amp; Innovation (UKRI)Natural Environment Research Council (NERC)); Natural Environment Research Council(UK Research &amp; Innovation (UKRI)Natural Environment Research Council (NERC))</t>
  </si>
  <si>
    <t>The authors would like to thank Marissa Goerke for sharing the tide-gauge data from Palmer Station and Colin Harris for answering questions about the mapping of Torgersen Island. This project benefited from funding from the National Science Foundation Office of Polar Programs through grants OPP-0838781 and OPP-1644197 to ARS and RG. The writing of this manuscript was also made possible through the US-UK Fulbright Commission, which supported ARS during his sabbatical at Durham University. This manuscript benefited by reviews from two anonymous reviewers and special issue editor Glenn Milne. The PALSEA community is also thanked for inspiring this work.</t>
  </si>
  <si>
    <t>10.1016/j.quascirev.2018.09.017</t>
  </si>
  <si>
    <t>GY3YR</t>
  </si>
  <si>
    <t>Green Submitted, Green Accepted, hybrid</t>
  </si>
  <si>
    <t>WOS:000448493900005</t>
  </si>
  <si>
    <t>Goel, V; Mishra, SK; Lodhi, N; Singh, S; Ahlawat, A; Gupta, B; Das, RM; Kotnala, RK</t>
  </si>
  <si>
    <t>Goel, Vikas; Mishra, Sumit Kumar; Lodhi, Neelesh; Singh, Sachchidanand; Ahlawat, Ajit; Gupta, Beena; Das, Rupesh M.; Kotnala, R. K.</t>
  </si>
  <si>
    <t>Physico-chemical characterization of individual Antarctic particles: Implications to aerosol optics</t>
  </si>
  <si>
    <t>Morphology; SEM; SSA; Asymmetric parameter</t>
  </si>
  <si>
    <t>RADIATIVE PROPERTIES; COARSE PARTICLES; DUST PARTICLES; MARINE AEROSOL; SIZE; CONSTITUENTS; WAVELENGTHS; MINERALOGY; STATIONS; MODELS</t>
  </si>
  <si>
    <t>Aerosols affect the Earth's radiation budget by interacting with the incoming solar radiation. The physicochemical properties, particularly morphological parameters (Aspect Ratio, AR and Circulatory Factor, CIR) and composition at individual particle level are important inputs to the optical model for assessing the optical sensitivity towards said properties. The observation of these properties is limited over Antarctica which has been studied in detail in the present work. The PM5 particles (particulate matter with aerodynamic diameter less than 5 mu m) over Antarctica were collected at Indian Antarctic station, Maitri (70.77 degrees S, 11.73 degrees E) from Dec 2013-Feb 2014. The individual particle analysis revealed that particles were mainly composed of Si, Fe, Al, Ca and Mg. Most of the particles were observed in layered, flattened, aggregated and glass-like shapes. The frequency distributions of the morphological parameters, AR and CIR were observed to be bimodal with respective mode peaks 1.3 and 1.9 for AR; 0.4 and 0.7 for CIR. The spectral refractive indices of individual particles were estimated. The imaginary part of the refractive indices was observed to be maximum for chromium (Cr) and iron (Fe) rich particle and nearly negligible for aluminum (Al) rich particle. At 0.58 mu m wavelength, the difference in SSA with respect to Al rich particle was found to be maximum for Ca rich particles (i.e. 43%) followed with Cr and Fe rich particle (i.e. 42.08%) and Cr rich particle (i.e. 39.32%).</t>
  </si>
  <si>
    <t>[Goel, Vikas; Mishra, Sumit Kumar; Lodhi, Neelesh; Singh, Sachchidanand; Ahlawat, Ajit; Gupta, Beena; Das, Rupesh M.; Kotnala, R. K.] CSIR, Natl Phys Lab, Environm Sci &amp; Biomed Metrol Div, Dr KS Krishnan Marg, New Delhi 110012, India; [Goel, Vikas; Mishra, Sumit Kumar; Singh, Sachchidanand; Ahlawat, Ajit; Kotnala, R. K.] Acad Sci &amp; Innovat Res AcSIR, Ghaziabad 201002, Uttar Pradesh, India</t>
  </si>
  <si>
    <t>Council of Scientific &amp; Industrial Research (CSIR) - India; CSIR - National Physical Laboratory (NPL); Academy of Scientific &amp; Innovative Research (AcSIR)</t>
  </si>
  <si>
    <t>Mishra, SK (corresponding author), CSIR, Natl Phys Lab, Environm Sci &amp; Biomed Metrol Div, Dr KS Krishnan Marg, New Delhi 110012, India.</t>
  </si>
  <si>
    <t>mishrask@nplindia.org</t>
  </si>
  <si>
    <t>Singh, Sachchidanand/D-1537-2009; AHLAWAT, AJIT SINGH/ABF-1253-2020</t>
  </si>
  <si>
    <t>GOEL, VIKAS/0000-0002-8659-1045</t>
  </si>
  <si>
    <t>10.1016/j.atmosenv.2018.07.046</t>
  </si>
  <si>
    <t>GX5VU</t>
  </si>
  <si>
    <t>WOS:000447819900016</t>
  </si>
  <si>
    <t>Champion, C; Hobday, AJ; Tracey, SR; Pecl, GT</t>
  </si>
  <si>
    <t>Champion, Curtis; Hobday, Alistair J.; Tracey, Sean R.; Pecl, Gretta T.</t>
  </si>
  <si>
    <t>Rapid shifts in distribution and high-latitude persistence of oceanographic habitat revealed using citizen science data from a climate change hotspot</t>
  </si>
  <si>
    <t>citizen science; climate change; global change; habitat suitability model; mixed-effects modelling; range shift; Seriola lalandi; species distribution model; species redistribution</t>
  </si>
  <si>
    <t>SPECIES DISTRIBUTION MODELS; KINGFISH SERIOLA-LALANDI; RANGE SHIFTS; ECOLOGICAL RESEARCH; EASTERN AUSTRALIA; PELAGIC FISH; MARINE; PREDICTION; ACCURACY; WATERS</t>
  </si>
  <si>
    <t>The environmental effects of climate change are predicted to cause distribution shifts in many marine taxa, yet data are often difficult to collect. Quantifying and monitoring species' suitable environmental habitats is a pragmatic approach for assessing changes in species distributions but is underdeveloped for quantifying climate change induced range shifts in marine systems. Specifically, habitat predictions present opportunities for quantifying spatiotemporal distribution changes while accounting for sources of natural climate variation. Here we demonstrate the utility of a marine-based habitat model parameterized using citizen science data and remotely sensed environmental covariates for quantifying shifts in oceanographic habitat suitability over 22 years for a coastal-pelagic fish species in a climate change hotspot. Our analyses account for the effects of natural intra- and interannual climate variability to reveal rapid poleward shifts in core (94.4 km/decade) and poleward edge (108.8 km/decade) oceanographic habitats. Temporal persistence of suitable oceanographic habitat at high latitudes also increased by approximately 3 months over the study period. Our approach demonstrates how marine citizen science data can be used to quantify range shifts, but necessitates shifting focus from species distributions directly, to the distribution of species' environmental habitat preferences.</t>
  </si>
  <si>
    <t>[Champion, Curtis; Tracey, Sean R.; Pecl, Gretta T.] Inst Marine &amp; Antarctic Studies, Hobart, Tas 7001, Australia; [Champion, Curtis; Hobday, Alistair J.] CSIRO Oceans &amp; Atmosphere, Hobart, Tas, Australia; [Hobday, Alistair J.; Pecl, Gretta T.] Ctr Marine Socioecol, Hobart, Tas, Australia</t>
  </si>
  <si>
    <t>Champion, C (corresponding author), Inst Marine &amp; Antarctic Studies, Hobart, Tas 7001, Australia.</t>
  </si>
  <si>
    <t>Hobday, Alistair/A-1460-2012; Champion, Curtis/AAF-9242-2020; Pecl, Gretta/D-7267-2011; Tracey, Sean/J-7446-2014</t>
  </si>
  <si>
    <t>Pecl, Gretta/0000-0003-0192-4339; Champion, Curtis/0000-0002-8666-5112; Tracey, Sean/0000-0002-6735-5899</t>
  </si>
  <si>
    <t>Australian Society for Fish Biology's Michael Hall Student Innovation Award; Holsworth Wildlife Research Endowment-Equity Trustees Charitable Foundation; CSIRO-University of Tasmania Joint Quantitative Marine Science Program; Australian Research Council Future Fellowship</t>
  </si>
  <si>
    <t>Australian Society for Fish Biology's Michael Hall Student Innovation Award; Holsworth Wildlife Research Endowment-Equity Trustees Charitable Foundation; CSIRO-University of Tasmania Joint Quantitative Marine Science Program; Australian Research Council Future Fellowship(Australian Research Council)</t>
  </si>
  <si>
    <t>Australian Society for Fish Biology's Michael Hall Student Innovation Award; The Holsworth Wildlife Research Endowment-Equity Trustees Charitable Foundation; CSIRO-University of Tasmania Joint Quantitative Marine Science Program; Australian Research Council Future Fellowship</t>
  </si>
  <si>
    <t>10.1111/gcb.14398</t>
  </si>
  <si>
    <t>WOS:000447760300034</t>
  </si>
  <si>
    <t>Marrero, SM; Hein, AS; Naylor, M; Attal, M; Shanks, R; Winter, K; Woodward, J; Dunning, S; Westoby, M; Sugden, D</t>
  </si>
  <si>
    <t>Marrero, Shasta M.; Hein, Andrew S.; Naylor, Mark; Attal, Mikael; Shanks, Richard; Winter, Kate; Woodward, John; Dunning, Stuart; Westoby, Matthew; Sugden, David</t>
  </si>
  <si>
    <t>Controls on subaerial erosion rates in Antarctica</t>
  </si>
  <si>
    <t>erosion rate; cosmogenic nuclides; chlorine-36; lithology; Antarctica</t>
  </si>
  <si>
    <t>SURFACE EXPOSURE AGES; NUCLIDE PRODUCTION-RATES; NORTHERN VICTORIA LAND; WEDDELL SEA EMBAYMENT; DRY VALLEYS REGION; ICE-SHEET; COSMOGENIC NUCLIDES; LANDSCAPE EVOLUTION; CLIMATE-CHANGE; SIRIUS GROUP</t>
  </si>
  <si>
    <t>Erosion rates offer insight on landscape development and the relative importance of chemical and physical processes of weathering. Minimal chemical weathering makes Antarctica an ideal location in which to compare the physical weathering of carbonate rocks to other lithologies. Here we report the first cosmogenic nuclide-derived erosion rates for carbonate rocks in Antarctica. Carbonate samples collected in the southernmost Ellsworth Mountains reflect a (CI)-C-36 erosion rate of 0.22 +/- 0.02 mm/ka. This erosion rate is consistent with other reported Antarctic erosion rates, but is lower than (CI)-C-36 erosion rates derived from other arid regions in the world. These results are integrated with a continent-wide reanalysis of 28 cosmogenic nuclide erosion rate studies (&gt;200 measurements), which comprise numerous rock types and multiple cosmogenic nuclides. By combining cosmogenic nuclide-derived erosion rates across studies, the larger trends provide insight into factors (e.g. lithology, glacial history, and availability of abrasive material) affecting subaerial erosion rates in Antarctica. Statistical analysis of the compiled data set shows differences based on lithology, with sandstone having the largest range of erosion rates. The compiled data also reveals higher erosion rates in areas with a large potential sediment supply, like the Dry Valleys. Samples collected from boulders yield lower erosion rates than those collected from bedrock, likely due to a combination of physical processes that affect boulders and bedrock differently, and glacial history, which can affect the apparent cosmogenic-nuclide derived erosion rate. (C) 2018 The Authors. Published by Elsevier B.V.</t>
  </si>
  <si>
    <t>[Marrero, Shasta M.; Hein, Andrew S.; Naylor, Mark; Attal, Mikael; Sugden, David] Univ Edinburgh, Sch GeoSci, Drummond St, Edinburgh EH8 8XP, Midlothian, Scotland; [Shanks, Richard] Scottish Univ Environm Res Ctr, E Kilbride, Lanark, Scotland; [Winter, Kate; Woodward, John; Westoby, Matthew] Northumbria Univ, Fac Engn &amp; Environm, Dept Geog &amp; Environm Sci, Newcastle Upon Tyne, Tyne &amp; Wear, England; [Dunning, Stuart] Newcastle Univ, Sch Geog Polit &amp; Sociol, Dept Geog, Newcastle Upon Tyne, Tyne &amp; Wear, England</t>
  </si>
  <si>
    <t>University of Edinburgh; Scottish Universities Research &amp; Reactor Center; Northumbria University; Newcastle University - UK</t>
  </si>
  <si>
    <t>Marrero, SM (corresponding author), Univ Edinburgh, Sch GeoSci, Drummond St, Edinburgh EH8 8XP, Midlothian, Scotland.</t>
  </si>
  <si>
    <t>shasta.marrero@ed.ac.uk</t>
  </si>
  <si>
    <t>Attal, Mikael/H-8127-2013; Woodward, John/I-1046-2013; Hein, Andrew/JWO-3756-2024; Naylor, Mark/B-8460-2008; Dunning, Stuart/A-1820-2010; Westoby, Matthew/D-3880-2016</t>
  </si>
  <si>
    <t>Naylor, Mark/0000-0002-3761-5522; Woodward, John/0000-0002-4980-4080; Winter, Kate/0000-0003-2389-8637; Dunning, Stuart/0000-0002-2310-7367; Westoby, Matthew/0000-0002-2070-5580; Marrero, Shasta/0000-0003-2917-0292</t>
  </si>
  <si>
    <t>UK Natural Environment Research Council [NE/1025840/1, NE/1034194/1, NE/G013071/1]; NERC [NE/I027576/1, NE/G013071/1] Funding Source: UKRI</t>
  </si>
  <si>
    <t>The research was supported by the UK Natural Environment Research Council: Grant numbers NE/1025840/1, NE/1034194/1 and NE/G013071/1. Thanks to K. Hippe for a useful review. We thank the British Antarctic Survey for logistical and field support. Thanks to F. Christie for help with figures and A. Rodes and A. Van der Geest for technical discussions. Funding sources were not involved with any decisions about this project after the funding was initially approved.</t>
  </si>
  <si>
    <t>10.1016/j.epsl.2018.08.018</t>
  </si>
  <si>
    <t>GW6WK</t>
  </si>
  <si>
    <t>WOS:000447105000006</t>
  </si>
  <si>
    <t>Truzzi, C; Annibaldi, A; Antonucci, M; Scarponi, G; Illuminati, S</t>
  </si>
  <si>
    <t>Truzzi, Cristina; Annibaldi, Anna; Antonucci, Matteo; Scarponi, Giuseppe; Illuminati, Silvia</t>
  </si>
  <si>
    <t>Gas chromatography-mass spectrometry analysis on effects of thermal shock on the fatty acid composition of the gills of the Antarctic teleost, Trematomus bernacchii</t>
  </si>
  <si>
    <t>ENVIRONMENTAL CHEMISTRY</t>
  </si>
  <si>
    <t>microwave-assisted extraction; principal component analysis</t>
  </si>
  <si>
    <t>PERSISTENT ORGANIC POLLUTANTS; ANTIOXIDANT DEFENSE SYSTEM; FISH CHIONODRACO-HAMATUS; DIPHENYL ETHERS PBDES; WARM-ACCLIMATION; CLIMATE-CHANGE; TEMPERATURE-ACCLIMATION; HEAT-STRESS; NOTOTHENIA-CORIICEPS; ISOLATED HEPATOCYTES</t>
  </si>
  <si>
    <t>As a result of rising temperatures in the Antarctic seawater, there is an increasing interest to investigate the capacities for inducing a temperature acclimation response in Antarctic organisms. We analysed the effect of a thermal shock on the fatty acid (FA) composition of gills of the Antarctic notothenioid Trematomus bernacchii. To perform the quantification of fatty acids in gills, we applied an analytical method based on a fast microwave-assisted extraction (MAE) of lipids from a lyophilised sample, a base-catalysed trans-esterification of lipid extract to obtain fatty acid methyl esters (FAMEs), and their separation and identification by gas chromatography-mass spectrometry. The percentage of lipids extracted with MAE preceded by sample lyophilisation, 0.6 +/- 0.3 % ww (wet weight), was consistent with the lipids obtained by the official Bligh and Dyer method, 0.8 +/- 0.3% ww. These data are among the first ever published for T. bernacchii. Specimens, caught in Terra Nova Bay (Ross Sea), were held in different tanks at 0, +1 and +2 degrees C, for 1, 5 and 10 days. In general, thermal shock produced an alteration in total lipid content, an increase in the percentage of saturated FAs, a decrease in mono-unsaturated FAs, and a variable response of poly-unsaturated FAs (an increase in specimens exposed to 0 and +1 degrees C, a decrease in those exposed to +2 degrees C). A chemometric approach based on principal component analysis indicated that temperature and exposure time influenced the composition of FAs in the gills, probably through an alteration of the metabolic pathways of FAs. This is the first study ever published on the FA composition of total lipids in gills of T. bernacchii exposed to high temperatures. This study demonstrates that T. bernacchii is capable of rapidly acclimating to a thermal shock, and contributes to increasing the knowledge on the effect of temperature on Antarctic notothenioids.</t>
  </si>
  <si>
    <t>[Truzzi, Cristina; Annibaldi, Anna; Antonucci, Matteo; Scarponi, Giuseppe; Illuminati, Silvia] Univ Politecn Marche, Dept Life &amp; Environm Sci, Via Brecce Bianche, I-60131 Ancona, Italy</t>
  </si>
  <si>
    <t>Marche Polytechnic University</t>
  </si>
  <si>
    <t>Truzzi, C (corresponding author), Univ Politecn Marche, Dept Life &amp; Environm Sci, Via Brecce Bianche, I-60131 Ancona, Italy.</t>
  </si>
  <si>
    <t>c.truzzi@univpm.it</t>
  </si>
  <si>
    <t>Scarponi, Giuseppe/AAQ-6394-2021; Illuminati, Silvia/T-7873-2019; Illuminati, Silvia/GXZ-5038-2022</t>
  </si>
  <si>
    <t>Scarponi, Giuseppe/0000-0003-2932-0596; Illuminati, Silvia/0000-0001-6465-5477; Antonucci, Matteo/0000-0003-1466-9162</t>
  </si>
  <si>
    <t>Italian Programma Nazionale di Ricerche in Antartide [2013/AZ2.01]</t>
  </si>
  <si>
    <t>Italian Programma Nazionale di Ricerche in Antartide(Ministry of Education, Universities and Research (MIUR))</t>
  </si>
  <si>
    <t>Financial support from the Italian Programma Nazionale di Ricerche in Antartide under the projects on 'Chemical Contamination' (project 2013/AZ2.01) and 'Assessment and evolution of the chemical contamination by organic and inorganic constituents in Antarctic coastal areas' is gratefully acknowledged. Many thanks are due to the technical personnel of ENEA (Ente Nazionale Energia e Ambiente) at Terra Nova Bay and to the scientists of the 28th Italian Antarctic expedition for the sampling activities on site. All procedures involving animals were conducted in line with Italian legislation on experimental animals and were carried out on behalf of the Italian Ministry of Foreign Affairs. The Code of Conduct of the Scientific Committee on Antarctic Research (SCAR) was followed for the handling and sacrificing of animals.</t>
  </si>
  <si>
    <t>1448-2517</t>
  </si>
  <si>
    <t>1449-8979</t>
  </si>
  <si>
    <t>ENVIRON CHEM</t>
  </si>
  <si>
    <t>Environ. Chem.</t>
  </si>
  <si>
    <t>10.1071/EN18130</t>
  </si>
  <si>
    <t>Chemistry, Analytical; Environmental Sciences</t>
  </si>
  <si>
    <t>Chemistry; Environmental Sciences &amp; Ecology</t>
  </si>
  <si>
    <t>HB0DE</t>
  </si>
  <si>
    <t>WOS:000450680900004</t>
  </si>
  <si>
    <t>Bendia, AG; Araujo, GG; Pulschen, AA; Contro, B; Duarte, RTD; Rodrigues, F; Galante, D; Pellizari, VH</t>
  </si>
  <si>
    <t>Bendia, Amanda G.; Araujo, Gabriel G.; Pulschen, Andre A.; Contro, Bruna; Duarte, Rubens T. D.; Rodrigues, Fabio; Galante, Douglas; Pellizari, Vivian H.</t>
  </si>
  <si>
    <t>Surviving in hot and cold: psychrophiles and thermophiles from Deception Island volcano, Antarctica</t>
  </si>
  <si>
    <t>Polar volcano; Deception Island; Temperature gradient; Extremophiles; Astrobiology</t>
  </si>
  <si>
    <t>GRADIENT GEL-ELECTROPHORESIS; BACILLUS-SUBTILIS; SP-NOV; BACTERIA; PSYCHROBACTER; TEMPERATURE</t>
  </si>
  <si>
    <t>Polar volcanoes harbor unique conditions of extreme temperature gradients capable of selecting different types of extremophiles. Deception Island is a marine stratovolcano located at Maritime Antarctica that is notable for its pronounced temperature gradients over very short distances, reaching values up to 100 degrees C in the fumaroles, and subzero temperatures next to the glaciers. Due to these characteristics, Deception can be considered an interesting analogue of extraterrestrial environments. Our main goal in this study was to isolate thermophilic and psychrophilic bacteria from sediments associated with fumaroles and glaciers from two geothermal sites in Deception Island, comprising temperatures between 0 and 98 degrees C, and to evaluate their survivability to desiccation and UV-C radiation. Our results revealed that culturable thermophiles and psychrophiles were recovered among the extreme temperature gradient in Deception volcano, which indicates that these extremophiles remain alive even when the conditions do not comprise their growth range. The viability of culturable psychrophiles in hyperthermophilic environments is still poorly understood and our work showed the importance of future studies about their survival strategies in high temperatures. Finally, the spore-forming thermophilic isolates which we found have displayed good survival to desiccation and UV-C irradiation, which suggests their potential to be further explored in astrobiological studies.</t>
  </si>
  <si>
    <t>[Bendia, Amanda G.; Duarte, Rubens T. D.; Pellizari, Vivian H.] Univ Sao Paulo, Inst Oceanog, Dept Oceanog Biol, Praca Oceanog 191, BR-05508900 Sao Paulo, SP, Brazil; [Araujo, Gabriel G.] Univ Sao Paulo, Interunities Grad Program Biotechnol, Sao Paulo, Brazil; [Pulschen, Andre A.; Rodrigues, Fabio] Univ Sao Paulo, Inst Chem, Sao Paulo, Brazil; [Contro, Bruna] Univ Estadual Paulista Julio de Mesquisa Filho, Undergrad Program Biol, Sao Paulo, Brazil; [Galante, Douglas] Brazilian Ctr Res Energy &amp; Mat, Brazilian Synchrotron Light Lab, Campinas, SP, Brazil</t>
  </si>
  <si>
    <t>Universidade de Sao Paulo; Universidade de Sao Paulo; Laboratorio Nacional de Luz Sincrotron (LNLS)</t>
  </si>
  <si>
    <t>Bendia, AG (corresponding author), Univ Sao Paulo, Inst Oceanog, Dept Oceanog Biol, Praca Oceanog 191, BR-05508900 Sao Paulo, SP, Brazil.</t>
  </si>
  <si>
    <t>amandagb@usp.br</t>
  </si>
  <si>
    <t>Duarte, Rubens/AAH-1692-2019; Pretero, Bruna Contro/X-7125-2019; Bendia, Amanda/AAD-2360-2021; Araujo, Gabriel G./GQH-4938-2022; Araujo, Gabriel/JPK-1798-2023; Galante, Douglas/G-8752-2011; Pellizari, Vivian/J-9153-2012; Rodrigues, Fabio/D-2249-2017</t>
  </si>
  <si>
    <t>Pretero, Bruna Contro/0000-0003-1646-4777; Bendia, Amanda/0000-0003-0042-8990; Araujo, Gabriel G./0000-0002-6907-1929; Galante, Douglas/0000-0002-3265-2527; Duarte, Rubens/0000-0002-9939-3400; Pellizari, Vivian/0000-0003-2757-6352; Rodrigues, Fabio/0000-0002-1422-5660</t>
  </si>
  <si>
    <t>project Microsfera (CNPq) [407816/2013-5]; project INCT-Criosfera (CNPq) [028306/2009]; Universal (CNPq) [424367/2016-5]; Brazilian National Council of Technological and Scientific Development (CNPq); Brazilian Antarctic Program (ProAntar); Serrapilheira Institute [G-1709-20205]; Sao Paulo Research Foundation FAPESP [2012/23241-0, 2012/11037-0]; Fundacao de Amparo a Pesquisa do Estado de Sao Paulo (FAPESP) [12/11037-0, 12/23241-0] Funding Source: FAPESP</t>
  </si>
  <si>
    <t>project Microsfera (CNPq)(Conselho Nacional de Desenvolvimento Cientifico e Tecnologico (CNPQ)Fundacao de Apoio a Pesquisa do Distrito Federal (FAPDF)); project INCT-Criosfera (CNPq)(Conselho Nacional de Desenvolvimento Cientifico e Tecnologico (CNPQ)Fundacao de Apoio a Pesquisa do Distrito Federal (FAPDF)); Universal (CNPq)(Conselho Nacional de Desenvolvimento Cientifico e Tecnologico (CNPQ)); Brazilian National Council of Technological and Scientific Development (CNPq)(Conselho Nacional de Desenvolvimento Cientifico e Tecnologico (CNPQ)); Brazilian Antarctic Program (ProAntar); Serrapilheira Institute; Sao Paulo Research Foundation FAPESP(Fundacao de Amparo a Pesquisa do Estado de Sao Paulo (FAPESP)); Fundacao de Amparo a Pesquisa do Estado de Sao Paulo (FAPESP)(Fundacao de Amparo a Pesquisa do Estado de Sao Paulo (FAPESP))</t>
  </si>
  <si>
    <t>This study was part of the projects Microsfera (CNPq 407816/2013-5), INCT-Criosfera (CNPq 028306/2009), and Universal (CNPq 424367/2016-5), supported by the Brazilian National Council of Technological and Scientific Development (CNPq) and the Brazilian Antarctic Program (ProAntar). This study was also part of the project Probing the Martian Environment with Experimental Simulations and Terrestrial Analogues (project G-1709-20205), supported by Serrapilheira Institute. The Sao Paulo Research Foundation FAPESP supported the following fellowships: AB Doctorate's fellowship (2012/23241-0) and RD Post Doc fellowship (2012/11037-0).</t>
  </si>
  <si>
    <t>CHIYODA FIRST BLDG EAST, 3-8-1 NISHI-KANDA, CHIYODA-KU, TOKYO, 101-0065, JAPAN</t>
  </si>
  <si>
    <t>10.1007/s00792-018-1048-1</t>
  </si>
  <si>
    <t>GW2KS</t>
  </si>
  <si>
    <t>WOS:000446713100009</t>
  </si>
  <si>
    <t>Lee, KC; Caruso, T; Archer, SDJ; Gillman, LN; Lau, MCY; Cary, SC; Lee, CK; Pointing, SB</t>
  </si>
  <si>
    <t>Lee, Kevin C.; Caruso, Tancredi; Archer, Stephen D. J.; Gillman, Len N.; Lau, Maggie C. Y.; Cary, S. Craig; Lee, Charles K.; Pointing, Stephen B.</t>
  </si>
  <si>
    <t>Stochastic and Deterministic Effects of a Moisture Gradient on Soil Microbial Communities in the McMurdo Dry Valleys of Antarctica</t>
  </si>
  <si>
    <t>Antarctica; dry valleys; hyporheic; oligotrophic; soil bacteria; soil fungi; water availability</t>
  </si>
  <si>
    <t>NEUTRAL THEORY; SP-NOV; PHYLOGENETIC STRUCTURE; ICE SHELF; DIVERSITY; ECOLOGY; ECOSYSTEMS; BACTERIA; SEQUENCES; RICHNESS</t>
  </si>
  <si>
    <t>Antarctic soil supports surface microbial communities that are dependent on ephemeral moisture. Understanding the response to availability of this resource is essential to predicting how the system will respond to climate change. The McMurdo Dry Valleys are the largest ice-free soil region in Antarctica. They are a hyper-arid polar desert with extremely limited moisture availability. Microbial colonization dominates this ecosystem but surprisingly little is known about how communities respond to changing moisture regimes. We utilized the natural model system provided by transiently wetted soil at lake margins in the Dry Valleys to interrogate microbial responses along a well-defined contiguous moisture gradient and disentangle responses between and within phyla. We identified a striking non-linear response among bacteria where at low moisture levels small changes resulted in a large impact on diversity. At higher moister levels community responses were less pronounced, resulting in diversity asymptotes. We postulate that whilst the main drivers of observed community diversity were deterministic, a switch in the major influence occurred from abiotic factors at low moisture levels to biotic interactions at higher moisture. Response between and within phyla was markedly different, highlighting the importance of taxonomic resolution in community analysis. Furthermore, we resolved apparent stochasticity at high taxonomic ranks as the result of deterministic interactions taking place at finer taxonomic and spatial scales. Overall the findings provide new insight on the response to moisture and this will be useful in advancing understanding of potential ecosystem responses in the threatened McMurdo Dry Valleys system.</t>
  </si>
  <si>
    <t>[Lee, Kevin C.; Archer, Stephen D. J.; Gillman, Len N.] Auckland Univ Technol, Inst Appl Ecol New Zealand, Auckland, New Zealand; [Caruso, Tancredi] Queens Univ Belfast, Sch Biol Sci, Inst Global Food Secur, Belfast, Antrim, North Ireland; [Lau, Maggie C. Y.] Princeton Univ, Dept Geosci, Princeton, NJ 08544 USA; [Cary, S. Craig; Lee, Charles K.] Univ Waikato, Int Ctr Terr Antarctic Res, Hamilton, New Zealand; [Pointing, Stephen B.] Natl Univ Singapore, Yale NUS Coll, Dept Biol Sci, Singapore, Singapore</t>
  </si>
  <si>
    <t>Auckland University of Technology; Queens University Belfast; Princeton University; University of Waikato; National University of Singapore; Yale NUS College</t>
  </si>
  <si>
    <t>Pointing, SB (corresponding author), Natl Univ Singapore, Yale NUS Coll, Dept Biol Sci, Singapore, Singapore.</t>
  </si>
  <si>
    <t>stephen.pointing@yale-nus.edu.sg</t>
  </si>
  <si>
    <t>Lee, Kevin/Z-5368-2019; Caruso, Tancredi/H-1103-2012; lee, charles/AAW-6627-2021; Pointing, Stephen/JHT-2500-2023; gillman, len norman/AFW-2302-2022; Lee, Charles/AAC-9417-2019</t>
  </si>
  <si>
    <t>Lee, Kevin/0000-0003-0210-2628; lee, charles/0000-0001-6906-4895; gillman, len norman/0000-0002-2283-495X; Lee, Charles/0000-0002-6562-4733; Caruso, Tancredi/0000-0002-3607-9609; Cary, Stephen/0000-0002-2876-2387</t>
  </si>
  <si>
    <t>New Zealand Ministry of Business, Innovation Employment [UOWX1401]; Yale-NUS College Start-Up Fund; Antarctica New Zealand; New Zealand Ministry of Business, Innovation &amp; Employment (MBIE) [UOWX1401] Funding Source: New Zealand Ministry of Business, Innovation &amp; Employment (MBIE)</t>
  </si>
  <si>
    <t>New Zealand Ministry of Business, Innovation Employment(New Zealand Ministry of Business, Innovation and Employment (MBIE)); Yale-NUS College Start-Up Fund; Antarctica New Zealand; New Zealand Ministry of Business, Innovation &amp; Employment (MBIE)(New Zealand Ministry of Business, Innovation and Employment (MBIE))</t>
  </si>
  <si>
    <t>Field and logistical support was provided by Antarctica New Zealand. The research was funded by a grant from the New Zealand Ministry of Business, Innovation &amp; Employment (UOWX1401) and Yale-NUS College Start-Up Fund.</t>
  </si>
  <si>
    <t>10.3389/fmicb.2018.02619</t>
  </si>
  <si>
    <t>GY9QR</t>
  </si>
  <si>
    <t>WOS:000448984200001</t>
  </si>
  <si>
    <t>Lowther, AD; Trathan, P; Tarroux, A; Lydersen, C; Kovacs, KM</t>
  </si>
  <si>
    <t>Lowther, Andrew D.; Trathan, Phil; Tarroux, Arnaud; Lydersen, Christian; Kovacs, Kit M.</t>
  </si>
  <si>
    <t>The relationship between coastal weather and foraging behaviour of chinstrap penguins, Pygoscelis antarctica</t>
  </si>
  <si>
    <t>Antarctic krill; bio-indicator; central place forager; chinstrap penguin; oceanographic processes; prey availability</t>
  </si>
  <si>
    <t>MARINE ECOSYSTEM; SOUTHERN-OCEAN; FUR SEALS; PREDATOR; SUCCESS; WIND; VARIABILITY; INDICATORS; RESOURCES; ABUNDANCE</t>
  </si>
  <si>
    <t>There is increasing interest in using higher-trophic level predators as ecosystem indicators because their performance is presumed to be linked to the overall function of the ecosystem that supports them. In the southwest Atlantic sector of the Southern Ocean, Antarctic krill (Euphausia superba) supports huge predator populations as well as a growing commercial fishery. To utilize information from the ecosystem in an adaptive framework for sustainably managing krill catch levels, performance indices of krill predators have been proposed as a proxy for krill abundance. However, there are several potentially confounding sources of variability that might impact predator performance such as the effects of environmental variability and fishing pressure on krill availability at scales relevant to predators. In this context, our study capitalises on the occurrence of an unexpected El Nino event to characterise how environmental variability can drive changes in predator foraging behaviour. We demonstrate a clear link between coastal downwelling and changes in the at-sea habitat usage of chinstrap penguins (Pygoscelis antarctica) foraging in a local krill fishing area. Penguins tracked from their breeding colonies on Powell Island, Antarctic Peninsula, undertook fewer, longer foraging trips during the downwelling-affected season compared with the season where no such downwelling was detected, suggesting that changes in climate-driven oceanography may have reduced krill availability along the northern shelf of the island. Our study demonstrates that penguin foraging behaviour is modified by scale-dependent processes, which if not accounted for may result in erroneous conclusions being drawn when using penguins as bioindicators of krill abundance.</t>
  </si>
  <si>
    <t>[Lowther, Andrew D.; Tarroux, Arnaud; Lydersen, Christian; Kovacs, Kit M.] Fram Ctr, Norwegian Polar Inst, Res Dept, Hjalmar Johansensgata 14, N-9297 Tromso, Norway; [Trathan, Phil] British Antarctic Survey, Madingley Rd, Cambridge CB3 0ET, England</t>
  </si>
  <si>
    <t>Norwegian Polar Institute; UK Research &amp; Innovation (UKRI); Natural Environment Research Council (NERC); NERC British Antarctic Survey</t>
  </si>
  <si>
    <t>Lowther, AD (corresponding author), Fram Ctr, Norwegian Polar Inst, Res Dept, Hjalmar Johansensgata 14, N-9297 Tromso, Norway.</t>
  </si>
  <si>
    <t>andrew.lowther@npolar.no</t>
  </si>
  <si>
    <t>Lowther, Andrew/T-2511-2019; Tarroux, Arnaud/AAE-5173-2021</t>
  </si>
  <si>
    <t>Lowther, Andrew/0000-0003-4294-3157; Tarroux, Arnaud/0000-0001-8306-6694</t>
  </si>
  <si>
    <t>Norwegian Research Council [222798/E10]; Norwegian Polar Institute; British Antarctic Survey, Natural Environment Research Council; NERC [bas0100035] Funding Source: UKRI</t>
  </si>
  <si>
    <t>Norwegian Research Council(Research Council of Norway); Norwegian Polar Institute; British Antarctic Survey, Natural Environment Research Council; NERC(UK Research &amp; Innovation (UKRI)Natural Environment Research Council (NERC))</t>
  </si>
  <si>
    <t>This work is part of a bilateral Norwegian-United Kingdom programme funded by the Norwegian Research Council (Project No 222798/E10-Krill-dominated Ecosystem Dynamics in the Scotia Sea), the Norwegian Polar Institute and the British Antarctic Survey, Natural Environment Research Council. Fieldwork and logistical support was provided by the RRS James Clark Ross. All capture and handling procedures were carried out in accordance with the requirements of both the Norwegian Animal Research Authority and the British Antarctic Survey Animal Ethics Committee. Permits for animal handling were provided by the UK Government. We thank Olav Rune Godoe and other colleagues at the Institute of Marine Research (Norway) for their inputs to the functioning of the field programme.</t>
  </si>
  <si>
    <t>10.1093/icesjms/fsy061</t>
  </si>
  <si>
    <t>WOS:000452130300009</t>
  </si>
  <si>
    <t>Kuhlbrodt, T; Jones, CG; Sellar, A; Storkey, D; Blockley, E; Stringer, M; Hill, R; Graham, T; Ridley, J; Blaker, A; Calvert, D; Copsey, D; Ellis, R; Hewitt, H; Hyder, P; Ineson, S; Mulcahy, J; Siahaan, A; Walton, J</t>
  </si>
  <si>
    <t>Kuhlbrodt, Till; Jones, Colin G.; Sellar, Alistair; Storkey, Dave; Blockley, Ed; Stringer, Marc; Hill, Richard; Graham, Tim; Ridley, Jeff; Blaker, Adam; Calvert, Daley; Copsey, Dan; Ellis, Richard; Hewitt, Helene; Hyder, Patrick; Ineson, Sarah; Mulcahy, Jane; Siahaan, Antony; Walton, Jeremy</t>
  </si>
  <si>
    <t>The Low-Resolution Version of HadGEM3 GC3.1: Development and Evaluation for Global Climate</t>
  </si>
  <si>
    <t>coupled climate model; Earth system model; HadGEM; model evaluation; CMIP6</t>
  </si>
  <si>
    <t>MERIDIONAL OVERTURNING CIRCULATION; ANTARCTIC CIRCUMPOLAR CURRENT; COUPLED CLIMATE; SEA-ICE; SOUTHERN-OCEAN; HEAT-FLOW; MODEL; PRECIPITATION; SIMULATIONS; TEMPERATURE</t>
  </si>
  <si>
    <t>A new climate model, HadGEM3 N96ORCA1, is presented that is part of the GC3.1 configuration of HadGEM3. N96ORCA1 has a horizontal resolution of similar to 135 km in the atmosphere and 1 degrees in the ocean and requires an order of magnitude less computing power than its medium-resolution counterpart, N216ORCA025, while retaining a high degree of performance traceability. Scientific performance is compared to both observations and the N216ORCA025 model. N96ORCA1 reproduces observed climate mean and variability almost as well as N216ORCA025. Patterns of biases are similar across the two models. In the northwest Atlantic, N96ORCA1 shows a cold surface bias of up to 6 K, typical of ocean models of this resolution. The strength of the Atlantic meridional overturning circulation (16 to 17 Sv) matches observations. In the Southern Ocean, a warm surface bias (up to 2 K) is smaller than in N216ORCA025 and linked to improved ocean circulation. Model El Nino/Southern Oscillation and Atlantic Multidecadal Variability are close to observations. Both the cold bias in the Northern Hemisphere (N96ORCA1) and the warm bias in the Southern Hemisphere (N216ORCA025) develop in the first few decades of the simulations. As in many comparable climate models, simulated interhemispheric gradients of top-of-atmosphere radiation are larger than observations suggest, with contributions from both hemispheres. HadGEM3 GC3.1 N96ORCA1 constitutes the physical core of the UK Earth System Model (UKESM1) and will be used extensively in the Coupled Model Intercomparison Project 6 (CMIP6), both as part of the UK Earth System Model and as a stand-alone coupled climate model. Plain Language Summary In this article, a new version of the climate model currently used in the United Kingdom (HadGEM3) is presented and analyzed. The circulation of the atmosphere and the oceans is simulated on a relatively coarse spatial grid with a grid cell size of about 120 km. The advantage of using a coarse spatial grid is that less computing power (on a supercomputer) is needed compared to using a finer grid. This gives an opportunity to do many more simulations of the ways in which Earth's climate may evolve in the decades and centuries ahead. We have carefully compared a simulation of the climate around the year 2000 with climate observations from that time and with a simulation from the same model with a finer spatial grid. Our results show that our new, coarse-grid version is representing the current climate reasonably well, for instance, with regards to climate variability in the tropics and major ocean currents. However, there are clear differences between the two models. In the coarse-gridmodel, the ocean surface is too cold in the northwest Atlantic, while in the fine-grid version it is too warm in the Southern Ocean around Antarctica. We look into explanations for these inaccuracies.</t>
  </si>
  <si>
    <t>[Kuhlbrodt, Till; Stringer, Marc] Univ Reading, Dept Meteorol, Natl Ctr Atmospher Sci, Reading, Berks, England; [Jones, Colin G.] Univ Leeds, Sch Earth &amp; Environm, Natl Ctr Atmospher Sci, Leeds, W Yorkshire, England; [Sellar, Alistair; Storkey, Dave; Blockley, Ed; Hill, Richard; Graham, Tim; Ridley, Jeff; Calvert, Daley; Copsey, Dan; Hewitt, Helene; Hyder, Patrick; Ineson, Sarah; Mulcahy, Jane; Walton, Jeremy] Met Off Hadley Ctr, Exeter, Devon, England; [Blaker, Adam; Siahaan, Antony] Natl Oceanog Ctr, Southampton, Hants, England; [Ellis, Richard] Ctr Ecol &amp; Hydrol, Wallingford, Oxon, England; [Siahaan, Antony] British Antarctic Survey, Cambridge, England</t>
  </si>
  <si>
    <t>UK Research &amp; Innovation (UKRI); Natural Environment Research Council (NERC); NERC National Centre for Atmospheric Science; University of Reading; UK Research &amp; Innovation (UKRI); Natural Environment Research Council (NERC); NERC National Centre for Atmospheric Science; University of Leeds; Met Office - UK; Hadley Centre; NERC National Oceanography Centre; UK Centre for Ecology &amp; Hydrology (UKCEH); UK Research &amp; Innovation (UKRI); Natural Environment Research Council (NERC); NERC British Antarctic Survey</t>
  </si>
  <si>
    <t>Kuhlbrodt, T (corresponding author), Univ Reading, Dept Meteorol, Natl Ctr Atmospher Sci, Reading, Berks, England.</t>
  </si>
  <si>
    <t>t.kuhlbrodt@reading.ac.uk</t>
  </si>
  <si>
    <t>Blaker, Adam T/I-8861-2012</t>
  </si>
  <si>
    <t>Walton, Jeremy/0000-0001-7372-178X; Hewitt, Helene/0000-0001-7432-6001; Mulcahy, Jane/0000-0002-0870-7380; Blaker, Adam/0000-0001-5454-0131; Ridley, Jeff/0000-0002-2612-9924; Kuhlbrodt, Till/0000-0003-2328-6729; Blockley, Ed/0000-0002-0489-4238</t>
  </si>
  <si>
    <t>National Environmental Research Council (NERC) [NE/N017951/1]; Joint DECC/Defra Met Office Hadley Centre Climate Programme [GA01101]; Met Office Hadley Centre; EU Horizon 2020 Research Programme CRESCENDO project [641816]; Joint Marine Modelling Programme (JMMP); NERC [NE/R015244/1, bas0100033, NE/N017978/1, NE/N01801X/1, NE/N017951/1, ncas10003] Funding Source: UKRI</t>
  </si>
  <si>
    <t>National Environmental Research Council (NERC)(UK Research &amp; Innovation (UKRI)Natural Environment Research Council (NERC)); Joint DECC/Defra Met Office Hadley Centre Climate Programme; Met Office Hadley Centre; EU Horizon 2020 Research Programme CRESCENDO project; Joint Marine Modelling Programme (JMMP); NERC(UK Research &amp; Innovation (UKRI)Natural Environment Research Council (NERC))</t>
  </si>
  <si>
    <t>T. K., C. J., M. S., A. B., R. E., and A. Si. were funded by the National Environmental Research Council (NERC) national capability grant for the UK Earth System Modelling project, grant NE/N017951/1. A. Se., D. S., E. B., R. H., T. G., J. R., D. Ca., D. Co., H. H., P. H., S. I., J. M., and J. W. were funded through the Joint DECC/Defra Met Office Hadley Centre Climate Programme (GA01101) in collaboration with the Met Office Hadley Centre. T. K. and C. J. were also supported by the EU Horizon 2020 Research Programme CRESCENDO project, grant agreement 641816. The work presented here was supported by the Joint Marine Modelling Programme (JMMP). The simulation data are archived at the Met Office and are available for research purposes through the JASMIN platform (www.jasmin.ac.uk) maintained by the Centre for Environmental Data Analysis (CEDA). The simulation identifiers are u-af872 (N96ORCA1) and u-ai599 (N216ORCA025).</t>
  </si>
  <si>
    <t>10.1029/2018MS001370</t>
  </si>
  <si>
    <t>HD9ER</t>
  </si>
  <si>
    <t>WOS:000452864500011</t>
  </si>
  <si>
    <t>Brierley, AS; Reid, K</t>
  </si>
  <si>
    <t>Brierley, Andrew S.; Reid, Keith</t>
  </si>
  <si>
    <t>Krill and the diversity of science and society: An introduction to the Third International Symposium on Krill</t>
  </si>
  <si>
    <t>fisheries; populations; predation; sampling</t>
  </si>
  <si>
    <t>EUPHAUSIA-SUPERBA DANA; ANTARCTIC KRILL; GROWTH-RATES; SCOTIA SEA; TEMPERATURE; MANAGEMENT; ABUNDANCE; ISLANDS; STOCK; FISH</t>
  </si>
  <si>
    <t>Krill (class Malacostraca, order Euphausiacea) play important ecological roles in all of the world's oceans, and some species (e.g., Euphausia pacifica Hansen, 1911 and E. superba Dana, 1850) are fished commercially. The Third International Symposium on Krill was convened in June 2017 to provide an opportunity for face-to-face discussions of the latest global developments in krill research. Seventy-five delegates from 13 countries participated. Presentations were grouped into six sessions: 1) Group living: biology and behaviour; 2) Ecosystems: why are krill so successful?; 3) Myths and legends: links to ice, depth distribution, and population trajectories; 4) New approaches to bust the myths: technology and a look to the future; 5) Krill in winter; and 6) What can we scientists learn from krill fisheries? The final session was followed by an industry-sponsored workshop on krill fishing that was intended to provide an opportunity for dialogue between fishers and researchers. It is apparent that although many advances have been made in understanding the biology and ecology of krill in recent years, several fundamental questions remain (for example, 'how long do krill live?'). In recognition of this, and in an attempt to maintain momentum in krill research, Symposium participants proposed a new Working Group on krill to the Scientific Committee on Antarctic Research (SCAR), and the SCAR Krill Action Group (SKAG) was adopted in June 2018.</t>
  </si>
  <si>
    <t>[Brierley, Andrew S.] Univ St Andrews, Sch Biol, Scottish Oceans Inst, Pelag Ecol Res Grp,Gatty Marine Lab, St Andrews KY16 8LB, Fife, Scotland; [Reid, Keith] Commiss Conservat Antarctic Marine Living Resourc, Hobart, Tas 7053, Australia</t>
  </si>
  <si>
    <t>University of St Andrews</t>
  </si>
  <si>
    <t>Brierley, AS (corresponding author), Univ St Andrews, Sch Biol, Scottish Oceans Inst, Pelag Ecol Res Grp,Gatty Marine Lab, St Andrews KY16 8LB, Fife, Scotland.</t>
  </si>
  <si>
    <t>asb4@st-andrews.ac.uk; keith.reid@ccamlr.org</t>
  </si>
  <si>
    <t>Brierley, Andrew S/G-8019-2011</t>
  </si>
  <si>
    <t>Pew Charitable Trusts</t>
  </si>
  <si>
    <t>We thank all of our colleagues that supported the symposium and demonstrated, once again, that global scientific interest in krill remains strong. We thank the Pew Charitable Trusts and the Association of Responsible Krill harvesting companies (ARK) for funding, and, in St Andrews, Audrey Bruce for assistance with symposium logistics, Steve Smart for design and editorial assistance, and one anonymous reviewer who provided very helpful suggestions on this paper.</t>
  </si>
  <si>
    <t>10.1093/jcbiol/ruy075</t>
  </si>
  <si>
    <t>WOS:000456691100001</t>
  </si>
  <si>
    <t>Cox, MJ; Candy, S; de la Mare, WK; Nicol, S; Kawaguchi, S; Gales, N</t>
  </si>
  <si>
    <t>Cox, Martin James; Candy, Steven; de la Mare, William K.; Nicol, Stephen; Kawaguchi, So; Gales, Nicholas</t>
  </si>
  <si>
    <t>No evidence for a decline in the density of Antarctic krill Euphausia superba Dana, 1850, in the Southwest Atlantic sector between 1976 and 2016</t>
  </si>
  <si>
    <t>net samples; use of models; populations; Southern Ocean ecosystem</t>
  </si>
  <si>
    <t>BIOMASS; VARIABILITY; REVEALS; ISLANDS; CLIMATE</t>
  </si>
  <si>
    <t>The Antarctic marine environment is changing, and changes in the Southwest Atlantic sector have included decreases in sea ice and increases in water temperature. Associated with these changes is a reported 38% and 81% per decade decline in the numerical density (hereafter density) of Antarctic krill Euphausia superba Dana, 1850, between 1976 and 2003. Few changes in other components of the ecosystem that could be attributed to such a change, such as a mass decline in krill-dependent predators, have been detected. In an ecosystem so dependent on this keystone species, a massive population decline in krill ought to have had an obvious effect. In the absence of such an effect, it is timely to revisit the issue of the purported decline in krill density. The original analysis that indicated a decline in krill density was based on the 2004 version of KRILLBASE, a database of net samples. We analysed the publicly available and updated version (version 1, accessed 30 November 2017) and our analyses did not suggest a significant decline in krill density. Rather, after accounting for sampling heterogeneity and habitat variables, average krill density appears to have been stable but with considerable inter-annual variability. Since our results were unable to find any evidence for a decline in krill density we recommend a re-appraisal of many of the paradigms that underlie much of the recent thinking about ecosystem change Antarctic waters. Such a revision is necessary to provide a firmer foundation for predictions of the effects of climate change and resource extraction on the Southern Ocean ecosystem.</t>
  </si>
  <si>
    <t>[Cox, Martin James; de la Mare, William K.; Nicol, Stephen; Kawaguchi, So; Gales, Nicholas] Australian Antarctic Div, Channel Highway, Kingston, Tas 7050, Australia; [Candy, Steven] SCandy Stat Modelling Pty Ltd, 70 Burwood Dr, Blackmans Bay, Tas 7052, Australia; [Nicol, Stephen] Univ Tasmania, Inst Marine &amp; Antarctic Studies, Private Bag 41, Hobart, Tas 7001, Australia</t>
  </si>
  <si>
    <t>Australian Antarctic Division; University of Tasmania</t>
  </si>
  <si>
    <t>Cox, MJ (corresponding author), Australian Antarctic Div, Channel Highway, Kingston, Tas 7050, Australia.</t>
  </si>
  <si>
    <t>martin.cox@aad.gov.au</t>
  </si>
  <si>
    <t>Australian Research Council [FS11020005]</t>
  </si>
  <si>
    <t>We thank Angus Atkinson, Keith Reid, and Simeon Hill for assistance with data provision and advice, and Roshni Subramaniam and numerous colleagues for discussions which helped to clarify our approaches. We thank the two anonymous reviewers for their insightful comments that greatly improved this manuscript. MJC was funded by Australian Research Council grant FS11020005.</t>
  </si>
  <si>
    <t>10.1093/jcbiol/ruy072</t>
  </si>
  <si>
    <t>WOS:000456691100002</t>
  </si>
  <si>
    <t>Summer distribution and demography of Antarctic krill Euphausia superba Dana, 1852 (Euphausiacea) at the South Orkney Islands, 2011-2015</t>
  </si>
  <si>
    <t>fisheries; maturity stage; Southern Ocean; time series; zooplankton</t>
  </si>
  <si>
    <t>OCEAN; SEA; PENINSULA; ZOOPLANKTON; TEMPERATURE; CIRCULATION; ABUNDANCE; GEORGIA; MYSIDS</t>
  </si>
  <si>
    <t>We carried out a survey of Antarctic krill (Euphausia superba Dana, 1850) from 2011 to 2015 to establish a long-term, time-series dataset of distribution, abundance, and demography for this species in the South Orkney Islands sector of the Southern Ocean. This species is abundant in this region and is subjected to high-intensity fishing, but previous assessments of density and population dynamics are few and outdated. Our data for Antarctic krill was collected from trawl stations along survey line transects covering the South Orkney plateau and shelf region during the summers of five consecutive years. We used concurrent data on hydrography, bathymetry, and proxies for algal biomass to describe potential spatial patterns of demography and abundance of E. superba. Comparative analysis of the demographic composition showed that 2012 differed from the other years by having a higher proportion of juveniles; otherwise a consistent pattern was found among years and within the study area. The highest biomass during the study period occurred along the northern shelf edge of the South Orkney Islands. Results of the linear mixed-effect model used to evaluate a diverse range of variables revealed that the only predictors for this hotspot were the short distance from land and great bottom depth. No clear differences in demographic composition for the study area were detected, which indicates that the area is highly dynamic and dominated by flux and advection of krill, both to, from, and within the area. Despite this finding, the results demonstrate that the shelf break on the northwest South Orkney Islands is predictable over time as a krill concentration and retention hotspot during the summer season.</t>
  </si>
  <si>
    <t>[Krafft, Bjorn A.; Knutsen, Tor; Skaret, Georg; Krakstad, Jens O.; Larsen, Stuart H.; Melle, Webjorn; Iversen, Svein A.; Godo, Olav R.] Inst Marine Res, Nordnesgaten 50, N-5005 Bergen, Norway; [Krag, Ludvig A.] Tech Univ Denmark, Natl Inst Aquat Resources, Niels Juelsvei 30, DK-9850 Hirtshals, Denmark; [Jensen, Knut H. M.] Univ Bergen, Museplassen 1, N-5007 Bergen, Norway</t>
  </si>
  <si>
    <t>Institute of Marine Research - Norway; Technical University of Denmark; University of Bergen</t>
  </si>
  <si>
    <t>Krafft, BA (corresponding author), Inst Marine Res, Nordnesgaten 50, N-5005 Bergen, Norway.</t>
  </si>
  <si>
    <t>bjorn.krafft@imr.no</t>
  </si>
  <si>
    <t>Krakstad, Jens-Otto/Y-5225-2019; Krakstad, Jens-Otto/ABB-1476-2021</t>
  </si>
  <si>
    <t>Krag, Ludvig Ahm/0000-0002-1531-1499; Larsen, Stuart/0000-0003-4669-0273; Knutsen, Tor/0000-0003-3531-5611</t>
  </si>
  <si>
    <t>Norwegian Research Council (NFR) [222798]; Norwegian Ministry of Foreign Affairs; Norwegian Institute of Marine Research (IMR)</t>
  </si>
  <si>
    <t>Norwegian Research Council (NFR)(Research Council of Norway); Norwegian Ministry of Foreign Affairs; Norwegian Institute of Marine Research (IMR)</t>
  </si>
  <si>
    <t>This study was part of project KRILL, which was supported by the Norwegian Research Council (NFR grant 222798), the Norwegian Ministry of Foreign Affairs, and the Norwegian Institute of Marine Research (IMR). We extend our gratitude to Aker BioMarine AS, Rimfrost AS, and the captains and crew of FV Saga Sea and FV Juvel. We thank Ronald Pedersen (IMR) for technical support on data sampling. We are also grateful for the constructive criticisms from two anonymous reviewers and the editors, which contributed to improve the manuscript.</t>
  </si>
  <si>
    <t>10.1093/jcbiol/ruy061</t>
  </si>
  <si>
    <t>Green Accepted, Green Published, hybrid, Green Submitted</t>
  </si>
  <si>
    <t>WOS:000456691100005</t>
  </si>
  <si>
    <t>Harter, TS; Sackville, MA; Wilson, JM; Metzger, DCH; Egginton, S; Esbaugh, AJ; Farrell, AP; Brauner, CJ</t>
  </si>
  <si>
    <t>Harter, Till S.; Sackville, Michael A.; Wilson, Jonathan M.; Metzger, David C. H.; Egginton, Stuart; Esbaugh, Andrew J.; Farrell, Anthony P.; Brauner, Colin J.</t>
  </si>
  <si>
    <t>A solution to Nature's haemoglobin knockout: a plasma-accessible carbonic anhydrase catalyses CO2 excretion in Antarctic icefish gills</t>
  </si>
  <si>
    <t>JOURNAL OF EXPERIMENTAL BIOLOGY</t>
  </si>
  <si>
    <t>Notothenioid; Teleost; Adaptive radiation; PI-PLC; Plasma CA inhibitor; Ca4</t>
  </si>
  <si>
    <t>TROUT ONCORHYNCHUS-MYKISS; ENHANCE OXYGEN DELIVERY; RAINBOW-TROUT; CHAENOCEPHALUS-ACERATUS; FREE FISH; CHANNICHTHYS-RHINOCERATUS; BUFFER CAPACITY; IN-VITRO; BLOOD; EXCHANGE</t>
  </si>
  <si>
    <t>In all vertebrates studied to date, CO2 excretion depends on the enzyme carbonic anhydrase (CA) that catalyses the rapid conversion of HCO3 - to CO2 at the gas-exchange organs. The largest pool of CA is present within red blood cells (RBCs) and, in some vertebrates, plasma-accessible CA (paCA) isoforms participate in CO2 excretion. However, teleost fishes typically do not have paCA at the gills and CO2 excretion is reliant entirely on RBC CA - a strategy that is not possible in icefishes. As the result of a natural knockout, Antarctic icefishes (Channichthyidae) are the only known vertebrates that do not express haemoglobin (Hb) as adults, and largely lack RBCs in the circulation (haematocrit &lt;1%). Previous work has indicated the presence of high levels of membrane-bound CA activity in the gills of icefishes, but without determining its cellular orientation. Thus, we hypothesised that icefishes express a membrane-bound CA isoform at the gill that is accessible to the blood plasma. The CA distribution was compared in the gills of two closely related notothenioid species, one with Hb and RBCs (Notothenia rossit) and one without (Champsocephalus gunnan). Molecular, biochemical and immunohistochemical markers indicate high levels of a Ca4 isoform in the gills of the icefish (but not the red-blooded N. rossit), in a plasma-accessible location that is consistent with a role in CO2 excretion. Thus, in the absence of RBC CA, the icefish gill could exclusively provide the catalytic activity necessary for CO2 excretion - a pathway that is unlike that of any other vertebrate.</t>
  </si>
  <si>
    <t>[Harter, Till S.; Sackville, Michael A.; Metzger, David C. H.; Farrell, Anthony P.; Brauner, Colin J.] Univ British Columbia, Dept Zool, Vancouver, BC V6T 1Z4, Canada; [Wilson, Jonathan M.] Wilfrid Laurier Univ, Dept Biol, Waterloo, ON N2L 3C5, Canada; [Egginton, Stuart] Univ Leeds, Fac Biol Sci, Sch Biomed Sci, Leeds LS2 9JT, W Yorkshire, England; [Esbaugh, Andrew J.] Univ Texas Austin, Marine Sci Inst, Port Aransas, TX 78373 USA; [Farrell, Anthony P.] Univ British Columbia, Fac Land &amp; Food Syst, Vancouver, BC V6T 1Z4, Canada</t>
  </si>
  <si>
    <t>University of British Columbia; Wilfrid Laurier University; University of Leeds; University of Texas System; University of Texas Austin; University of British Columbia</t>
  </si>
  <si>
    <t>Harter, TS (corresponding author), Univ British Columbia, Dept Zool, Vancouver, BC V6T 1Z4, Canada.</t>
  </si>
  <si>
    <t>harter@zoology.ubc.ca</t>
  </si>
  <si>
    <t>Wilson, Jonathan Mark/AAG-6481-2019; Wilson, Jonathan/I-6071-2012; Esbaugh, Andrew J/N-4452-2017</t>
  </si>
  <si>
    <t>Wilson, Jonathan Mark/0000-0003-3681-1166; Wilson, Jonathan/0000-0003-3681-1166;</t>
  </si>
  <si>
    <t>Natural Sciences and Engineering Research Council of Canada (NSERC) [261924-13, 446005-13]</t>
  </si>
  <si>
    <t>This study was supported by Natural Sciences and Engineering Research Council of Canada (NSERC) Accelerator Supplement (446005-13) and Discovery Grant (261924-13) to C.J.B.</t>
  </si>
  <si>
    <t>COMPANY BIOLOGISTS LTD</t>
  </si>
  <si>
    <t>BIDDER BUILDING, STATION RD, HISTON, CAMBRIDGE CB24 9LF, ENGLAND</t>
  </si>
  <si>
    <t>0022-0949</t>
  </si>
  <si>
    <t>1477-9145</t>
  </si>
  <si>
    <t>J EXP BIOL</t>
  </si>
  <si>
    <t>J. Exp. Biol.</t>
  </si>
  <si>
    <t>jeb190918</t>
  </si>
  <si>
    <t>10.1242/jeb.190918</t>
  </si>
  <si>
    <t>HB6ZP</t>
  </si>
  <si>
    <t>WOS:000451223900024</t>
  </si>
  <si>
    <t>Russ, GR; Payne, CS; Bergseth, BJ; Rizzari, JR; Abesamis, RA; Alcala, AC</t>
  </si>
  <si>
    <t>Russ, Garry R.; Payne, Cody S.; Bergseth, Brock J.; Rizzari, Justin R.; Abesamis, Rene A.; Alcala, Angel C.</t>
  </si>
  <si>
    <t>Decadal-scale response of detritivorous surgeonfishes (family Acanthuridae) to no-take marine reserve protection and changes in benthic habitat</t>
  </si>
  <si>
    <t>JOURNAL OF FISH BIOLOGY</t>
  </si>
  <si>
    <t>Acanthuridae; benthic habitat; coral-reef fish; detritivores; environmental disturbance; no-take reserves</t>
  </si>
  <si>
    <t>CORAL-REEF FISH; GREAT-BARRIER-REEF; CTENOCHAETUS-STRIATUS; COMMUNITIES; DEGRADATION; ECOLOGY; ISLAND; DISTURBANCES; VARIABILITY; POPULATIONS</t>
  </si>
  <si>
    <t>No-take marine reserves (NTMR) are increasingly being implemented to mitigate the effects of fishing on coral reefs, yet determining the efficacy of NTMRs depends largely on partitioning the effects of fishing from the effect of benthic habitat. Species of coral-reef fishes typically decline in density when subjected to fishing or benthic disturbances, but this is not always the case. This study documents the long-term (8-31 years) response of six species of detritivorous surgeonfishes (family Acanthuridae) to NTMR protection and benthic habitat change at four islands (Apo, Sumilon, Mantigue, Selinog) in the central Philippines, each island with a NTMR and a monitored fished site. Despite being subject to moderate fishing pressure, these species did not increase in density with NTMR protection. However, density of these surgeonfishes had a strong negative relationship with cover of live hard coral and a strong positive relationship with cover of dead substratum (sand, rubble, hard dead substratum). These surgeonfishes typically feed over dead substrata and thus probably increase in density following large environmental disturbances that substantially reduce live hard coral cover. Here, we describe effects of environmental disturbance events (e.g., use of explosives, typhoons) that reduced live hard-coral cover and subsequent large increases (up to 25 fold) in surgeonfish densities, which then slowly (over 5-15 years) decreased in density as live hard coral recovered. Density of these functionally important surgeonfish species was influenced more by changes to benthic cover than by NTMR protection. Thus, we highlight the greater importance of bottom-up controls (i.e., benthic changes to food availability) than top-down control (i.e., fishing) on a functionally important group of coral-reef fishes.</t>
  </si>
  <si>
    <t>[Russ, Garry R.; Payne, Cody S.; Bergseth, Brock J.; Rizzari, Justin R.; Abesamis, Rene A.] James Cook Univ, Coll Sci &amp; Engn, 1 James Cook Dr, Townsville, Qld 4811, Australia; [Russ, Garry R.; Bergseth, Brock J.; Rizzari, Justin R.; Abesamis, Rene A.] Australian Res Council, Ctr Excellence Coral Reef Studies, Townsville, Qld, Australia; [Bergseth, Brock J.] CSIRO, Oceans &amp; Atmosphere Div, Hobart, Tas, Australia; [Rizzari, Justin R.] Univ Tasmania, Inst Marine &amp; Antarctic Studies, Fisheries &amp; Aquaculture Ctr, Hobart, Tas, Australia; [Rizzari, Justin R.] Deakin Univ, Sch Life &amp; Environm Sci, Geelong, Vic, Australia; [Abesamis, Rene A.; Alcala, Angel C.] Silliman Univ, Angelo King Ctr Res &amp; Environm Management, Dumaguete, Philippines</t>
  </si>
  <si>
    <t>James Cook University; Commonwealth Scientific &amp; Industrial Research Organisation (CSIRO); University of Tasmania; Deakin University; Silliman University</t>
  </si>
  <si>
    <t>Bergseth, BJ (corresponding author), James Cook Univ, Coll Sci &amp; Engn, 1 James Cook Dr, Townsville, Qld 4811, Australia.</t>
  </si>
  <si>
    <t>brock.bergseth@my.jcu.edu.au</t>
  </si>
  <si>
    <t>Abesamis, Rene A./AAE-1917-2022; Alcala, Angel C/B-2054-2013</t>
  </si>
  <si>
    <t>Abesamis, Rene A./0000-0001-7456-1415; Bergseth, Brock/0000-0002-5486-175X</t>
  </si>
  <si>
    <t>UNEP-NRMC Philippines; Great Barrier Reef Marine Park Authority; Pew Fellowship; ARC; ARC Centre of Excellence for Coral Reef Studies; College of Science and Engineering at James Cook University</t>
  </si>
  <si>
    <t>UNEP-NRMC Philippines; Great Barrier Reef Marine Park Authority; Pew Fellowship; ARC(Australian Research Council); ARC Centre of Excellence for Coral Reef Studies(Australian Research Council); College of Science and Engineering at James Cook University</t>
  </si>
  <si>
    <t>Financial support to GRR and ACA was provided by the UNEP-NRMC Philippines (1983), the Great Barrier Reef Marine Park Authority (1985), a Pew Fellowship (1999-2000), an ARC Discovery grant (2002-2004) and funding from the ARC Centre of Excellence for Coral Reef Studies (2006-2014). BJB and JRR were supported by the College of Science and Engineering at James Cook University.</t>
  </si>
  <si>
    <t>0022-1112</t>
  </si>
  <si>
    <t>1095-8649</t>
  </si>
  <si>
    <t>J FISH BIOL</t>
  </si>
  <si>
    <t>J. Fish Biol.</t>
  </si>
  <si>
    <t>10.1111/jfb.13809</t>
  </si>
  <si>
    <t>HC1QW</t>
  </si>
  <si>
    <t>WOS:000451578000014</t>
  </si>
  <si>
    <t>Tarakanov, RY; Morozov, EG; van Haren, H; Makarenko, NI; Demidova, TA</t>
  </si>
  <si>
    <t>Tarakanov, Roman Y.; Morozov, Eugene G.; van Haren, Hans; Makarenko, Nikolay I.; Demidova, Tatiana A.</t>
  </si>
  <si>
    <t>Structure of the Deep Spillway in the Western Part of the Romanche Fracture Zone</t>
  </si>
  <si>
    <t>Romanche fracture zone; Antarctic bottom water; hydraulic control overflow</t>
  </si>
  <si>
    <t>ANTARCTIC BOTTOM WATER; MID-ATLANTIC RIDGE; CHAIN; FLOW; VARIABILITY; TRANSPORT; CURRENTS; FLUX</t>
  </si>
  <si>
    <t>Structure of the deep spillway was studied on the basis of conductivity-temperature-depth, lowered acoustic Doppler current profiler, and mooring measurements in 2011-2014 in the Romanche fracture zone (22 degrees 27-22 degrees 32W). The spillway exists quasi-permanently in the regime of hydraulic control overflow and consists of two flows in the layer &lt;1.20 degrees C (deeper than 4,150m). The first flow enters the fracture from the south through a gap in the Southern Wall. The second flow is directed to the east along the narrow valley of the fracture. The sill depths of these passages are 4,570 and 4,430m, respectively. The depths over the surrounding ridges are shallower than 4,100m. Both flows descend to the local depression of the fracture with 5,000-m depth. Bottom potential temperatures over both sills were 0.51 degrees C, and the measured velocities were 20-40cm/s. When the flows descend down the slope, they accelerate in supercritical regime. Maximal measured velocities were up to 65cm/s. Analysis of the 189-day time series of velocities on the mooring deployed in the flow descending from the gap showed a very high level of fluctuation energy: 10 times greater than the energy of the barotropic tide at this point. The only energy source of these fluctuations is the available potential energy of the deep thermocline in the West Atlantic transforming to the kinetic energy of the deep spillway. The total transport of the bottom water below =1.2 degrees C based on the lowered acoustic Doppler current profiler measurements is estimated at 0.29-0.35Sv, which agrees with the predicted values. Plain Language Summary The bottom waters of the Atlantic are of the Antarctic origin. They flow from the sources in Antarctica from one deep basin to another reaching the latitudes of Europe and North America. This bottom flow passes narrow channels in the submarine ridges that separate deep basins. Long channels as the Romanche Fracture Zone (FZ) at the equator usually consist of constrictions and sills. When the bottom flow passes through such a channel, deep water spillways can be formed in the constrictions down the sills where the flow accelerates because available potential energy transforms to kinetic energy. We studied the structure and dynamics of the bottom currents in the western part of the Romanche FZ on the basis of field observations. We show that in the research site the structure of the flow has exactly this form with spillways. The temperature characteristics of the bottom flow and water transport are estimated. High intensity of kinetic energy oscillations in the spillway zone was found. The forcing can be related only to the potential energy of the bottom waters in the basin upstream the Romanche FZ. The results of this study are important for modeling ocean climate research.</t>
  </si>
  <si>
    <t>[Tarakanov, Roman Y.; Morozov, Eugene G.; Demidova, Tatiana A.] Russian Acad Sci, Shirshov Inst Oceanol, Moscow, Russia; [van Haren, Hans] Royal Netherlands Inst Sea Res NIOZ, Den Burg, Netherlands; [Makarenko, Nikolay I.] Lavrentiev Inst Hydrodynam, Novosibirsk, Russia</t>
  </si>
  <si>
    <t>Russian Academy of Sciences; Shirshov Institute of Oceanology; Utrecht University; Royal Netherlands Institute for Sea Research (NIOZ); Lavrentyev Institute of Hydrodynamics</t>
  </si>
  <si>
    <t>Tarakanov, RY (corresponding author), Russian Acad Sci, Shirshov Inst Oceanol, Moscow, Russia.</t>
  </si>
  <si>
    <t>rtarakanov@gmail.com</t>
  </si>
  <si>
    <t>Morozov, Eugene G/L-3023-2018; Tarakanov, Roman/R-3325-2016</t>
  </si>
  <si>
    <t>Tarakanov, Roman/0000-0002-8711-1859; Morozov, Eugene/0000-0002-0251-3454</t>
  </si>
  <si>
    <t>Russian Academy of Sciences; Russian Science Foundation [16-17-10149]; Russian Science Foundation [16-17-10149] Funding Source: Russian Science Foundation</t>
  </si>
  <si>
    <t>Russian Academy of Sciences(Russian Academy of Sciences); Russian Science Foundation(Russian Science Foundation (RSF)); Russian Science Foundation(Russian Science Foundation (RSF))</t>
  </si>
  <si>
    <t>We thank J. Whitehead and an anonymus second reviewer for their constructive formal reviews of this paper. We thank the crew of the R/V Akademik Sergey Vavilov for their assistance in deployment and recovery of the mooring. Field studies were financed by the programs of the Russian Academy of Sciences and the state assignments of Russia. The analysis was supported by the Russian Science Foundation grant 16-17-10149. Data used in the analysis are available from https://doi.pangaea.de/10.1594/PANGAEA.893182 and https://doi.pangaea.de/10.1594/PANGAEA.893175.</t>
  </si>
  <si>
    <t>10.1029/2018JC013961</t>
  </si>
  <si>
    <t>WOS:000453907000045</t>
  </si>
  <si>
    <t>De Santo, EM</t>
  </si>
  <si>
    <t>De Santo, Elizabeth M.</t>
  </si>
  <si>
    <t>Implementation challenges of area-based management tools (ABMTs) for biodiversity beyond national jurisdiction (BBNJ)</t>
  </si>
  <si>
    <t>UNCLOS; MPAs; BBNJ; Science-policy interface; Enforcement; Stakeholder engagement</t>
  </si>
  <si>
    <t>MARINE PROTECTED AREAS; REGIONAL FISHERIES MANAGEMENT; NORTH-EAST ATLANTIC; ENVIRONMENTAL-MANAGEMENT; DECISION-MAKING; CONSERVATION; SCIENCE; LESSONS; POLICY; PARTICIPATION</t>
  </si>
  <si>
    <t>Area-based management tools (ABMTs), including marine protected areas (MPAs) are widely recognized as a key mechanism for conserving and restoring biodiversity. The developing international legally-binding instrument (ILBI) on biodiversity beyond national jurisdiction (BBNJ) is considering a range of approaches to ABMTs. While the process is still in early stages, this paper looks ahead to anticipate implementation challenges for ABMTs, given previous experiences with regional fisheries management organizations (RFMOs) and high seas MPAs. Drawing on the implementation of MPAs under the OSPAR Convention and the Convention on the Conservation of Antarctic Living Marine Resources (CCAMLR), key suggestions revolve around: (1) improving the evidence basis for protecting BBNJ, (2) designing effective compliance and enforcement mechanisms, and (3) engaging adequately with relevant stakeholders. In addition to the case studies, which are primarily marine pollution and fishing-oriented, considerations related to mitigating the effects of deep sea mining and the harvesting of marine genetic resources are also touched upon.</t>
  </si>
  <si>
    <t>[De Santo, Elizabeth M.] Franklin &amp; Marshall Coll, Dept Earth &amp; Environm, POB 3003, Lancaster, PA 17603 USA</t>
  </si>
  <si>
    <t>Franklin &amp; Marshall College</t>
  </si>
  <si>
    <t>De Santo, EM (corresponding author), Franklin &amp; Marshall Coll, Dept Earth &amp; Environm, POB 3003, Lancaster, PA 17603 USA.</t>
  </si>
  <si>
    <t>edesanto@fandm.edu</t>
  </si>
  <si>
    <t>De Santo, Elizabeth/AAM-2025-2020</t>
  </si>
  <si>
    <t>De Santo, Elizabeth/0000-0003-0975-1874</t>
  </si>
  <si>
    <t>Franklin &amp; Marshall College Library and Provost's Office</t>
  </si>
  <si>
    <t>The author gratefully acknowledges feedback from two anonymous reviewers. A preliminary version of this paper was presented at the 2017 International Studies Association annual conference in San Francisco, on a panel entitled Ocean governance in the Anthropocene: Critical perspectives on the emerging BBNJ regime. Thanks to Oran Young for chairing and to Frank Biermann for serving as discussant on the panel and providing feedback. Funding for open access publishing provided by the Franklin &amp; Marshall College Library and Provost's Office.</t>
  </si>
  <si>
    <t>10.1016/j.marpol.2018.08.034</t>
  </si>
  <si>
    <t>WOS:000448099300005</t>
  </si>
  <si>
    <t>Swart, NC; Gille, ST; Fyfe, JC; Gillett, NP</t>
  </si>
  <si>
    <t>Swart, Neil C.; Gille, Sarah T.; Fyfe, John C.; Gillett, Nathan P.</t>
  </si>
  <si>
    <t>Recent Southern Ocean warming and freshening driven by greenhouse gas emissions and ozone depletion</t>
  </si>
  <si>
    <t>ANTARCTIC SEA-ICE; CLIMATE-CHANGE; WORLDS OCEANS; CMIP5 MODELS; TRENDS; TEMPERATURE; VARIABILITY; WATER; ATTRIBUTION; TRANSPORT</t>
  </si>
  <si>
    <t>The Southern Ocean has, on average, warmed and freshened over the past several decades. As a primary global sink for anthropogenic heat and carbon, to understand changes in the Southern Ocean is directly relevant to predicting the future evolution of the global climate system. However, the drivers of these changes are poorly understood, owing to sparse observational sampling, large amplitude internal variability, modelling uncertainties and the competing influence of multiple forcing agents. Here we construct an observational synthesis to quantify the temperature and salinity changes over the Southern Ocean and combine this with an ensemble of co-sampled climate model simulations. Using a detection and attribution analysis, we show that the observed changes are inconsistent with the internal variability or the response to natural forcing alone. Rather, the observed changes are primarily attributable to human-induced greenhouse gas increases, with a secondary role for strato-spheric ozone depletion. Physically, the simulated changes are primarily driven by surface fluxes of heat and freshwater. The consistency between the observed changes and our simulations provides increased confidence in the ability of climate models to simulate large-scale thermohaline change in the Southern Ocean.</t>
  </si>
  <si>
    <t>[Swart, Neil C.; Fyfe, John C.; Gillett, Nathan P.] Environm &amp; Climate Change Canada, Canadian Ctr Climate Modelling &amp; Anal, Victoria, BC, Canada; [Gille, Sarah T.] Univ Calif San Diego, Scripps Inst Oceanog, La Jolla, CA 92093 USA</t>
  </si>
  <si>
    <t>Environment &amp; Climate Change Canada; Canadian Centre for Climate Modelling &amp; Analysis (CCCma); University of California System; University of California San Diego; Scripps Institution of Oceanography</t>
  </si>
  <si>
    <t>Swart, NC (corresponding author), Environm &amp; Climate Change Canada, Canadian Ctr Climate Modelling &amp; Anal, Victoria, BC, Canada.</t>
  </si>
  <si>
    <t>neil.swart@canada.ca</t>
  </si>
  <si>
    <t>Swart, Neil/Q-6608-2019</t>
  </si>
  <si>
    <t>Swart, Neil/0000-0002-8200-6187; Gille, Sarah/0000-0001-9144-4368</t>
  </si>
  <si>
    <t>NSF [PLR-1425989, OCE 1658001]</t>
  </si>
  <si>
    <t>NSF(National Science Foundation (NSF))</t>
  </si>
  <si>
    <t>We acknowledge the Environment and Climate Change Canada's Canadian Centre for Climate Modelling and Analysis for executing and making available the CanESM2 Large Ensemble simulations used in this study, and the Canadian Sea Ice and Snow Evolution Network for proposing the simulations. S.T.G. acknowledges NSF awards PLR-1425989 and OCE 1658001.</t>
  </si>
  <si>
    <t>10.1038/s41561-018-0226-1</t>
  </si>
  <si>
    <t>WOS:000448672100009</t>
  </si>
  <si>
    <t>Belt, ST</t>
  </si>
  <si>
    <t>Belt, Simon T.</t>
  </si>
  <si>
    <t>Source-specific biomarkers as proxies for Arctic and Antarctic sea ice</t>
  </si>
  <si>
    <t>ORGANIC GEOCHEMISTRY</t>
  </si>
  <si>
    <t>Biomarkers; HBIs; IP25; IPSO25; Sea ice; Proxies</t>
  </si>
  <si>
    <t>BRANCHED ISOPRENOID ALKENES; EAST GREENLAND SHELF; HBI ALKENES; SURFACE SEDIMENTS; HOLOCENE CLIMATE; ORGANIC GEOCHEMISTRY; ABIOTIC DEGRADATION; INSTRUMENTAL PERIOD; DIATOM COMMUNITIES; LIPID BIOMARKERS</t>
  </si>
  <si>
    <t>Over the last decade or so, certain source-specific C-25 highly branched isoprenoid (HBI) lipid biomarkers have emerged as useful proxies for Arctic and Antarctic sea ice. Thus, IP25 (Ice proxy with 25 carbon atoms) and IPSO25 (Ice proxy for the Southern Ocean with 25 carbon atoms) represent binary measures of past seasonal sea ice in the Arctic and Antarctic, respectively. A further tri-unsaturated HBI (generally referred to as HBI III) appears to provide proxy evidence for the region of open water found adjacent to sea ice (i.e. the marginal ice zone (MIZ)) in both polar regions. This review provides an update on current knowledge pertaining to each proxy. The first section focuses on describing those studies that have aimed to establish the underlying features of each proxy, including source identification and spatial distribution characteristics. The second section presents some important analytical considerations pertinent to the accurate identification and quantification of HBI biomarkers. The third section describes how each HBI proxy is normally interpreted within the sedimentary record for palaeo sea ice reconstruction purposes. This includes the interpretation of individual and combined biomarker profiles such as the PIP25 index and multivariate decision tree models. A summary of all previous palaeo sea ice reconstructions based on HBIs is also given, which includes examples that clarify or reinforce our understanding of the individual or combined biomarker signatures. Some knowledge gaps and areas for future research are also briefly described. (C) 2018 Elsevier Ltd. All rights reserved.</t>
  </si>
  <si>
    <t>[Belt, Simon T.] Univ Plymouth, Sch Geog Earth &amp; Environm Sci, Biogeochem Res Ctr, Plymouth PL4 8AA, Devon, England</t>
  </si>
  <si>
    <t>University of Plymouth</t>
  </si>
  <si>
    <t>Belt, ST (corresponding author), Univ Plymouth, Sch Geog Earth &amp; Environm Sci, Biogeochem Res Ctr, Plymouth PL4 8AA, Devon, England.</t>
  </si>
  <si>
    <t>sbelt@plymouth.ac.uk</t>
  </si>
  <si>
    <t>0146-6380</t>
  </si>
  <si>
    <t>1873-5290</t>
  </si>
  <si>
    <t>ORG GEOCHEM</t>
  </si>
  <si>
    <t>Org. Geochem.</t>
  </si>
  <si>
    <t>10.1016/j.orggeochem.2018.10.002</t>
  </si>
  <si>
    <t>GY9EG</t>
  </si>
  <si>
    <t>WOS:000448941300028</t>
  </si>
  <si>
    <t>Mansilla, CA; McCulloch, RD; Morello, F</t>
  </si>
  <si>
    <t>Mansilla, Claudia A.; McCulloch, Robert D.; Morello, Flavia</t>
  </si>
  <si>
    <t>The vulnerability of the Nothofagus forest-steppe ecotone to climate change: Palaeoecological evidence from Tierra del Fuego (∼53°S)</t>
  </si>
  <si>
    <t>Palynology; Pollen preservation; Tephrochronology; Last glacial-interglacial transition; Holocene; Southern beech</t>
  </si>
  <si>
    <t>HOLOCENE PALEOENVIRONMENTAL CHANGE; POSTGLACIAL VEGETATION; CENTRAL STRAIT; PATAGONIA; TEPHROCHRONOLOGY; PALEOCLIMATE; DYNAMICS; PATTERNS; MAGELLAN; HISTORY</t>
  </si>
  <si>
    <t>A new Late glacial-Holocene palaeoenvironmental record from near Lago Lynch (53 degrees 54'S, 69 degrees 26'W), Tierra del Fuego is presented. The record was sampled from a mire located within the deciduous Nothofagus forest-steppe ecotone and pollen and spore analysis suggest a high degree of vulnerability of past vegetation to changes in effective moisture. AMS radiocarbon dating supplemented by the application of tephrochronology including the geochemical fingerprinting of six visible and cryptotephra layers provides robust age constraint. The Lago Lynch record commences at c.15.6 ka. The sequence of vegetation changes between c.15.6 and 14.4 ka reflect a gradual increase in temperature and humidity followed by a colder interval between c.14.4 and 13.3 ka, which is broadly coeval with the Antarctic Cold Reversal. After c.13.3 ka patches of Nothofagus forest appeared, suggesting more mesic-temperate conditions leading gradually to the establishment of an open-canopy Nothofagus forest by c.12.5 ka which marks the start of the Holocene. Moderate to strong effective moisture levels dominated during the early Holocene until c.11.0 ka, followed by a sustained period (c.11.0-6.5 ka) of drier climatic conditions, particularly two arid phases at c.10.5-10.0 ka and 8.5-6.5 ka. An eastwards expansion of the forest margin after c.6.5 ka at the site suggests a return to more humid conditions during the late Holocene. We argue that the periods of increased moisture and aridity inferred from Lago Lynch closely reflect the extent to which the southern westerly winds (SWWs) push eastwards to the drier regions of Fuego-Patagonia during the Holocene. The longitudinal variations in moisture are driven by the nature and timing of latitudinal shifts in the SWWs. More significantly the vulnerability of the forest-steppe ecotone to moisture changes amplifies the ecological impact of relatively small-scale shifts in the SWWs.</t>
  </si>
  <si>
    <t>[Mansilla, Claudia A.; Morello, Flavia] Univ Magallanes, Inst Patagonia, Ctr Estudios Hombre Austral, Av Bulnes 01890, Punta Arenas, Chile; [McCulloch, Robert D.] Ctr Invest Ecosistemas Patagonia, Moraleda 16, Coyhaique, Chile</t>
  </si>
  <si>
    <t>McCulloch, RD (corresponding author), Ctr Invest Ecosistemas Patagonia, Moraleda 16, Coyhaique, Chile.</t>
  </si>
  <si>
    <t>roberto.mcculloch@ciep.cl</t>
  </si>
  <si>
    <t>Morello, Flavia/C-1007-2008</t>
  </si>
  <si>
    <t>Mansilla, Claudia A./0000-0003-4840-2845</t>
  </si>
  <si>
    <t>Becas-Chile Scholarship [74160083]; FONDECYT, Gobiemo de Chile [3180280]; Network for Extreme Environments Research (NEXER), Universidad de Magallanes, Chile; Quaternary Research Association; Proyecto FONDECYT [1140939]; NERC [NRCF010001] Funding Source: UKRI</t>
  </si>
  <si>
    <t>Becas-Chile Scholarship; FONDECYT, Gobiemo de Chile; Network for Extreme Environments Research (NEXER), Universidad de Magallanes, Chile; Quaternary Research Association; Proyecto FONDECYT(Comision Nacional de Investigacion Cientifica y Tecnologica (CONICYT)CONICYT FONDECYT); NERC(UK Research &amp; Innovation (UKRI)Natural Environment Research Council (NERC))</t>
  </si>
  <si>
    <t>CM was supported by a Becas-Chile Scholarship 74160083 (CONICYT, Gobierno de Chile), Postdoctoral grant 3180280 (FONDECYT, Gobiemo de Chile), and the Network for Extreme Environments Research (NEXER), Universidad de Magallanes, Chile. The Quaternary Research Association research fund provided support for fieldwork. RM and FM were supported by Proyecto FONDECYT 1140939. The Scottish Alliance for Geoscience, Environment and Society provided support for the Electron Microprobe analyses of tephra samples. We thank Dr. Chris Hayward for assistance in our use of the Cameca SX100 Electron Microprobe in the School of GeoSciences, The University of Edinburgh. The authors are grateful to Dr. Pauline Gulliver and the Natural Environmental Research Council Radiocarbon Laboratory for supporting the radiocarbon measurements (Allocation: 1696-0413). We also thank Emma Lees and Jonathan Fletcher for their assistance with sampling in the field.</t>
  </si>
  <si>
    <t>10.1016/j.palaeo.2018.07.014</t>
  </si>
  <si>
    <t>GT2VU</t>
  </si>
  <si>
    <t>WOS:000444359200005</t>
  </si>
  <si>
    <t>Bohuslavová, O; Macek, P; Redcenko, O; Láska, K; Nedbalová, L; Elster, J</t>
  </si>
  <si>
    <t>Bohuslavova, Olga; Macek, Petr; Redcenko, Oleksij; Laska, Kamil; Nedbalova, Linda; Elster, Josef</t>
  </si>
  <si>
    <t>Dispersal of lichens along a successional gradient after deglaciation of volcanic mesas on northern James Ross Island, Antarctic Peninsula</t>
  </si>
  <si>
    <t>Antarctic; James Ross Island; Macrolichen community assembly; Lichen functional traits; Local species pool; Soredia; Fragments of thalli</t>
  </si>
  <si>
    <t>EPIPHYTIC LICHENS; GENETIC DIVERSITY; COLONIZATION; PATTERNS; WIND; BIOGEOGRAPHY; DISTANCE; THALLUS; SOREDIA; DRIFT</t>
  </si>
  <si>
    <t>Aerial dispersal in the colonization of bare ground by lichens in the polar regions remains poorly understood. Potential colonists may arrive continually, although extreme abiotic conditions limit their viability. We investigated the vegetative dispersal of Antarctic macrolichens along a successional gradient (from 8.6-7.0 ka BP up to present) after glacial retreat on James Ross Island, in the Antarctic Peninsula region. We collected lichen fragments by means of sticky traps glued on the ground and exposed for 1 year. Foliose or fruticose growth types were the most frequently recorded species (namely Usnea spp. and Leptogium puberulum) together with widely distributed fungi mycelia, while crustose lichens were not found. Although these two lichen species are also locally the most common, their frequency of occurrence in the traps was largely unrelated to local dominance, indicating long-distance dispersal. On the other hand, the dispersed community assembly was related to overall lichen cover and ground physical structure (clast size). There was a gradient of species occurrence frequency increasing with maximal clast size and distance from the glacier front. These results imply that there is no dispersal limitation (at least for certain lichen species) in the colonization of newly deglaciated substrates at the regional scale on James Ross Island. However, lichen establishment is rather rare, and growth of a lichen community is therefore a long-term process.</t>
  </si>
  <si>
    <t>[Bohuslavova, Olga; Laska, Kamil] Masaryk Univ, Fac Sci, Dept Geog, Kotlarska 267-2, CS-61137 Brno, Czech Republic; [Macek, Petr; Redcenko, Oleksij; Elster, Josef] Univ South Bohemia, Fac Sci, Ctr Polar Ecol, Zlate Stoce 3, Ceske Budejovice 37005, Czech Republic; [Redcenko, Oleksij] Inst Mol Genet ASCR, Videnska 1083, Prague 14220 4, Czech Republic; [Nedbalova, Linda] Charles Univ Prague, Fac Sci, Dept Ecol, Vinicna 7, CR-12844 Prague 2, Czech Republic; [Nedbalova, Linda; Elster, Josef] Inst Bot ASCR, Dukelska 135, Trebon 37982, Czech Republic</t>
  </si>
  <si>
    <t>Masaryk University Brno; University of South Bohemia Ceske Budejovice; Czech Academy of Sciences; Institute of Molecular Genetics of the Czech Academy of Sciences; Charles University Prague; Czech Academy of Sciences; Institute of Botany of the Czech Academy of Sciences</t>
  </si>
  <si>
    <t>Elster, J (corresponding author), Univ South Bohemia, Fac Sci, Ctr Polar Ecol, Zlate Stoce 3, Ceske Budejovice 37005, Czech Republic.;Elster, J (corresponding author), Inst Bot ASCR, Dukelska 135, Trebon 37982, Czech Republic.</t>
  </si>
  <si>
    <t>josef.elster@ibot.cas.cz</t>
  </si>
  <si>
    <t>Nedbalová, Linda/AAF-1001-2022; Nedbalová, Linda/AFF-8321-2022; Macek, Petr/AAK-7805-2020; Laska, Kamil/L-7875-2013</t>
  </si>
  <si>
    <t>Nedbalová, Linda/0000-0003-1800-714X; Nedbalová, Linda/0000-0003-1800-714X; Macek, Petr/0000-0002-4792-9461; Laska, Kamil/0000-0002-5199-9737; Elster, Josef/0000-0002-4535-5636</t>
  </si>
  <si>
    <t>Ministry of Education, Youth and Sports of the Czech Republic [LM2015078, CZ.02.1.01/0.0/0.0/16_013/0001708 ECOPOLARIS]; Ministry of Education, Youth and Sports of the Czech Republic: Masaryk University [MUNI/A/1370/2014]; Ministry of Education, Youth and Sports of the Czech Republic: Institute of Botany ASCR [RVO 67985939]</t>
  </si>
  <si>
    <t>Ministry of Education, Youth and Sports of the Czech Republic(Ministry of Education, Youth &amp; Sports - Czech Republic); Ministry of Education, Youth and Sports of the Czech Republic: Masaryk University(Ministry of Education, Youth &amp; Sports - Czech Republic); Ministry of Education, Youth and Sports of the Czech Republic: Institute of Botany ASCR</t>
  </si>
  <si>
    <t>This work was funded by the Ministry of Education, Youth and Sports of the Czech Republic: (1) no. LM2015078 Czech Polar Research Infrastructure, (2) no. CZ.02.1.01/0.0/0.0/16_013/0001708 ECOPOLARIS, (3) Masaryk University project no. MUNI/A/1370/2014, and (4) by the institutional long-term research plan no. RVO 67985939 of the Institute of Botany ASCR. We are very grateful to the members of the summer 2008-2009 expeditions at the Johann Gregor Mendel Station for their company and field assistance. Language correction was carried out by Dr. Keith Edwards. We are indebted to three anonymous reviewers and the editor for providing constructive comments, which substantially helped improve the quality of the paper.</t>
  </si>
  <si>
    <t>10.1007/s00300-018-2357-7</t>
  </si>
  <si>
    <t>WOS:000446075800005</t>
  </si>
  <si>
    <t>Xavier, JC; Velez, N; Trathan, PN; Cherel, Y; De Broyer, C; Cánovas, F; Seco, J; Ratcliffe, N; Tarling, GA</t>
  </si>
  <si>
    <t>Xavier, J. C.; Velez, N.; Trathan, P. N.; Cherel, Y.; De Broyer, C.; Canovas, F.; Seco, J.; Ratcliffe, N.; Tarling, G. A.</t>
  </si>
  <si>
    <t>Seasonal prey switching in non-breeding gentoo penguins related to a wintertime environmental anomaly around South Georgia</t>
  </si>
  <si>
    <t>Pygoscelis papua; Southern Ocean; Diet; Antarctic winter; Abnormal environmental conditions</t>
  </si>
  <si>
    <t>KRILL EUPHAUSIA-SUPERBA; ICEFISH CHAMPSOCEPHALUS-GUNNARI; PYGOSCELIS-PAPUA; ANTARCTIC KRILL; THEMISTO-GAUDICHAUDII; POPULATION-DYNAMICS; KERGUELEN-ISLANDS; MACARONI PENGUINS; CLIMATE-CHANGE; EUDYPTES-CHRYSOLOPHUS</t>
  </si>
  <si>
    <t>Information is needed on how anomalous environmental conditions affect important Antarctic ecological sentinels during the winter. Using a non-invasive method (scats), the diet of non-breeding gentoo penguins Pygoscelis papua at Bird Island, South Georgia, was examined during the winter of 2009 when local environmental conditions were abnormal (e.g. warmer sea surface waters). Scats were collected every 2 weeks from May until October 2009 (N = 168); the diet was dominated by the amphipod Themisto gaudichaudii by frequency of occurrence (77.5% of the samples) and by number (70.5% of the total individuals). By mass, different species of crustaceans (T. gaudichaudii and Antarctic krill Euphausia superba) and fish (Champsocephalus gunnari, Lepidonotothen larseni and Pseudochaenichthys georgianus) were the most important in different periods. Numerically, prey switching occurred at the end of winter, when E. superba became more abundant in the penguins' diets in late September and early October (austral spring), when sea surface temperatures became colder. T. gaudichaudii is sub-optimal prey for gentoo penguins and its consumption most likely reflects a lack of E. superba in local waters. The consumption of T. gaudichaudii and fish, in place of E. superba, was probably insufficient for the penguins to maintain a body condition suitable for reproduction, contributing to the observed late commencement of breeding (i.e. 2-3 weeks) that year. Our results highlight the sensitivity of gentoo penguin populations to variations in environmental conditions, particularly in terms of how these conditions affect the availability of preferred dietary items and potential follow-on effects in the subsequent breeding season.</t>
  </si>
  <si>
    <t>[Xavier, J. C.] Univ Coimbra, Marine &amp; Environm Sci MARE UC, P-3001401 Coimbra, Portugal; [Xavier, J. C.; Trathan, P. N.; Ratcliffe, N.; Tarling, G. A.] British Antarctic Survey, High Cross Madingley Rd, Cambridge CB3 0ET, England; [Velez, N.; Canovas, F.] Ctr Ciencias Mar CCMAR, P-8005139 Faro, Portugal; [Cherel, Y.] Univ La Rochelle, Ctr Etud Biol Chize, CNRS, UMR 7372, F-79360 Villiers En Bois, France; [De Broyer, C.] Royal Belgian Inst Nat Sci, OD Taxon &amp; Phylogeny, Rue Vautier 29, B-1000 Brussels, Belgium; [Seco, J.] Univ Aveiro, CESAM, P-3810193 Aveiro, Portugal; [Seco, J.] Univ Aveiro, Dept Chem, P-3810193 Aveiro, Portugal; [Seco, J.] Univ St Andrews, Pelag Ecol Res Grp, Scottish Oceans Inst, St Andrews KY16 8LB, Fife, Scotland</t>
  </si>
  <si>
    <t>Universidade de Coimbra; UK Research &amp; Innovation (UKRI); Natural Environment Research Council (NERC); NERC British Antarctic Survey; La Rochelle Universite; Centre National de la Recherche Scientifique (CNRS); CNRS - Institute of Ecology &amp; Environment (INEE); Royal Belgian Institute of Natural Sciences; Universidade de Aveiro; Universidade de Aveiro; University of St Andrews</t>
  </si>
  <si>
    <t>Xavier, JC (corresponding author), Univ Coimbra, Marine &amp; Environm Sci MARE UC, P-3001401 Coimbra, Portugal.;Xavier, JC (corresponding author), British Antarctic Survey, High Cross Madingley Rd, Cambridge CB3 0ET, England.</t>
  </si>
  <si>
    <t>Seco, José/AAS-4612-2020; Xavier, José/KFB-6739-2024; Velez, Nadja/KEJ-5394-2024; Cánovas, Fernando G/M-3457-2013</t>
  </si>
  <si>
    <t>Seco, José/0000-0002-7957-6488; /0000-0002-9621-6660</t>
  </si>
  <si>
    <t>Fundacao para Ciencia e Tecnologia (Portugal); Investigator FCT program [IF/00616/2013]; FCT [MARE- UID/MAR/04292/2013]; NERC [bas0100035] Funding Source: UKRI</t>
  </si>
  <si>
    <t>Fundacao para Ciencia e Tecnologia (Portugal)(Fundacao para a Ciencia e a Tecnologia (FCT)); Investigator FCT program(Fundacao para a Ciencia e a Tecnologia (FCT)); FCT(Fundacao para a Ciencia e a Tecnologia (FCT)); NERC(UK Research &amp; Innovation (UKRI)Natural Environment Research Council (NERC))</t>
  </si>
  <si>
    <t>We thank Marcella Libertelli (Instituto Antarctico Argentino) for aiding the identification of small otoliths, Peter Ward for identifying zooplankton, Karim Erzini and Ian Staniland for guidance and revision and to Derren Fox, Stacey Adler and Ewan Edwards for supporting collecting the samples. Thank you to the editor Dieter Piepenburg and referees for the excellent contributions in improving the manuscript. This study is a contribution to the programs SCAR AnT-ERA, SCAR EGBAMM, ICED Dynamics and to the PROPOLAR (Programa Polar Portugues). JS was supported by Do*MAR PhD FCT fellowship from Fundacao para Ciencia e Tecnologia (Portugal). JX was supported by the Investigator FCT program (IF/00616/2013). This study benefited from the strategic program of MARE, financed by FCT (MARE- UID/MAR/04292/2013).</t>
  </si>
  <si>
    <t>10.1007/s00300-018-2372-8</t>
  </si>
  <si>
    <t>WOS:000446075800014</t>
  </si>
  <si>
    <t>Mustafa, O; Barbosa, A; Krause, DJ; Peter, HU; Vieira, G; Rümmler, MC</t>
  </si>
  <si>
    <t>Mustafa, Osama; Barbosa, Andres; Krause, Douglas J.; Peter, Hans-Ulrich; Vieira, Goncalo; Ruemmler, Marie-Charlott</t>
  </si>
  <si>
    <t>State of knowledge: Antarctic wildlife response to unmanned aerial systems</t>
  </si>
  <si>
    <t>UAV; UAS; Drone; Survey technologies; Wildlife monitoring; Guidelines</t>
  </si>
  <si>
    <t>The personal, commercial, and scientific use of unmanned aerial systems (UAS) in Antarctica has increased dramatically in recent years. Due to the potential benefits for, and negative impacts to, sensitive Antarctic wildlife, the use of UAS (also called unmanned aerial vehicles (UAV), remotely piloted aircraft systems (RPAS) or drones) is a widely discussed topic. Accordingly, an assessment of the current state of UAS-wildlife response research and recommendations for future work is needed. This paper summarizes recent research and the expert opinion of several national Antarctic science programs in order to support Antarctic conservation policy discussions and inform forthcoming research. It encapsulates the current knowledge on the impact of UAS on Antarctic wildlife and the recommendations of the Action Group (AG) on 'Development of a satellite-based, Antarctic-wide, remote sensing approach to monitor bird and animal populations' of the Scientific Committee on Antarctic Research (SCAR) for the compilation of guidelines.</t>
  </si>
  <si>
    <t>[Mustafa, Osama] Thuringian Inst Sustainabil &amp; Climate Protect, Leutragraben 1, D-07743 Jena, Germany; [Barbosa, Andres] Museo Nacl Ciencias Nat, Madrid, Spain; [Krause, Douglas J.] NOAA, Antarctic Ecosyst Res Div, NMFS, SWFSC, La Jolla, CA USA; [Peter, Hans-Ulrich; Ruemmler, Marie-Charlott] Friedrich Schiller Univ, Inst Ecol &amp; Evolut, Jena, Germany; [Vieira, Goncalo] Univ Lisbon, Ctr Estudos Geog, IGOT, Lisbon, Portugal</t>
  </si>
  <si>
    <t>Consejo Superior de Investigaciones Cientificas (CSIC); CSIC - Museo Nacional de Ciencias Naturales (MNCN); National Oceanic Atmospheric Admin (NOAA) - USA; Friedrich Schiller University of Jena; Universidade de Lisboa</t>
  </si>
  <si>
    <t>Mustafa, O (corresponding author), Thuringian Inst Sustainabil &amp; Climate Protect, Leutragraben 1, D-07743 Jena, Germany.</t>
  </si>
  <si>
    <t>osama.mustafa@think-jena.de</t>
  </si>
  <si>
    <t>Vieira, Goncalo/G-5958-2010; Barbosa, Andrés/C-3208-2008</t>
  </si>
  <si>
    <t>Vieira, Goncalo/0000-0001-7611-3464; Barbosa, Andrés/0000-0001-8434-3649; Krause, Douglas J./0000-0002-2517-3106; Mustafa, Osama/0000-0002-1548-0647</t>
  </si>
  <si>
    <t>10.1007/s00300-018-2363-9</t>
  </si>
  <si>
    <t>WOS:000446075800020</t>
  </si>
  <si>
    <t>Wang, SY; Lu, XC; Cheng, X; Li, XL; Peichl, M; Mammarella, I</t>
  </si>
  <si>
    <t>Wang, Siyu; Lu, Xinchen; Cheng, Xiao; Li, Xianglan; Peichl, Matthias; Mammarella, Ivan</t>
  </si>
  <si>
    <t>Limitations and Challenges of MODIS-Derived Phenological Metrics Across Different Landscapes in Pan-Arctic Regions</t>
  </si>
  <si>
    <t>land surface phenology; remote sensing; pan-Arctic; vegetation index; solar-induced fluorescence</t>
  </si>
  <si>
    <t>LAND-SURFACE PHENOLOGY; INDUCED CHLOROPHYLL FLUORESCENCE; DECIDUOUS BROADLEAF FOREST; SUN-INDUCED FLUORESCENCE; NDVI TIME-SERIES; VEGETATION INDEX; GROWING-SEASON; CANOPY PHOTOSYNTHESIS; SPRING PHENOLOGY; SNOW-COVER</t>
  </si>
  <si>
    <t>Recent efforts have been made to monitor the seasonal metrics of plant canopy variations globally from space, using optical remote sensing. However, phenological estimations based on vegetation indices (VIs) in high-latitude regions such as the pan-Arctic remain challenging and are rarely validated. Nevertheless, pan-Arctic ecosystems are vulnerable and also crucial in the context of climate change. We reported the limitations and challenges of using MODerate-resolution Imaging Spectroradiometer (MODIS) measurements, a widely exploited set of satellite measurements, to estimate phenological transition dates in pan-Arctic regions. Four indices including normalized vegetation difference index (NDVI), enhanced vegetation index (EVI), phenology index (PI), plant phenological index (PPI) and a MODIS Land Cover Dynamics Product MCD12Q2, were evaluated and compared against eddy covariance (EC) estimates at 11 flux sites of 102 site-years during the period from 2000 to 2014. All the indices were influenced by snow cover and soil moisture during the transition dates. While relationships existed between VI-based and EC-estimated phenological transition dates, the R-2 values were generally low (0.01-0.68). Among the VIs, PPI-estimated metrics showed an inter-annual pattern that was mostly closely related to the EC-based estimations. Thus, further studies are needed to develop region-specific indices to provide more reliable estimates of phenological transition dates.</t>
  </si>
  <si>
    <t>[Wang, Siyu; Lu, Xinchen; Cheng, Xiao; Li, Xianglan] Beijing Normal Univ, Coll Global Change &amp; Earth Syst Sci, State Key Lab Remote Sensing Sci, Beijing 100875, Peoples R China; [Cheng, Xiao; Li, Xianglan] Beijing Normal Univ, Joint Ctr Global Change &amp; China Green Dev, Beijing 100875, Peoples R China; [Peichl, Matthias] Swedish Univ Agr Sci, Dept Forest Ecol &amp; Management, S-90183 Umea, Sweden; [Mammarella, Ivan] Univ Helsinki, Fac Sci, Inst Atmospher &amp; Earth Syst Res Phys, FIN-00014 Helsinki, Finland</t>
  </si>
  <si>
    <t>Beijing Normal University; Beijing Normal University; Swedish University of Agricultural Sciences; University of Helsinki</t>
  </si>
  <si>
    <t>Cheng, X; Li, XL (corresponding author), Beijing Normal Univ, Coll Global Change &amp; Earth Syst Sci, State Key Lab Remote Sensing Sci, Beijing 100875, Peoples R China.;Cheng, X; Li, XL (corresponding author), Beijing Normal Univ, Joint Ctr Global Change &amp; China Green Dev, Beijing 100875, Peoples R China.</t>
  </si>
  <si>
    <t>siyuwang@mail.bnu.edu.cn; xclyu@mail.bnu.edu.cn; xcheng@bnu.edu.cn; xlli@bnu.edu.cn; Matthias.Peichl@slu.se; ivan.mammarella@helsinki.fi</t>
  </si>
  <si>
    <t>Mammarella, Ivan/AAP-5775-2020; Peichl, Matthias/A-2087-2014</t>
  </si>
  <si>
    <t>Mammarella, Ivan/0000-0002-8516-3356; Lu, Xinchen/0000-0001-5397-1714; Peichl, Matthias/0000-0002-9940-5846; Cheng, Xiao/0000-0001-6910-6565</t>
  </si>
  <si>
    <t>National Key R&amp;D Program of China [2017YFF0205306]; Chinese Arctic and Antarctic Administration, National Natural Science Foundation of China; Chinese Polar Environment Comprehensive Investigation, Assessment Program [41676176, 41676182]; Fundamental Research Funds for the Central Universities [312231103]</t>
  </si>
  <si>
    <t>National Key R&amp;D Program of China; Chinese Arctic and Antarctic Administration, National Natural Science Foundation of China; Chinese Polar Environment Comprehensive Investigation, Assessment Program; Fundamental Research Funds for the Central Universities(Fundamental Research Funds for the Central Universities)</t>
  </si>
  <si>
    <t>This research was supported by the National Key R&amp;D Program of China (No. 2017YFF0205306) and by the Chinese Arctic and Antarctic Administration, National Natural Science Foundation of China, the Chinese Polar Environment Comprehensive Investigation, Assessment Program (Grant No. 41676176 and No. 41676182). This research was also supported by the Fundamental Research Funds for the Central Universities (Grant No. 312231103).</t>
  </si>
  <si>
    <t>10.3390/rs10111784</t>
  </si>
  <si>
    <t>WOS:000451733800115</t>
  </si>
  <si>
    <t>Kannan, VM; Nimy, KAT; Gopikrishna, VG; Rakesh, PS; Krishnan, KP; Mohan, M</t>
  </si>
  <si>
    <t>Kannan, V. M.; Nimy, K. A. Treasa; Gopikrishna, V. G.; Rakesh, P. S.; Krishnan, K. P.; Mohan, Mahesh</t>
  </si>
  <si>
    <t>Zooplankton diversity in Kongsfjord, Svalbard, Arctic</t>
  </si>
  <si>
    <t>TROPICAL ECOLOGY</t>
  </si>
  <si>
    <t>Biota; Fjord; plankton; Polar</t>
  </si>
  <si>
    <t>Climate change may affect the pattern of distribution and diversity of aquatic organism around the world and polar ecosystems are not distinct. Kongsfjord, a glacial fjord in Svalbard, is an international reference site for climate change studies in the Arctic. The present work investigated the taxonomical characteristics of zooplanktons and benthos from Kongsfjord. Zooplankton groups were came under four phyla (Cnidaria, Arthropoda, Mollusca and Chaetognatha) with a number of species. The population count analysis showed a high abundance of copepods followed by amphipods. The present study identified the boreal species along with the Arctic species, indicating the influx of Atlantic water mass which is hot compare to Arctic water. More studies are needed to find out the changes in distribution and diversity of zooplanktons due to changing climate.</t>
  </si>
  <si>
    <t>[Kannan, V. M.; Nimy, K. A. Treasa; Gopikrishna, V. G.; Mohan, Mahesh] Mahatma Gandhi Univ, Sch Environm Sci, Kottayam 686560, Kerala, India; [Rakesh, P. S.] Natl Inst Oceanog, Mumbai, Maharashtra, India; [Krishnan, K. P.] Natl Ctr Antarctic &amp; Ocean Res, Vasco Da Gama, Goa, India</t>
  </si>
  <si>
    <t>Mahatma Gandhi University, Kerala; Council of Scientific &amp; Industrial Research (CSIR) - India; CSIR - National Institute of Oceanography (NIO); Ministry of Earth Sciences (MoES) - India; National Centre for Polar and Ocean Research (NCPOR)</t>
  </si>
  <si>
    <t>Mohan, M (corresponding author), Mahatma Gandhi Univ, Sch Environm Sci, Kottayam 686560, Kerala, India.</t>
  </si>
  <si>
    <t>maheshmohan@mgu.ac.in</t>
  </si>
  <si>
    <t>VadakkadathMeethal Meethal, Kannan/JYP-8855-2024; G, G/JGM-5192-2023; P, Krishnan K/ABF-8783-2020; g, g/JWP-4243-2024; Mohan, Mahesh/C-3076-2011</t>
  </si>
  <si>
    <t>VadakkadathMeethal Meethal, Kannan/0000-0003-2974-3724;</t>
  </si>
  <si>
    <t>Department of Science and Technology</t>
  </si>
  <si>
    <t>Department of Science and Technology(Department of Science &amp; Technology (India))</t>
  </si>
  <si>
    <t>Authors acknowledge the logistic support from National Centre for Antarctic and Ocean Research (NCAOR), Goa as part of Indian Arctic Expedition. Authors also acknowledge Department of Science and Technology for support given through FIST, PURSE and INSPIRE scheme.</t>
  </si>
  <si>
    <t>SCIENTIFIC PUBLISHERS</t>
  </si>
  <si>
    <t>JODHPUR</t>
  </si>
  <si>
    <t>5A, NEW PALI RD, JODHPUR, RAJASTHAN 342 001, INDIA</t>
  </si>
  <si>
    <t>0564-3295</t>
  </si>
  <si>
    <t>2661-8982</t>
  </si>
  <si>
    <t>TROP ECOL</t>
  </si>
  <si>
    <t>Trop. Ecol.</t>
  </si>
  <si>
    <t>VJ0XU</t>
  </si>
  <si>
    <t>WOS:000532450700013</t>
  </si>
  <si>
    <t>Choquet, A; Faure, C; Danto, A; Maze, C</t>
  </si>
  <si>
    <t>Choquet, Anne; Faure, Chloe; Danto, Anatole; Maze, Camille</t>
  </si>
  <si>
    <t>Governing the Southern Ocean: The science-policy interface as thorny issue</t>
  </si>
  <si>
    <t>ENVIRONMENTAL SCIENCE &amp; POLICY</t>
  </si>
  <si>
    <t>Southern ocean; Antarctic; French subantarctic territories; Environmental management; Fisheries management; Long term ecological research</t>
  </si>
  <si>
    <t>INTERNATIONAL GEOPHYSICAL YEAR; RESEARCH LTER NETWORK; ENVIRONMENTAL-PROTECTION; ANTARCTIC TREATY; CONSERVATION; COMMITTEE; IMPLEMENTATION; CHALLENGES; MANAGEMENT; TOURISM</t>
  </si>
  <si>
    <t>The Southern Ocean is a unique ecosystem with highly coveted marine resources. It includes the largest marine protected area anywhere, with management spread across national jurisdictions and a number of international bodies and cooperative arrangements. The area has local, national and international stakeholders with interests in an array of activities, such as fishing, tourism and scientific research. This article sheds light on the linkages between climate change and governance of Southern Ocean marine territories. It unravels the complexity of governing this marine region, in the process looking at biodiversity conservation, exploitation of resources and military activities. Using socio-historic analysis and ethnographic observation, it examines multiple decision-making areas, institutions, groups and actors. Issues examined in this artice include marine protected areas, fisheries management and environmental impacts of melting Antarctic ice and French subantarctic territories. These issues are viewed through the prisms of knowledge and policy - a knowledge-policy interface. Case studies highlight the interactions between human activities and climate change in Southern Ocean ecosystems. Real-world examples illustrate the governance of marine ecosystems and resources and demonstrate adaptations to environmental changes already affecting sub-Antarctic societies.</t>
  </si>
  <si>
    <t>[Choquet, Anne] Brest Business Sch, 2 Ave Provence, F-29200 Brest, France; [Choquet, Anne; Maze, Camille] European Inst Marine Studies IUEM, AMURE, Ctr Law &amp; Econ Sea, UMR 6308, Plouzane, France; [Faure, Chloe] AgroParisTech, Inst Sci &amp; Ind Vivant &amp; Environm, Paris, France; [Danto, Anatole] Univ Rennes, IEP Rennes, CNRS, ARENES Ctr Res Polit Act Europe,UMR 6051, F-35000 Rennes, France; [Faure, Chloe; Danto, Anatole; Maze, Camille] RTPi ApoliMer CNRS INEE, European Inst Marine Studies IUEM, CNRS, LEMAR Marine Environm Sci Lab,UMR 6539, F-29280 Plouzane, France; [Faure, Chloe; Danto, Anatole; Maze, Camille] CNRS, LEMAR Marine Environm Sci Lab, UMR 6539, F-29280 Plouzane, France; [Maze, Camille] LTSER France, Zone Atelier Brest Iroise, Plouzane, France</t>
  </si>
  <si>
    <t>Universite de Bretagne Occidentale; Institut Universitaire Europeen de la Mer (IUEM); Centre National de la Recherche Scientifique (CNRS); CNRS - Institute of Ecology &amp; Environment (INEE); Ifremer; AgroParisTech; Universite de Rennes; Centre National de la Recherche Scientifique (CNRS); CNRS - Institute for Humanities &amp; Social Sciences (INSHS); Centre National de la Recherche Scientifique (CNRS); CNRS - Institute of Ecology &amp; Environment (INEE); Universite de Bretagne Occidentale; Institut Universitaire Europeen de la Mer (IUEM); Ifremer; Institut de Recherche pour le Developpement (IRD); Centre National de la Recherche Scientifique (CNRS); Ifremer; Institut de Recherche pour le Developpement (IRD); CNRS - Institute of Ecology &amp; Environment (INEE); Universite de Bretagne Occidentale</t>
  </si>
  <si>
    <t>Choquet, A (corresponding author), Brest Business Sch, 2 Ave Provence, F-29200 Brest, France.</t>
  </si>
  <si>
    <t>anne.choquet@brest-bs.com; chloe.faure@agroparistech.fr; anatole.danto@orange.fr; camille.maze@univ-brest.fr</t>
  </si>
  <si>
    <t>Choquet, Anne/N-2874-2016; Danto, Anatole/P-5270-2018</t>
  </si>
  <si>
    <t>Choquet, Anne/0000-0003-4221-320X; Maze, Camille/0000-0001-7451-8310; Danto, Anatole/0000-0003-2383-9143</t>
  </si>
  <si>
    <t>LTSER-France Zones Ateliers; ZATA; ZABrI; Interdisciplinary Mission of the CNRS</t>
  </si>
  <si>
    <t>The authors thank the French CNRS (INEE) through the funding of the LTSER-France Zones Ateliers and in particular the ZATA and ZABrI. This article is a contribution to the SPA project, funded by the Interdisciplinary Mission of the CNRS. Special thanks to Marc Lebouvier, Thomas Saucede, Jacques Labonne and Jean-Patrice Robin from the ZATA and to Olivier Ragueneau from the ZABrI for their informations and careful reading of the manuscript.</t>
  </si>
  <si>
    <t>1462-9011</t>
  </si>
  <si>
    <t>1873-6416</t>
  </si>
  <si>
    <t>ENVIRON SCI POLICY</t>
  </si>
  <si>
    <t>Environ. Sci. Policy</t>
  </si>
  <si>
    <t>10.1016/j.envsci.2018.06.017</t>
  </si>
  <si>
    <t>GX2OB</t>
  </si>
  <si>
    <t>WOS:000447557600003</t>
  </si>
  <si>
    <t>Martínez, D; Vargas-Lagos, C; Oyarzún, R; Loncoman, CA; Pontigo, JP; Yáñez, AJ; Vargas-Chacoff, L</t>
  </si>
  <si>
    <t>Martinez, D.; Vargas-Lagos, C.; Oyarzun, R.; Loncoman, C. A.; Pontigo, J. P.; Yanez, A. J.; Vargas-Chacoff, L.</t>
  </si>
  <si>
    <t>Temperature modulates the immunological response of the sub-antarctic notothenioid fish Eleginops maclovinus injected with Piscirickettsia salmonis</t>
  </si>
  <si>
    <t>FISH &amp; SHELLFISH IMMUNOLOGY</t>
  </si>
  <si>
    <t>Eleginops maclovinus; Immune system; Sub-antarctic notothenioid; Gene expression; Thermal stress; Piscirickettsia salmonis</t>
  </si>
  <si>
    <t>CATFISH ICTALURUS-PUNCTATUS; MONOCYTE-LIKE CELLS; RAINBOW-TROUT; IMMUNE-RESPONSE; MOLECULAR CHARACTERIZATION; GENETIC-CHARACTERIZATION; EXPRESSION ANALYSIS; SUBFAMILY MEMBERS; PATHOGEN; CARP</t>
  </si>
  <si>
    <t>Eleginops maclovinus is a eurythermic fish that under natural conditions lives in environments with temperatures ranging from 4 to 18 degrees C and can be usually captured near salmon farming areas. The aim of this study was to evaluate the effect of temperature over the innate and adaptive immune response of E. maclovinus challenged with Piscirickettsia salmonis following different treatments: C- (control injection with culture medium at 12 degrees C), C+ (bacterial injection at 12 degrees C), 18 degrees C c/A + B (injection with culture medium in acclimation at 18 degrees C), 18 degrees C c/A + B (bacterial injection in acclimation at 18 degrees C), 18 degrees C s/A + M (injection with culture medium without acclimation at 18 degrees C) and 18 degrees C s/A + B (bacterial injection without acclimation at 18 degrees C). Each injection had 100 mu L of culture medium or with 100 mu L at a concentration 1 x 10(8) of live bacteria, sampling six fish per group at 4, 8, 12, 16 and 20 days post-injection (dpi). Expression of the mRNA related with the innate immune response gene (TLR1, TLR5, TLR8, NLRC3, NLRC5, MyD88 and IL-1 beta) as well as the adaptive immune response gene (MHCI, MHCII, IgMs and IgD) were measured in spleen and head kidney. Gene expression profiles were treatment-type and time dependent. Levels of Immunoglobulin M (IgM) increased in challenged groups with P. salmonis from day 8-20 post challenge, which suggest activation of B cells IgM + through P. salmonis epitope detection. Additionally, a rise in temperature from 12 degrees C (C+) to 18 degrees C (with/without acclimation) also resulted in antibody increment detected in serum with significant differences between 18 degrees C c/A + B and 18 degrees C s/A + B groups. This is the first study that evaluates the effect of temperature changes and mRNA expression related with immune system gene over time on E. maclovinus, a native wild life fish that cohabits in the salmon farming environment.</t>
  </si>
  <si>
    <t>[Martinez, D.; Vargas-Lagos, C.; Oyarzun, R.; Pontigo, J. P.; Vargas-Chacoff, L.] Univ Austral Chile, Lab Fisiol Peces, Inst Ciencias Marinas &amp; Limnol, Valdivia, Chile; [Martinez, D.; Oyarzun, R.] Univ Austral Chile, Escuela Grad, Programa Doctorado Ciencias Acuicultura 16A, Ave Pinos S-N Balneario Pelluco, Puerto Montt, Chile; [Martinez, D.; Vargas-Lagos, C.; Oyarzun, R.; Vargas-Chacoff, L.] Univ Austral Chile, Ctr Fondap Invest Altas Latitudes IDEAL, Casilla 567, Valdivia, Chile; [Vargas-Lagos, C.] Univ Austral Chile, Escuela Grad, Programa Magister Microbiol, Valdivia, Chile; [Yanez, A. J.] Univ Austral Chile, Ctr Fondap Interdisciplinary Ctr Aquaculture Res, Valdivia, Chile; [Yanez, A. J.] Univ Austral Chile, Inst Bioquim &amp; Microbiol, Valdivia, Chile; [Loncoman, C. A.] Univ Melbourne, Fac Vet Sci, Asia Pacific Ctr Anim Hlth, Melbourne, Vic, Australia; [Loncoman, C. A.] Univ Austral Chile, Fac Vet Sci, Inst Pharmacol &amp; Morphophysiol, Appl Biochem Lab, Valdivia, Chile</t>
  </si>
  <si>
    <t>Universidad Austral de Chile; Universidad Austral de Chile; Universidad Austral de Chile; Universidad Austral de Chile; Universidad Austral de Chile; Universidad Austral de Chile; Melbourne Genomics Health Alliance; University of Melbourne; Universidad Austral de Chile</t>
  </si>
  <si>
    <t>Martínez, D; Vargas-Chacoff, L (corresponding author), Univ Austral Chile, Lab Fisiol Peces, Inst Ciencias Marinas &amp; Limnol, Valdivia, Chile.</t>
  </si>
  <si>
    <t>danixapamela@gmail.com; luis.vargas@uach.cl</t>
  </si>
  <si>
    <t>Pontigo, Juan Pablo/AAS-2367-2021; Vargas-Chacoff, Luis LVCh/A-5855-2012; Oyarzún-Salazar, Ricardo/HGU-6035-2022; Loncoman, Carlos/AAE-6481-2020</t>
  </si>
  <si>
    <t>Pontigo, Juan Pablo/0000-0003-0084-0862; Loncoman, Carlos/0000-0002-4321-8873; MARTINEZ GONZALEZ, DANIXA PAMELA/0000-0002-7363-419X; Oyarzun-Salazar, Ricardo/0000-0003-3177-399X; Vargas-Chacoff, Luis/0000-0002-0497-2582</t>
  </si>
  <si>
    <t>DID; UACH; Fondap-Ideal Grant [15150003]; Fondecyt Regular Grant [1160877]; Comision Nacional de Investigacion Cientifica y Tecnologica (CONICYT)</t>
  </si>
  <si>
    <t>DID; UACH; Fondap-Ideal Grant; Fondecyt Regular Grant(Comision Nacional de Investigacion Cientifica y Tecnologica (CONICYT)CONICYT FONDECYT); Comision Nacional de Investigacion Cientifica y Tecnologica (CONICYT)(Comision Nacional de Investigacion Cientifica y Tecnologica (CONICYT))</t>
  </si>
  <si>
    <t>This work was financed by DID, UACH, Fondap-Ideal Grant No. 15150003 and Fondecyt Regular Grant No. 1160877. D. Martinez received financial support from a national doctoral scholarship awarded by the Comision Nacional de Investigacion Cientifica y Tecnologica (CONICYT).</t>
  </si>
  <si>
    <t>1050-4648</t>
  </si>
  <si>
    <t>1095-9947</t>
  </si>
  <si>
    <t>FISH SHELLFISH IMMUN</t>
  </si>
  <si>
    <t>Fish Shellfish Immunol.</t>
  </si>
  <si>
    <t>10.1016/j.fsi.2018.08.042</t>
  </si>
  <si>
    <t>Fisheries; Immunology; Marine &amp; Freshwater Biology; Veterinary Sciences</t>
  </si>
  <si>
    <t>GX2SY</t>
  </si>
  <si>
    <t>WOS:000447571600055</t>
  </si>
  <si>
    <t>Zmarz, A; Rodzewicz, M; Dabski, M; Karsznia, I; Korczak-Abshire, M; Chwedorzewska, KJ</t>
  </si>
  <si>
    <t>Zmarz, Anna; Rodzewicz, Miroslaw; Dabski, Maciej; Karsznia, Izabela; Korczak-Abshire, Malgorzata; Chwedorzewska, Katarzyna J.</t>
  </si>
  <si>
    <t>Application of UAV BVLOS remote sensing data for multi-faceted analysis of Antarctic ecosystem</t>
  </si>
  <si>
    <t>UAV BVLOS operation; Photogrammetry; Biological mapping; Geomorphological mapping; South Shetland Islands; Antarctic region</t>
  </si>
  <si>
    <t>SOUTH SHETLAND ISLANDS; KING-GEORGE-ISLAND; UNMANNED AERIAL VEHICLES; PENGUIN ISLAND; WEST ANTARCTICA; GENETIC-VARIABILITY; PENINSULA REGION; AIRCRAFT SYSTEMS; AD,LIE PENGUINS; MOSS BEDS</t>
  </si>
  <si>
    <t>A photogrammetric flight was performed in December 2016 as BVLOS (Beyond Visual Line of Sight) operation over Penguin Island (South Shetland Islands, Western Antarctica). Images were taken by the PW-ZOOM fixed wing UAV equipped with a digital SLR Canon 700D camera. The flight was performed at 550 m ASL and covered a total distance of 231.58 km. The plane take-off and landing site was near the H. Arctowski Polish Antarctic Station (Arctowski) on King George Island, South Shetlands. The main aim of the mission was to collect environmental data to estimate the size of penguin and pinniped breeding populations and to map vegetation cover and landforms. The plane returned to Arctowski with 1630 images of Penguin Island with the ground sample distance (GSD) lower than 0.07 m. The analysis of developed ortophoto allowed us to locate and identify individuals of two penguin species (Adelie and chinstrap), and individuals of two species of pinnipeds (Southern elephant seal and Weddell seal). Three types of tundra communities were mapped together with numerous landforms such as: volcanic, mass movement, fluvial, coastal and aeolian ones. The UAV BVLOS photogrammetric operation proved to be very robust in gathering valuable qualitative and quantitative data necessary for monitoring distant and isolated polar environments.</t>
  </si>
  <si>
    <t>[Zmarz, Anna; Karsznia, Izabela] Univ Warsaw, Fac Geog &amp; Reg Studies, Dept Geoinformat Cartog &amp; Remote Sensing, Krakowskie Przedmiescie 30, PL-00927 Warsaw, Poland; [Rodzewicz, Miroslaw] Warsaw Univ Technol, Fac Power &amp; Aeronaut Engn, Inst Aeronaut &amp; Appl Mech, Nowowiejska 24, PL-00665 Warsaw, Poland; [Dabski, Maciej] Univ Warsaw, Fac Geog &amp; Reg Studies, Dept Geomorphol, Krakowskie Przechnielcie 30, PL-00927 Warsaw, Poland; [Korczak-Abshire, Malgorzata; Chwedorzewska, Katarzyna J.] Polish Acad Sci, Inst Biochem &amp; Biophys, Pawinskiego 5a, PL-02106 Warsaw, Poland; [Chwedorzewska, Katarzyna J.] Warsaw Univ Life Sci SGGW, Dept Agron, Nowoursynowska 159, PL-02766 Warsaw, Poland</t>
  </si>
  <si>
    <t>University of Warsaw; Warsaw University of Technology; University of Warsaw; Polish Academy of Sciences; Institute of Biochemistry &amp; Biophysics - Polish Academy of Sciences; Warsaw University of Life Sciences</t>
  </si>
  <si>
    <t>Zmarz, A (corresponding author), Univ Warsaw, Fac Geog &amp; Reg Studies, Dept Geoinformat Cartog &amp; Remote Sensing, Krakowskie Przedmiescie 30, PL-00927 Warsaw, Poland.</t>
  </si>
  <si>
    <t>azmarz@uw.edu.pl</t>
  </si>
  <si>
    <t>Korczak-Abshire, Malgorzata/AAA-1563-2020; Dąbski, Maciej/AAY-7184-2020; Chwedorzewska, Katarzyna/M-9721-2019; Karsznia, Izabela/W-8042-2019; Rodzewicz, Miroslaw/ABD-7241-2020; Chwedorzewska, Katarzyna J/A-9480-2008; Zmarz, Anna/T-9548-2018</t>
  </si>
  <si>
    <t>Korczak-Abshire, Malgorzata/0000-0001-7695-0588; Chwedorzewska, Katarzyna/0000-0001-6860-3666; Rodzewicz, Miroslaw/0000-0003-1424-8624; Dabski, Maciej/0000-0003-1018-9639; Karsznia, Izabela/0000-0001-5510-8770; Zmarz, Anna/0000-0001-5846-4017</t>
  </si>
  <si>
    <t>The research was conducted as part of the project A novel approach to monitoring the impact of climate change on Antarctic ecosystems (MONICA) funded by the Polish-Norwegian Research Programme operated by the National Centre for Research and Development under the Norwegian Financial Mechanism 2009-2014 in the frame of Project Contract No. 197810. Gracious thanks are directed to Dr Anna Kidawa for help in preparing permit documentation to conduct research on KGI, Adam Tomaszewski and Pawel Kusidel for UAV operating and service, and all the other members involved in the implementation of MONICA project for their various and complex support. The data used in the paper were collected at the Henryk Arctowski Polish Antarctic Station. The authors thank the editor and anonymous reviewers for constructive comments on the original version of the article.</t>
  </si>
  <si>
    <t>10.1016/j.rse.2018.08.031</t>
  </si>
  <si>
    <t>GX2SR</t>
  </si>
  <si>
    <t>WOS:000447570900028</t>
  </si>
  <si>
    <t>Leiva, C; Riesgo, A; Avila, C; Rouse, GW; Taboada, S</t>
  </si>
  <si>
    <t>Leiva, Carlos; Riesgo, Ana; Avila, Conxita; Rouse, Greg W.; Taboada, Sergi</t>
  </si>
  <si>
    <t>Population structure and phylogenetic relationships of a new shallow-water Antarctic phyllodocid annelid</t>
  </si>
  <si>
    <t>ZOOLOGICA SCRIPTA</t>
  </si>
  <si>
    <t>SOUTHERN-OCEAN; MITOCHONDRIAL LINEAGES; GENETIC-STRUCTURE; ICE-SHEET; POLYCHAETA; DISPERSAL; BRANSFIELD; SOFTWARE; PATTERNS; INVERTEBRATES</t>
  </si>
  <si>
    <t>Shallow-water polychaetes are abundant and diverse components of the Southern Ocean benthic communities, and although they have been widely studied, new species that are relatively common are still discovered. Here, we report the discovery of Pterocirrus giribeti sp. n., a new and abundant intertidal and upper-subtidal Antarctic phyllodocid. To establish the phylogenetic relationships of the new species, we sequenced two nuclear (18S and 28S) and two mitochondrial (COI and 16S) markers. Although the phylogenetic relationships obtained for the family Phyllodocidae were not fully resolved, we assigned our new phyllodocid to the genus Pterocirrus based on both its phylogenetic position and its morphological characters. Using COI and 16S sequences of 126 and 118 individuals, respectively, from eight populations across the South Shetland Islands and the Antarctic Peninsula, we also investigated the genetic diversity and gene flow patterns of this new species. Our results suggested that all populations were panmictic, likely due to the presence of planktotrophic larvae allowing long-distance dispersal. Interestingly, some genetic substructure was detected despite panmixis, and we identified a semipermeable barrier coinciding with an oceanic front produced by the intrusion into the Bransfield Strait of a tongue of water from the Weddell Sea. This front produced signatures of differentiation on populations at the tip of the West Antarctic Peninsula. Moreover, our results indicated a recent demographic expansion throughout the sampled area, in agreement with the glacial refugium hypothesis stated for other Antarctic shallow-water invertebrates.</t>
  </si>
  <si>
    <t>[Leiva, Carlos] Univ Barcelona, Fac Biol, Dept Genet Microbiol &amp; Stat, Av Diagonal 643, E-08028 Barcelona, Spain; [Leiva, Carlos; Riesgo, Ana; Taboada, Sergi] Nat Hist Museum London, Dept Life Sci, London, England; [Avila, Conxita] Univ Barcelona, Fac Biol, Dept Evolutionary Biol Ecol &amp; Environm Sci, Barcelona, Spain; [Rouse, Greg W.] Scripps Inst Oceanog, MBRD, La Jolla, CA USA; Univ Barcelona, Barcelona, Spain</t>
  </si>
  <si>
    <t>University of Barcelona; Natural History Museum London; University of Barcelona; University of California System; University of California San Diego; Scripps Institution of Oceanography; University of Barcelona</t>
  </si>
  <si>
    <t>Leiva, C (corresponding author), Univ Barcelona, Fac Biol, Dept Genet Microbiol &amp; Stat, Av Diagonal 643, E-08028 Barcelona, Spain.</t>
  </si>
  <si>
    <t>cleivama@gmail.com</t>
  </si>
  <si>
    <t>Leiva, Carlos/ACB-7534-2022; Rouse, Greg W/F-2611-2010; Taboada, Sergi/AAB-9390-2021; Riesgo, Ana/E-3341-2014; Rouse, Gregory/AAW-1494-2021; Avila, Conxita/B-9466-2008</t>
  </si>
  <si>
    <t>Rouse, Greg W/0000-0001-9036-9263; Taboada, Sergi/0000-0003-1669-1152; Riesgo, Ana/0000-0002-7993-1523; Rouse, Gregory/0000-0001-9036-9263; Avila, Conxita/0000-0002-5489-8376</t>
  </si>
  <si>
    <t>Spanish Ministry of Economy and Competitiveness [CGL2007-65453/ANT, CTM2010-17415/ANT, CTM2013-42667/ANT]; Natural History Museum [SDF14032]</t>
  </si>
  <si>
    <t>Spanish Ministry of Economy and Competitiveness(Spanish Government); Natural History Museum</t>
  </si>
  <si>
    <t>Spanish Ministry of Economy and Competitiveness, Grant/Award Number: CGL2007-65453/ANT, CTM2010-17415/ANT and CTM2013-42667/ANT; Natural History Museum, Grant/Award Number: SDF14032</t>
  </si>
  <si>
    <t>0300-3256</t>
  </si>
  <si>
    <t>1463-6409</t>
  </si>
  <si>
    <t>ZOOL SCR</t>
  </si>
  <si>
    <t>Zool. Scr.</t>
  </si>
  <si>
    <t>10.1111/zsc.12313</t>
  </si>
  <si>
    <t>Evolutionary Biology; Zoology</t>
  </si>
  <si>
    <t>GX2NZ</t>
  </si>
  <si>
    <t>WOS:000447557400008</t>
  </si>
  <si>
    <t>Ye, M; Li, F; Yan, JG; Barriot, JP; Hao, WF; Jin, WT; Yang, X</t>
  </si>
  <si>
    <t>Ye, Mao; Li, Fei; Yan, Jianguo; Barriot, Jean-Pierre; Hao, Weifeng; Jin, Weitong; Yang, Xuan</t>
  </si>
  <si>
    <t>The precise positioning of lunar farside lander using a four-way lander-orbiter relay tracking mode</t>
  </si>
  <si>
    <t>Lunar farside; Lander positioning; Precise orbit determination; Four-way relay tracking; Chang'E-4</t>
  </si>
  <si>
    <t>MISSION CONCEPT; EXPLORATION; CHANGE-3; SCIENCE</t>
  </si>
  <si>
    <t>China is planning to land a spacecraft on the farside of the Moon, a premiere, by 2018. In essence, the traditional tracking modes, based on direct visibility, cannot operate for the lunar farside lander tracking, and therefore a relay satellite, visible at the same time by both the lander and the Earth, will be required, operating in the so-called four-way mode (Earth-relay satellite-lander-relay satellite-Earth). In this paper, we firstly give the mathematical formulation of the four-way relay tracking mode and of its partial derivatives with respect to the relevant parameters, implemented in our POD software WUDOGS (Wuhan University Deep-space Orbit determination and Gravity recovery System). In a second step, in simulation mode, we apply this relay mode to determining lander coordinates, which are absolutely needed for a sample return mission, or to add constraints on rotation models of the Moon. The results show that with Doppler measurements at a 0.1 mm/s error level, the positioning of the farside lander could be done at centimeters level (1-d) in the case of a circumlunar relay satellite; and at a 5 meters level (1-d) in the case of a Lagrange point (L2) Halo relay satellite.</t>
  </si>
  <si>
    <t>[Ye, Mao; Li, Fei; Yan, Jianguo; Jin, Weitong; Yang, Xuan] Wuhan Univ, State Key Lab Informat Engn Surveying Mapping &amp; R, 129 Luoyu Rd, Wuhan 430070, Hubei, Peoples R China; [Ye, Mao] Chinese Acad Sci, Shanghai Key Lab Space Nav &amp; Positioning Tech, 80 Nandan Rd, Shanghai 200030, Peoples R China; [Ye, Mao; Barriot, Jean-Pierre] Univ French Polynesia, Observ Geodes Tahiti, BP 6570, F-98702 Tahiti, French Polynesi, France; [Li, Fei; Hao, Weifeng] Wuhan Univ, Chinese Antarctic Ctr Surveying &amp; Mapping, 129 Luoyu Rd, Wuhan 430079, Hubei, Peoples R China</t>
  </si>
  <si>
    <t>Wuhan University; Chinese Academy of Sciences; Wuhan University</t>
  </si>
  <si>
    <t>Li, F (corresponding author), Wuhan Univ, State Key Lab Informat Engn Surveying Mapping &amp; R, 129 Luoyu Rd, Wuhan 430070, Hubei, Peoples R China.;Li, F (corresponding author), Wuhan Univ, Chinese Antarctic Ctr Surveying &amp; Mapping, 129 Luoyu Rd, Wuhan 430079, Hubei, Peoples R China.</t>
  </si>
  <si>
    <t>fli@whu.edu.cn</t>
  </si>
  <si>
    <t>Barriot, Jean-Pierre/AAD-6709-2021</t>
  </si>
  <si>
    <t>Barriot, Jean-Pierre/0000-0002-2112-9685</t>
  </si>
  <si>
    <t>National Scientific Foundation of China [41604004, 41804025, 41874010]; Innovation Group of Natural Fund of Hubei Province [2015CFA011, 2018CFA087]; Shanghai Key Laboratory of Space Navigation and Positioning Techniques [KFKT_201703]; China Postdoctoral Science Foundation [2016M602360]</t>
  </si>
  <si>
    <t>National Scientific Foundation of China(National Natural Science Foundation of China (NSFC)); Innovation Group of Natural Fund of Hubei Province; Shanghai Key Laboratory of Space Navigation and Positioning Techniques; China Postdoctoral Science Foundation(China Postdoctoral Science Foundation)</t>
  </si>
  <si>
    <t>This research is supported by National Scientific Foundation of China (Grant Nos. 41604004,41804025,41874010), Innovation Group of Natural Fund of Hubei Province (Grant Nos. 2015CFA011 and 2018CFA087), the Opening Project of Shanghai Key Laboratory of Space Navigation and Positioning Techniques (No. KFKT_201703), and China Postdoctoral Science Foundation (Grant No. 2016M602360). Jean-Pierre Barriot is founded by the French Space Agency (CNES), through a Decision d'aide a la Recherche. The anonymous reviewers are highly acknowledged for their constructive comments which improved the quality of this paper.</t>
  </si>
  <si>
    <t>10.1007/s10509-018-3421-z</t>
  </si>
  <si>
    <t>GX1QI</t>
  </si>
  <si>
    <t>WOS:000447492300002</t>
  </si>
  <si>
    <t>Montarroyos, DCG; de Alvarez, CE; Bragança, L</t>
  </si>
  <si>
    <t>Guedes Montarroyos, Dielly Christine; de Alvarez, Cristina Engel; Braganca, Luis</t>
  </si>
  <si>
    <t>Methodology for environmental assessment in Antarctic buildings</t>
  </si>
  <si>
    <t>ENVIRONMENTAL IMPACT ASSESSMENT REVIEW</t>
  </si>
  <si>
    <t>[Guedes Montarroyos, Dielly Christine; Braganca, Luis] Univ Minho Portugal, Dept Civil Engn, Campus Azurem, P-4800058 Guimaraes, Portugal; [de Alvarez, Cristina Engel] Univ Fed Espirito Santo, Lab Planejamento &amp; Projetos, Ave Fernando Ferrari 514,Room 7, BR-29075910 Vitoria, ES, Brazil</t>
  </si>
  <si>
    <t>Universidade Federal do Espirito Santo</t>
  </si>
  <si>
    <t>Montarroyos, DCG (corresponding author), Univ Minho Portugal, Dept Civil Engn, Campus Azurem, P-4800058 Guimaraes, Portugal.;Montarroyos, DCG (corresponding author), Ave Fernando Ferrari 514,Room 7, BR-29075910 Vitoria, ES, Brazil.</t>
  </si>
  <si>
    <t>dielly.christine@faesa.br; cristina.engel@ufes.br; braganca@civil.uminho.pt</t>
  </si>
  <si>
    <t>de Alvarez, Cristina Engel/J-4629-2012; Braganca, Luis/A-7009-2013</t>
  </si>
  <si>
    <t>Braganca, Luis/0000-0003-4246-8157</t>
  </si>
  <si>
    <t>Conselho Nacional de Desenvolvimento Cientifico e Tecnologico (CNPq) [446484/2014-8]; Programa Antartico Brasileiro (PROANTAR)</t>
  </si>
  <si>
    <t>Conselho Nacional de Desenvolvimento Cientifico e Tecnologico (CNPq)(Conselho Nacional de Desenvolvimento Cientifico e Tecnologico (CNPQ)); Programa Antartico Brasileiro (PROANTAR)</t>
  </si>
  <si>
    <t>The authors gratefully acknowledge support received from the Conselho Nacional de Desenvolvimento Cientifico e Tecnologico (CNPq) (446484/2014-8) and Programa Antartico Brasileiro (PROANTAR).</t>
  </si>
  <si>
    <t>0195-9255</t>
  </si>
  <si>
    <t>1873-6432</t>
  </si>
  <si>
    <t>ENVIRON IMPACT ASSES</t>
  </si>
  <si>
    <t>Environ. Impact Assess. Rev.</t>
  </si>
  <si>
    <t>10.1016/j.eiar.2018.08.003</t>
  </si>
  <si>
    <t>Environmental Studies</t>
  </si>
  <si>
    <t>GX1LZ</t>
  </si>
  <si>
    <t>WOS:000447480100010</t>
  </si>
  <si>
    <t>Perkins, A; Ratcliffe, N; Suddaby, D; Ribbands, B; Smith, C; Ellis, P; Meek, E; Bolton, M</t>
  </si>
  <si>
    <t>Perkins, Allan; Ratcliffe, Norman; Suddaby, Dave; Ribbands, Brian; Smith, Claire; Ellis, Pete; Meek, Eric; Bolton, Mark</t>
  </si>
  <si>
    <t>Combined bottom-up and top-down pressures drive catastrophic population declines of Arctic skuas in Scotland</t>
  </si>
  <si>
    <t>food availability; marine conservation; population dynamics; predation; sandeel; seabird; skua</t>
  </si>
  <si>
    <t>SEABIRD BREEDING FAILURE; GREAT SKUAS; FOOD AVAILABILITY; STERCORARIUS-PARASITICUS; NORTH-SEA; SANDEEL ABUNDANCE; CATHARACTA-SKUA; PREDATION; SHETLAND; SUCCESS</t>
  </si>
  <si>
    <t>Understanding drivers of population change is critical for effective species conservation. In the northeast Atlantic Ocean, recent changes amongst seabird communities are linked to human and climate change impacts on food webs. Many species have declined severely, with food shortages, and increased predation reducing productivity. Arctic skua Stercorarius parasiticus, a kleptoparasite of other seabirds, is one such species. The aim of the study was to determine relative effects of bottom-up and top-down pressures on Arctic skuas across multiple colonies in a rapidly declining national population. Long-term monitoring data were used to quantify changes in population size and productivity of Arctic skuas, their hosts (black-legged kittiwake Rissa tridactyla, common guillemot Uria aalge, Atlantic puffin Fratercula arctica, Arctic tern Sterna paradisaea) and an apex predator (great skua Stercorarius skua) over 24years (1992-2015) in Scotland. We used digital mapping and statistical models to determine relative effects of bottom-up (host productivity) and top-down (great skua density) pressures on Arctic skuas across 33 colonies, and assess variation between three colony types classified by host abundance. Arctic skuas declined by 81% and their hosts by 42%-92%, whereas at most colonies great skuas increased. Annual productivity declined in Arctic skuas and their hosts, and reduced Arctic skua breeding success was a driver of the species' population decline. Arctic skua productivity was positively associated with annual breeding success of hosts and negatively with great skua density. Intercolony variation suggested Arctic skua trends and productivity were most sensitive to top-down pressures at smaller colonies of host species where great skuas had increased most, whereas bottom-up pressures dominated at large colonies of host species. Scotland's Arctic skua population is declining rapidly, with bottom-up and top-down pressures simultaneously reducing breeding success to unsustainably low levels. Marine food web alterations, strongly influenced by fisheries management and climate change, are driving the decline, and this study demonstrates severe vulnerability of seabirds to rapid change in human-modified ecosystems. Potential but untested conservation solutions for Arctic skuas include marine protected areas, supplementary feeding within colonies and management of great skuas.</t>
  </si>
  <si>
    <t>[Perkins, Allan] RSPB Ctr Conservat Sci, East Scotland Off, Aberdeen, Scotland; [Ratcliffe, Norman] British Antarctic Survey, Cambridge, England; [Suddaby, Dave] BirdWatch Ireland, Head Off, Greystones, Ireland; [Ribbands, Brian] Queenamidda, Rendall, Scotland; [Smith, Claire] Handa Isl Skua Project, Dunkeld, Scotland; [Ellis, Pete] RSPB Scotland, Shetland Off, Virkie, Scotland; [Meek, Eric] RSPB Scotland, East Scotland Off, Aberdeen, Scotland; [Bolton, Mark] RSPB Ctr Conservat Sci, UK Headquarters, Sandy, Beds, England</t>
  </si>
  <si>
    <t>Perkins, A (corresponding author), RSPB Ctr Conservat Sci, East Scotland Off, Aberdeen, Scotland.</t>
  </si>
  <si>
    <t>allan.perkins@rspb.org.uk</t>
  </si>
  <si>
    <t>RSPB; Scottish Natural Heritage; NERC [bas0100035] Funding Source: UKRI</t>
  </si>
  <si>
    <t>RSPB; Scottish Natural Heritage; NERC(UK Research &amp; Innovation (UKRI)Natural Environment Research Council (NERC))</t>
  </si>
  <si>
    <t>RSPB; Scottish Natural Heritage</t>
  </si>
  <si>
    <t>10.1111/1365-2656.12890</t>
  </si>
  <si>
    <t>GW1TK</t>
  </si>
  <si>
    <t>WOS:000446663700008</t>
  </si>
  <si>
    <t>Qi, XM; Liao, E; Zhao, K; Mac Regenstein, J; Mao, XZ</t>
  </si>
  <si>
    <t>Qi, Xiangming; Liao, E.; Zhao, Kuo; Mac Regenstein, Joe; Mao, Xiangzhao</t>
  </si>
  <si>
    <t>Multi-stage countercurrent process for extracting protein from Antarctic Krill (Euphausia superba)</t>
  </si>
  <si>
    <t>Euphausia superba; Protein solubility; Multi-stage countercurrent; Antarctic krill</t>
  </si>
  <si>
    <t>ISOELECTRIC SOLUBILIZATION/PRECIPITATION; FUNCTIONAL-PROPERTIES; NUTRITIONAL-VALUE; ACID; RECOVERY</t>
  </si>
  <si>
    <t>To systematically study multi-stage countercurrent process for Antarctic hill protein extracting and to optimize the multi-stage countercurrent technology, the solubility of Antarctic krill proteins after multi-step dissolution was explored firstly; multi-step extraction was investigated; and then multi-stage countercurrent system for protein extraction was carried out. In single step extraction, hill-to-water ratio and pH were chosen as 1:10 and 12.5 respectively, in order to extract more protein. In the multi-step dissolution process, the protein solubility of aqueous solution at pH 12.5 was 33.0 +/- 0.8 mg/mL. Multi-step cross-flow processing testified the feasibility of multi-stage countercurrent assumption. Three-stage countercurrent method using krill-to-water ratio 1:10 extracted, 95.1 +/- 0.6% protein from krill, where almost the same water as previous works. The total recovery yield of 67.9 +/- 1.6% was achieved after precipitation at pH 4.5.</t>
  </si>
  <si>
    <t>[Qi, Xiangming; Liao, E.; Zhao, Kuo; Mao, Xiangzhao] Ocean Univ China, Coll Food Sci &amp; Engn, Qingdao 266003, Peoples R China; [Mac Regenstein, Joe] Cornell Univ, Dept Food Sci, Ithaca, NY 14853 USA; [Liao, E.] Jiangnan Univ, Sch Food Sci &amp; Technol, Wuxi 214122, Peoples R China</t>
  </si>
  <si>
    <t>Ocean University of China; Cornell University; Jiangnan University</t>
  </si>
  <si>
    <t>Mao, XZ (corresponding author), Ocean Univ China, Coll Food Sci &amp; Engn, Qingdao 266003, Peoples R China.</t>
  </si>
  <si>
    <t>qixm@ouc.edu.cn; xzhmao@ouc.edu.cn</t>
  </si>
  <si>
    <t>赵, 阔/HOF-7906-2023</t>
  </si>
  <si>
    <t>Zhao, Kuo/0000-0001-9347-8254</t>
  </si>
  <si>
    <t>Key Research and Development Project of Shandong Province [2015GSF115005]; Huimin Special Fund of Qingdao Municipal achievement transformation plan [15-9-2-120-NSH]; Natural Science Foundation of China [31101380]</t>
  </si>
  <si>
    <t>Key Research and Development Project of Shandong Province; Huimin Special Fund of Qingdao Municipal achievement transformation plan; Natural Science Foundation of China(National Natural Science Foundation of China (NSFC))</t>
  </si>
  <si>
    <t>This study was supported by the Key Research and Development Project of Shandong Province (No. 2015GSF115005), Huimin Special Fund of Qingdao Municipal achievement transformation plan (No. 15-9-2-120-NSH), and the Natural Science Foundation of China project (No. 31101380).</t>
  </si>
  <si>
    <t>10.1007/s13197-018-3368-7</t>
  </si>
  <si>
    <t>GV9LS</t>
  </si>
  <si>
    <t>WOS:000446480300009</t>
  </si>
  <si>
    <t>Jean, Y; Meyer, U; Jäggi, A</t>
  </si>
  <si>
    <t>Jean, Yoomin; Meyer, Ulrich; Jaggi, Adrian</t>
  </si>
  <si>
    <t>Combination of GRACE monthly gravity field solutions from different processing strategies</t>
  </si>
  <si>
    <t>GRACE; Gravity field combination; Noise assessment; Weighting schemes; Variance component estimation; Gravity field validation; EGSIEM</t>
  </si>
  <si>
    <t>MASS-BALANCE; RECOVERY; VARIABILITY; ANTARCTICA; SERVICE</t>
  </si>
  <si>
    <t>We combine the publicly available GRACE monthly gravity field time series to produce gravity fields with reduced systematic errors. We first compare the monthly gravity fields in the spatial domain in terms of signal and noise. Then, we combine the individual gravity fields with comparable signal content, but diverse noise characteristics. We test five different weighting schemes: equal weights, non-iterative coefficient-wise, order-wise, or field-wise weights, and iterative field-wise weights applying variance component estimation (VCE). The combined solutions are evaluated in terms of signal and noise in the spectral and spatial domains. Compared to the individual contributions, they in general show lower noise. In case the noise characteristics of the individual solutions differ significantly, the weighted means are less noisy, compared to the arithmetic mean: The non-seasonal variability over the oceans is reduced by up to 7.7% and the root mean square (RMS) of the residuals of mass change estimates within Antarctic drainage basins is reduced by 18.1% on average. The field-wise weighting schemes in general show better performance, compared to the order- or coefficient-wise weighting schemes. The combination of the full set of considered time series results in lower noise levels, compared to the combination of a subset consisting of the official GRACE Science Data System gravity fields only: The RMS of coefficient-wise anomalies is smaller by up to 22.4% and the non-seasonal variability over the oceans by 25.4%. This study was performed in the frame of the European Gravity Service for Improved Emergency Management (EGSIEM; http://www.egsiem.eu) project. The gravity fields provided by the EGSIEM scientific combination service (ftp://ftp.aiub.unibe.ch/EGSIEM/) are combined, based on the weights derived by VCE as described in this article.</t>
  </si>
  <si>
    <t>[Jean, Yoomin; Meyer, Ulrich; Jaggi, Adrian] Univ Bern, Astron Inst, Sidlerstr 5, CH-3012 Bern, Switzerland</t>
  </si>
  <si>
    <t>University of Bern</t>
  </si>
  <si>
    <t>Meyer, U (corresponding author), Univ Bern, Astron Inst, Sidlerstr 5, CH-3012 Bern, Switzerland.</t>
  </si>
  <si>
    <t>ulrich.meyer@aiub.unibe.ch</t>
  </si>
  <si>
    <t>Meyer, Ulrich/K-7476-2015</t>
  </si>
  <si>
    <t>Meyer, Ulrich/0000-0002-3379-9213</t>
  </si>
  <si>
    <t>European Union's Horizon 2020 research and innovation program [637010]; H2020 - Industrial Leadership [637010] Funding Source: H2020 - Industrial Leadership</t>
  </si>
  <si>
    <t>European Union's Horizon 2020 research and innovation program; H2020 - Industrial Leadership(European Union (EU)H2020 - Industrial Leadership)</t>
  </si>
  <si>
    <t>This research was supported by the European Union's Horizon 2020 research and innovation program under the Grant Agreement No. 637010. The authors are thankful to ITSG at the Graz University of Technology for providing their sensor fusion data. The authors would also like to thank the anonymous reviewers, the responsible editor of this manuscript, and the editor-in-chief of the Journal of Geodesy for the valuable advice to improve this article.</t>
  </si>
  <si>
    <t>10.1007/s00190-018-1123-5</t>
  </si>
  <si>
    <t>WOS:000446517400006</t>
  </si>
  <si>
    <t>Pilo, GS; Oke, PR; Coleman, R; Rykova, T; Ridgway, K</t>
  </si>
  <si>
    <t>Pilo, Gabriela S.; Oke, Peter R.; Coleman, Richard; Rykova, Tatiana; Ridgway, Ken</t>
  </si>
  <si>
    <t>Impact of data assimilation on vertical velocities in an eddy resolving ocean model</t>
  </si>
  <si>
    <t>OCEAN MODELLING</t>
  </si>
  <si>
    <t>Data assimilation; Initialisation; Eddies</t>
  </si>
  <si>
    <t>MESOSCALE EDDIES; NORTH-ATLANTIC; CURRENT SYSTEM; SEA; TEMPERATURE; TRANSPORT</t>
  </si>
  <si>
    <t>It is expected that the assimilation of data in an ocean model disrupts the model's dynamical balance. This disruption occurs because the analysis fields are not a precise solution to the equations of the model. Therefore, the model adjusts to the applied increments. With this limitation in mind, we assess the impact of sequential data assimilation (DA) on vertical velocity - chosen because of its sensitivity to model dynamical balances. We investigate vertical velocity within mesoscale eddies in the Tasman Sea and off Tasmania, Australia in an ocean reanalysis that assimilates observations every four days. In a free-running model, with no DA, ocean eddies often show a coherent pattern of alternating upward and downward cells. These cells are induced by eddy distortion (i.e., the eddy becoming more or less isotropic). In this study, we aim to first determine if a data-assimilating model can reproduce these alternating upward and downward cells; and then to investigate how the cells are affected by sequential DA. We view this study as a step towards better understanding the suitability of data-assimilating ocean models for detailed analysis of ocean circulation and ocean dynamics. We show that the vertical velocities are typically two times larger in magnitude on the day after assimilation, compared to subsequent days. Despite the model adjustment, the alternating upward and downward cells are present in the data-assimilating model. In fact, we find that the model adjustment acts like an artificial eddy distortion on the first day after assimilation - when the model is adjusting to the applied increments - amplifying the vertical velocities within the eddies. This artificial distortion impacts temperature and salinity, through vertical advection. The vertical advection terms are about 1.5 times higher on the day after assimilation, compared to other days. The temperature and salinity changes resulting from the stronger vertical advection are mostly 2-10 times smaller than the increments of these properties applied during assimilation. Our findings suggest that a data-assimilating model may be useful for investigating the detailed dynamics of the ocean, but care should be taken when interpreting results. Moreover, we suggest that it is prudent to disregard the model's fields within the first day after assimilation - particularly in analyses of dynamical balances.</t>
  </si>
  <si>
    <t>[Pilo, Gabriela S.; Coleman, Richard] Univ Tasmania, Inst Marine &amp; Antarctic Studies, Hobart, Tas, Australia; [Pilo, Gabriela S.; Oke, Peter R.; Rykova, Tatiana; Ridgway, Ken] Commonwealth Sci &amp; Ind Res Org CSIRO Oceans &amp; Atm, GPO Box 1538, Hobart, Tas 7001, Australia; [Coleman, Richard] Antarctic Climate &amp; Ecosyst CRC, Battery Point, Tas, Australia</t>
  </si>
  <si>
    <t>Pilo, GS (corresponding author), Commonwealth Sci &amp; Ind Res Org CSIRO Oceans &amp; Atm, GPO Box 1538, Hobart, Tas 7001, Australia.</t>
  </si>
  <si>
    <t>gabriela.semolinipilo@utas.edu.au</t>
  </si>
  <si>
    <t>Coleman, Richard/H-4425-2012; Ridgway, Ken/AAA-4040-2019; Rykova, Tatiana/L-4135-2018; Oke, Peter R/C-5127-2011</t>
  </si>
  <si>
    <t>Pilo, Gabriela/0000-0002-8590-8645; Ridgway, Ken/0000-0002-5861-1360</t>
  </si>
  <si>
    <t>CAPES Foundation [298 196 954]; Brazilian Ministry of Education [0520-13-6]; University of Tasmania; CSIRO Ph.D. Program in Quantitative Marine Science</t>
  </si>
  <si>
    <t>CAPES Foundation(Coordenacao de Aperfeicoamento de Pessoal de Nivel Superior (CAPES)); Brazilian Ministry of Education; University of Tasmania; CSIRO Ph.D. Program in Quantitative Marine Science</t>
  </si>
  <si>
    <t>Gabriela S. Pilo acknowledges support by the CAPES (grant 298 196 954) Foundation, Brazilian Ministry of Education (grant 0520-13-6) and from the joint University of Tasmania and CSIRO Ph.D. Program in Quantitative Marine Science. OFAM and BRAN3p5 were developed under Bluelink: a partnership between CSIRO, the Bureau of Meteorology and the Royal Australian Navy (http://wp.csiro.au/bluelink).</t>
  </si>
  <si>
    <t>1463-5003</t>
  </si>
  <si>
    <t>1463-5011</t>
  </si>
  <si>
    <t>OCEAN MODEL</t>
  </si>
  <si>
    <t>Ocean Model.</t>
  </si>
  <si>
    <t>10.1016/j.ocemod.2018.09.003</t>
  </si>
  <si>
    <t>GW5UU</t>
  </si>
  <si>
    <t>WOS:000447005600006</t>
  </si>
  <si>
    <t>Roche, K; Kuta, J; Sedlácek, I; Cervenka, R; Tornanová, K; Jurajda, P</t>
  </si>
  <si>
    <t>Roche, K.; Kuta, J.; Sedlacek, I.; Cervenka, R.; Tornanova, K.; Jurajda, P.</t>
  </si>
  <si>
    <t>First data on uranium uptake in three nototheniid fishes from Antarctica (James Ross Island)</t>
  </si>
  <si>
    <t>Antarctic Peninsula; Bioaccumulation; Czech Antarctic station; Notothenioidei; Radioactive contaminants; Shallow coastal waters</t>
  </si>
  <si>
    <t>KING-GEORGE-ISLAND; TRACE-ELEMENTS; HEAVY-METALS; COATS LAND; SEA; SNOW</t>
  </si>
  <si>
    <t>Recent studies have confirmed historic atmospheric deposition of uranium in Antarctica, with a steep and significant increase in levels deposited since the 1980s in Antarctic Peninsula ice core samples. To date, however, there has been little or no attention paid to uranium in the Antarctic food web. Here, we present results for uranium content in scales of three common nototheniid species (Trematomus bernacchii, Gobionotothen gibberifrons, Notothenia coriiceps) from coastal waters off James Ross Island (Antarctic Peninsula). While mean total uranium levels (mean +/- SD) were low and similar between species (N. coriiceps 0.08 mu g g(-1) +/- 0.01, T bernacchii 0.17 mu g g(-1) +/- 0.10; G. gibberifrons 0.11 mu g g(-1) +/- 0.04), linear regressions against standard length indicated bioaccumulation in T. bernacchii (ANOVA, F = 7.8349, P = 0.0076). We suggest this may be the result of dietary specialisation on prey with calcareous shells that accumulate uranium. To the best of our knowledge, this paper provides the first quantitative baseline data on uranium levels in coastal Antarctic nototheniids. While the low levels recorded are unlikely to represent a threat within the food chain, we suggest that further long-term trophic studies (including stable isotope analysis) are needed, recognising that the feeding ecology of individual species (and even individuals) can have a strong effect on overall trends. (C) 2018 Elsevier Ltd. All rights reserved.</t>
  </si>
  <si>
    <t>[Roche, K.; Jurajda, P.] Czech Acad Sci Vvi, Inst Vertebrate Biol, Kvetna 8, Brno 60365, Czech Republic; [Kuta, J.; Cervenka, R.] Masaryk Univ, Fac Sci, Res Ctr Tox Cpds Environm RECETOX, Kamenice 5, Brno 62500, Czech Republic; [Sedlacek, I.; Tornanova, K.] Masaryk Univ, Fac Sci, Czech Collect Microorganisms, Kamenice 5, Brno 62500, Czech Republic</t>
  </si>
  <si>
    <t>Czech Academy of Sciences; Institute of Vertebrate Biology of the Czech Academy of Sciences; Masaryk University Brno; Masaryk University Brno</t>
  </si>
  <si>
    <t>Roche, K (corresponding author), Czech Acad Sci Vvi, Inst Vertebrate Biol, Kvetna 8, Brno 60365, Czech Republic.</t>
  </si>
  <si>
    <t>roche@ivb.cz</t>
  </si>
  <si>
    <t>Jurajda, Pavel/F-9647-2014; Cervenka, Rostislav/AAX-4624-2021; Sedlacek, Ivo/IWU-8828-2023; Roche, Kevin F/A-2816-2015</t>
  </si>
  <si>
    <t>Roche, Kevin F/0000-0002-3221-0139; Kuta, Jan/0000-0002-5776-9596; Cervenka, Rostislav/0000-0002-4542-0717</t>
  </si>
  <si>
    <t>Grant Agency of the Czech Republic (ECIP Project) [P505/12/G112]; Ministry of Education, Youth and Sports of the Czech Republic [LM2015078]; European Structural and Investment Funds, Operational Programme for Research, Development and Education [CZ.02.1.01/0.0/0.0/16_013/0001761]</t>
  </si>
  <si>
    <t>Grant Agency of the Czech Republic (ECIP Project)(Grant Agency of the Czech Republic); Ministry of Education, Youth and Sports of the Czech Republic(Ministry of Education, Youth &amp; Sports - Czech Republic); European Structural and Investment Funds, Operational Programme for Research, Development and Education</t>
  </si>
  <si>
    <t>This study was made possible thanks to financial support from the Grant Agency of the Czech Republic (ECIP Project No. P505/12/G112). We would like to express our thanks for permission to use the J.G. Mendel Czech Antarctic Station on James Ross Island in 2014 and all our expedition colleagues for their technical help while stationed there. Research activities at the J.G. Mendel Station are carried out as part of the RECETOX Research Infrastructure, financed through the Ministry of Education, Youth and Sports of the Czech Republic, project no. LM2015078, and European Structural and Investment Funds, Operational Programme for Research, Development and Education (CZ.02.1.01/0.0/0.0/16_013/0001761).</t>
  </si>
  <si>
    <t>10.1016/j.chemosphere.2018.07.195</t>
  </si>
  <si>
    <t>GV5NQ</t>
  </si>
  <si>
    <t>WOS:000446149600054</t>
  </si>
  <si>
    <t>Alonso, VAG; Brown, D; Martín, J; Pájaro, M; Capitanio, FL</t>
  </si>
  <si>
    <t>Garcia Alonso, Virginia A.; Brown, Daniel; Martin, Jacobo; Pajaro, Marcelo; Capitanio, Fabiana L.</t>
  </si>
  <si>
    <t>Seasonal patterns of Patagonian sprat Sprattus fuegensis early life stages in an open sea Sub-Antarctic Marine Protected Area</t>
  </si>
  <si>
    <t>Sprattus fuegensis; Seasonal patterns; Otolith microstructure; Marine Protected Area; Namuncura-Burdwood Bank</t>
  </si>
  <si>
    <t>LARVAL FISH; ONTOGENIC CHANGES; COASTAL WATERS; HADDOCK LARVAE; GROWTH-RATE; TEMPERATURE; MORTALITY; OTOLITH; LENGTH; ASSEMBLAGES</t>
  </si>
  <si>
    <t>The Patagonian sprat Sprattus fuegensis is a species of ecological importance in the Southwest Atlantic Ocean. However, information regarding S. fuegensis in the Namuncura Marine Protected Area-Burdwood Bank (NMPA-BB), an open sea Sub-Antarctic Marine Protected Area located in the Argentinian shelf, is outdated and fragmented. Understanding the dynamics of species inhabiting the NMPA-BB is relevant to establish future adequate management strategies. We assessed the abundance, size, and development of S. fuegensis early life stages during spring, summer, and autumn in order to evaluate their seasonal patterns. Compared to neighboring areas, S. fuegensis was particularly abundant in the NMPA-BB, which can be considered a major spawning and nursery ground. Within the NMPA-BB, abundances tend to be higher at the center, probably as a result of the marine currents. Eggs were only recorded in spring, while larvae were recorded in all seasons sampled, with maximum abundances occurring during spring. Larger larval sizes and more developed stages occurred in summer and autumn. Analysis of otolith microstructure showed that spawning periods take place between October and March, peaking in November. Slow growth rates (maximum of 0.30 mm day(-1)) and prolonged larval phase would respond to the low temperatures recorded in the NMPA-BB. Additionally, marked monthly differences in otolith growth would suggest a seasonal effect on the developmental patterns of S. fuegensis larvae. Future studies will be necessary to completely understand S. fuegensis development and determine its trophic role in the NMPA-BB.</t>
  </si>
  <si>
    <t>[Garcia Alonso, Virginia A.; Capitanio, Fabiana L.] Univ Buenos Aires, Dept Biodiversidad &amp; Biol Expt, Fac Ciencias Exactas &amp; Nat, RA-2160 Buenos Aires, DF, Argentina; [Brown, Daniel; Pajaro, Marcelo] Inst Nacl Invest &amp; Desarrollo Pesquero INIDEP, Paseo Victoria Ocampo 1,B7602HSA, Buenos Aires, DF, Argentina; [Martin, Jacobo] Consejo Nacl Invest Cient &amp; Tecn, Ctr Austral Invest Cient CADIC, Bernardo Houssay 200,V9410CAB, Ushuaia, Tierra Del Fueg, Argentina; [Capitanio, Fabiana L.] Univ Buenos Aires, Inst Biodiversidad &amp; Biol Expt Aplicada, CONICET, RA-2160 Buenos Aires, DF, Argentina</t>
  </si>
  <si>
    <t>University of Buenos Aires; National Fisheries Research &amp; Development Institute (INIDEP); Consejo Nacional de Investigaciones Cientificas y Tecnicas (CONICET); Consejo Nacional de Investigaciones Cientificas y Tecnicas (CONICET); University of Buenos Aires</t>
  </si>
  <si>
    <t>Alonso, VAG (corresponding author), Univ Buenos Aires, Dept Biodiversidad &amp; Biol Expt, Fac Ciencias Exactas &amp; Nat, RA-2160 Buenos Aires, DF, Argentina.</t>
  </si>
  <si>
    <t>garciaalonso.v.a@gmail.com</t>
  </si>
  <si>
    <t>Martin, Jacobo/0000-0001-8933-7731; Garcia Alonso, Virginia Andrea/0000-0003-2224-8376</t>
  </si>
  <si>
    <t>Universidad de Buenos Aires, Argentina; Agencia Nacional de Promocion Cientifica y Tecnologica (ANPCyT - FONCyT - Argentina) [PICT 2014/3106]; Consejo Nacional de Investigaciones Cientificas y Tecnicas (CONICET - Argentina) [PIP 11220150100109CO, UBACYT 20020160100045BA]</t>
  </si>
  <si>
    <t>Universidad de Buenos Aires, Argentina(University of Buenos Aires); Agencia Nacional de Promocion Cientifica y Tecnologica (ANPCyT - FONCyT - Argentina)(ANPCyTFONCyT); Consejo Nacional de Investigaciones Cientificas y Tecnicas (CONICET - Argentina)(Consejo Nacional de Investigaciones Cientificas y Tecnicas (CONICET))</t>
  </si>
  <si>
    <t>Virginia A. Garcia Alonso was supported by a Doctoral Fellowship awarded by the Universidad de Buenos Aires, Argentina. J. Martin was funded by Agencia Nacional de Promocion Cientifica y Tecnologica (ANPCyT - FONCyT - Argentina) PICT 2014/3106. F. Capitanio was funded by Consejo Nacional de Investigaciones Cientificas y Tecnicas (CONICET - Argentina) PIP 11220150100109CO 2015-2017 and UBACYT 20020160100045BA 2017-2020.</t>
  </si>
  <si>
    <t>10.1007/s00300-018-2352-z</t>
  </si>
  <si>
    <t>WOS:000446075800001</t>
  </si>
  <si>
    <t>Novillo, M; Moreira, E; Macchi, G; Barrera-Oro, E</t>
  </si>
  <si>
    <t>Novillo, Manuel; Moreira, Eugenia; Macchi, Gustavo; Barrera-Oro, Esteban</t>
  </si>
  <si>
    <t>Reproductive biology in the Antarctic bathydraconid dragonfish Parachaenichthys charcoti</t>
  </si>
  <si>
    <t>Notothenioidei; Histology; Fecundity; Parachaenichthys georgianus; South Shetland Islands</t>
  </si>
  <si>
    <t>SOUTH SHETLAND ISLANDS; NOTOTHENIOID FISH; WEDDELL-SEA; SCOTIA ARC; PENINSULA; ECOLOGY; GEORGIA; MORPHOLOGY; BEHAVIOR; INSHORE</t>
  </si>
  <si>
    <t>Studies on reproduction of the dragonfishes, Bathydraconidae, are scarce, and within this family, the reproductive biology of Parachaenichthys charcoti was poorly understood. Herein we present a histologic analysis of P. charcoti ovaries together with data on reproductive effort using fish collected with trammel nets in austral summer at Potter Cove, South Shetland Islands (SSI), and compare this information with that reported for the South Georgia congener Parachaenichthys georgianus. In gravid females of P. charcoti, GSI of 16-31%, mature oocytes of 1.8-3.9 mm and total fecundity (TF) of 9025-18,937 oocytes/individual (X +/- SD = 12,617 +/- 4019, n = 7) were recorded. The histology of the ovaries confirmed the common characteristics of the Notothenioidei observed macroscopically, i.e., two distinct batches of oocytes, one in the previtellogenic stage (primary growing or cortical alveoli stages) and the other in vitellogenesis and likely to be released in the current season. A longer incubation period of P. charcoti compared with P. georgianus is associated to the colder waters at the SSI. Based on our sampling and reproductive effort data, together with the reported nesting behavior for P. charcoti, it is assumed that this species spawns in nearshore, sheltered waters in summer, presumably from late December to February. Spawning periods of both congeners differ from those reported for other notothenioids in the same Seasonal Pack-ice Zone, suggesting divergence in some aspects of the life strategies in the genus Parachaenichthys. Likewise, although there are no substantial differences between P. charcoti and other notothenioids regarding gonadal development, the genus Parachaenichthys shows distinct features in its reproductive strategies (e.g., higher TF) compared with other bathydraconid species.</t>
  </si>
  <si>
    <t>[Novillo, Manuel; Macchi, Gustavo; Barrera-Oro, Esteban] Consejo Nacl Invest Cient &amp; Tecn CONICET, Godoy Cruz 2290,C1425FQB, Buenos Aires, DF, Argentina; [Novillo, Manuel; Barrera-Oro, Esteban] Museo Argentino Ciencias Nat Bernardino Rivadavia, Angel Gallardo 470,CI405DJR, Buenos Aires, DF, Argentina; [Moreira, Eugenia; Barrera-Oro, Esteban] Inst Antartico Argentino, 25 Mayo 1143, Buenos Aires, DF, Argentina; [Macchi, Gustavo] Inst Nacl Invest &amp; Desarrollo Pesquero INIDEP, Paseo Victoria Ocampo 1,CC 175, RA-7600 Mar Del Plata, Argentina; [Macchi, Gustavo] Inst Invest Marinas &amp; Costeras IIMyC, Rodriguez Pena 4002,B7602GSD, Buenos Aires, DF, Argentina</t>
  </si>
  <si>
    <t>Consejo Nacional de Investigaciones Cientificas y Tecnicas (CONICET); Museo Argentino de Ciencias Naturales Bernardino Rivadavia (MACN); Instituto Antartico Argentino; Consejo Nacional de Investigaciones Cientificas y Tecnicas (CONICET); National Fisheries Research &amp; Development Institute (INIDEP)</t>
  </si>
  <si>
    <t>Novillo, M (corresponding author), Consejo Nacl Invest Cient &amp; Tecn CONICET, Godoy Cruz 2290,C1425FQB, Buenos Aires, DF, Argentina.;Novillo, M (corresponding author), Museo Argentino Ciencias Nat Bernardino Rivadavia, Angel Gallardo 470,CI405DJR, Buenos Aires, DF, Argentina.</t>
  </si>
  <si>
    <t>jmanuelnovillo@gmail.com</t>
  </si>
  <si>
    <t>Macchi, Gustavo Javier/0000-0003-1821-5491; MOREIRA, EUGENIA/0000-0002-3704-1696</t>
  </si>
  <si>
    <t>Fondo para la Investigacion Cientifica y Tecnologica [PICTO0100-2010]; Instituto Antartico Argentino</t>
  </si>
  <si>
    <t>Fondo para la Investigacion Cientifica y Tecnologica; Instituto Antartico Argentino</t>
  </si>
  <si>
    <t>We are grateful to C. Bellisio, O. Gonzalez, J. Piscicelli and R. Varela for their help in field activities and laboratory tasks and to M. Estrada and H. Brachetta for preparation of the histologic sections. We thank three anonymous referees for their constructive comments. Funding was provided by Fondo para la Investigacion Cientifica y Tecnologica (grant no. PICTO0100-2010) and Instituto Antartico Argentino.</t>
  </si>
  <si>
    <t>10.1007/s00300-018-2359-5</t>
  </si>
  <si>
    <t>WOS:000446075800007</t>
  </si>
  <si>
    <t>Ward, P; Tarling, GA; Thorpe, SE</t>
  </si>
  <si>
    <t>Ward, Peter; Tarling, Geraint A.; Thorpe, Sally E.</t>
  </si>
  <si>
    <t>Temporal changes in abundances of large calanoid copepods in the Scotia Sea: comparing the 1930s with contemporary times</t>
  </si>
  <si>
    <t>Discovery Investigations; Calanoid copepods; Scotia Sea; Climate change; Trophic cascades</t>
  </si>
  <si>
    <t>PLANKTON COMMUNITY STRUCTURE; GEORGIA SOUTHERN-OCEAN; WEDDELL-SEA; ANTARCTIC COPEPODS; EUPHAUSIA-SUPERBA; CLIMATE-CHANGE; RHINCALANUS-GIGAS; ICE EXTENT; BELLINGSHAUSEN-SEA; WHALING RECORDS</t>
  </si>
  <si>
    <t>To investigate whether impacts of reported climate change in the Antarctic marine environment have affected mesozooplankton populations, we compared the summertime abundances of four species of large calanoid copepods from samples taken during the Discovery Investigations (1926-1938) and contemporary times (1996-2013). Discovery samples were obtained using an N70V closing net fished vertically through three depth horizons encompassing the top 250 m of the water column, whereas contemporary samples were obtained using a Bongo net fished vertically through 200-0 m. Data from a previous study comparing catch efficiencies of the two nets were used to generate calibration factors which were applied to the N70V abundances. Following further corrections for net depth differences and seasonal biases in sampling frequency, three of the four species, Calanoides acutus, Rhincalanus gigas and Calanus simillimus, were found to be between similar to 20-55% more abundant in contemporary times than they were 70 years ago. Calanus propinquus was marginally more abundant in the Discovery era. These results were robust to sensitivity analyses for the net calibration factor, seasonal bias and net depth corrections. Although near-surface ocean temperatures within the Scotia Sea have increased by up to 1.5 A degrees C during the last 70 years, we conclude that the most likely causes of increased copepod abundances are linked to changes in the food-web. In particular, we discuss the reported decrease in krill abundance in the South Atlantic that has potentially increased the amount of food available to copepods while at the same time decreasing predator pressure.</t>
  </si>
  <si>
    <t>[Ward, Peter; Tarling, Geraint A.; Thorpe, Sally E.] British Antarctic Survey, Nat Environm Res Council, High Cross Madingley Rd, Cambridge CB3 0ET, England</t>
  </si>
  <si>
    <t>Ward, P (corresponding author), British Antarctic Survey, Nat Environm Res Council, High Cross Madingley Rd, Cambridge CB3 0ET, England.</t>
  </si>
  <si>
    <t>pwar@bas.ac.uk</t>
  </si>
  <si>
    <t>Tarling, Geraint/0000-0002-3753-5899; Ward, Peter/0000-0001-8260-1077; Thorpe, Sally/0000-0002-5193-6955</t>
  </si>
  <si>
    <t>10.1007/s00300-018-2369-3</t>
  </si>
  <si>
    <t>WOS:000446075800012</t>
  </si>
  <si>
    <t>Santos, MM; Hinke, JT; Coria, NR; Fusaro, B; Silvestro, A; Juáres, MA</t>
  </si>
  <si>
    <t>Mercedes Santos, M.; Hinke, Jefferson T.; Coria, Nestor R.; Fusaro, Bruno; Silvestro, Anahi; Juares, Mariana A.</t>
  </si>
  <si>
    <t>Abundance estimation of Ad,lie penguins at the Esperanza/Hope Bay mega colony</t>
  </si>
  <si>
    <t>Pygoscelis adeliae; Breeding population size; Population decline; Antarctic Peninsula</t>
  </si>
  <si>
    <t>ADELIE PENGUINS; POPULATION-CHANGES; CHINSTRAP PENGUINS; PYGOSCELIS-ADELIAE; KRILL; ANTARCTICA; REVEALS; ECOLOGY; SUCCESS; TRENDS</t>
  </si>
  <si>
    <t>The Ad,lie penguin (Pygoscelis adeliae) breeding population at Esperanza/Hope Bay, at the tip of the Antarctic Peninsula, is one of the largest Ad,lie penguin colonies in Antarctica. Nevertheless, the last known published field count during the egg-laying period is from 1985/1986. We counted breeding pairs within the entire colony, consisting of 274 breeding groups, during the 2012/2013 breeding season for comparison with previously published ground and satellite-derived counts. We also counted breeding pairs in 26 breeding groups that have been monitored annually since 1995/1996. We estimated the current population size to be 104,139 (95th-percentile CI 70,126-138,151) breeding pairs for the whole colony. The counts indicate population declines of 15.9% over 27 years in the whole colony and 37.5% over 18 years in the annually monitored subset of breeding groups, respectively. The observed decrease matches recent trends reported in other Ad,lie penguin colonies throughout the western Antarctic Peninsula and southern Scotia Sea. This population assessment contributes to the current estimates of the total predator populations in the region, which is necessary information for the management of marine living resources.</t>
  </si>
  <si>
    <t>[Mercedes Santos, M.; Coria, Nestor R.; Fusaro, Bruno; Juares, Mariana A.] Inst Antartico Argentino, Dept Biol Predadores Tope, 25 Mayo 1143,B1650CSP, San Martin, Buenos Aires, Argentina; [Mercedes Santos, M.; Juares, Mariana A.] Univ Nacl La Plata, Labs Anexos, Fac Ciencias Nat &amp; Museo, Calle 64 N 3,B1904AMA, La Plata, Buenos Aires, Argentina; [Hinke, Jefferson T.] NOAA, Antarctic Ecosyst Res Div, Southwest Fisheries Sci Ctr, Natl Marine Fisheries Serv, 8901 La Jolla Shores Dr, La Jolla, CA 92037 USA; [Fusaro, Bruno] UNLP, Ctr Estudios Parasitol &amp; Vectores, CONICET, Blvd 120 S-N E-61&amp;62,B1902CHX, La Plata, Buenos Aires, Argentina; [Silvestro, Anahi] UNPSJB, Ctr Invest Esquel Montana &amp; Estepa Patagon, CONICET, Roca 780, RA-9200 Esquel, Chubut, Argentina; [Juares, Mariana A.] Consejo Nacl Invest Cient &amp; Tecn CONICET, Godoy Cruz 2290,C1425FQB CABA, Buenos Aires, DF, Argentina</t>
  </si>
  <si>
    <t>Instituto Antartico Argentino; National University of La Plata; Museo La Plata; National Oceanic Atmospheric Admin (NOAA) - USA; National University of La Plata; Consejo Nacional de Investigaciones Cientificas y Tecnicas (CONICET); Consejo Nacional de Investigaciones Cientificas y Tecnicas (CONICET); Consejo Nacional de Investigaciones Cientificas y Tecnicas (CONICET)</t>
  </si>
  <si>
    <t>Santos, MM (corresponding author), Inst Antartico Argentino, Dept Biol Predadores Tope, 25 Mayo 1143,B1650CSP, San Martin, Buenos Aires, Argentina.;Santos, MM (corresponding author), Univ Nacl La Plata, Labs Anexos, Fac Ciencias Nat &amp; Museo, Calle 64 N 3,B1904AMA, La Plata, Buenos Aires, Argentina.</t>
  </si>
  <si>
    <t>mws@mrecic.gov.ar</t>
  </si>
  <si>
    <t>, Jefferson/AAG-1702-2021</t>
  </si>
  <si>
    <t>, Jefferson/0000-0002-3600-1414; Juares, Mariana A./0000-0002-6763-0416; Silvestro, Anahi Mariel/0000-0002-8134-9815</t>
  </si>
  <si>
    <t>FONCYT-Agencia Nacional de Promocion Cientifica y Tecnologica [PICTO 2010-0111]; Instituto Antartico Argentino-Direccion Nacional del Antartico [PI-05]</t>
  </si>
  <si>
    <t>FONCYT-Agencia Nacional de Promocion Cientifica y Tecnologica(ANPCyTFONCyT); Instituto Antartico Argentino-Direccion Nacional del Antartico</t>
  </si>
  <si>
    <t>We want to thank all field assistants, in particular Chuchu Crivero and Gaby Blanco. The permit for this work was granted by the Direccion Nacional del Antartico (Environmental Office). The FONCYT-Agencia Nacional de Promocion Cientifica y Tecnologica (Grant: PICTO 2010-0111) and the Instituto Antartico Argentino (Grant No. PI-05)-Direccion Nacional del Antartico provided financial and logistical support. We are very grateful to Ana Gentile who improved the English. We also thank Dr Lynch, Dr Trathan, an anonymous reviewer and editors for their helpful comments and suggestions on improving the manuscript.</t>
  </si>
  <si>
    <t>10.1007/s00300-018-2373-7</t>
  </si>
  <si>
    <t>WOS:000446075800015</t>
  </si>
  <si>
    <t>Liang, C; Li, HB; Dong, Y; Zhao, Y; Tao, ZC; Li, CL; Zhang, WC; Gregori, G</t>
  </si>
  <si>
    <t>Liang, Chen; Li, Haibo; Dong, Yi; Zhao, Yuan; Tao, Zhencheng; Li, Chaolun; Zhang, Wuchang; Gregori, Gerald</t>
  </si>
  <si>
    <t>Planktonic ciliates in different water masses in open waters near Prydz Bay (East Antarctica) during austral summer, with an emphasis on tintinnid assemblages</t>
  </si>
  <si>
    <t>Planktonic ciliates; Abundance; Tintinnid; Water mass; Prydz Bay; Antarctica</t>
  </si>
  <si>
    <t>ICE-EDGE ZONE; AMUNDSEN SEA ANTARCTICA; MARINE FOOD WEBS; SOUTHERN-OCEAN; WEDDELL SEA; PHYSICAL OCEANOGRAPHY; VERTICAL-DISTRIBUTION; COMMUNITY STRUCTURE; NARRAGANSETT BAY; PACIFIC-OCEAN</t>
  </si>
  <si>
    <t>Planktonic ciliates are important microzooplankton in pelagic ecosystems. Previous studies in Antarctic waters have only investigated ciliate assemblages in different habitats without considering water masses. In this article, we report the characteristics of ciliate assemblages in different water masses in open waters near Prydz Bay (East Antarctica) during austral summer. Three water masses were identified according to temperature and salinity: Summer Surface Water (SSW), Winter Water (WW), and Circumpolar Deep Water (CDW). SSW was further divided into SSWChl a &lt; 3 (in vivo Chlorophyll a &gt; 3 mg m(-3)) and SSWChl a &lt; 3 (in vivo Chlorophyll a &lt; 3 mg m(-3)). Ciliate abundance and biomass in water masses decreased in the order: SSW &gt; WW &gt; CDW. SSWChl a &gt; 3 had a higher proportion (38.2%) of tintinnids to the total ciliate abundance and larger aloricate ciliates (ciliates in the 10-20 A mu m size class were &lt; 15% of the total aloricate ciliate abundance) than in other water masses. WW had a higher proportion (&gt; 30%) of Southern Ocean endemic tintinnid species in total tintinnid abundance than in other water masses. Each water mass had the following indigenous tintinnid species: SSW, Salpingella sp., Codonellopsis gaussi; WW, Salpingella costata, S. faurei, Cymatocylis affinis/convallaria forma drygalskii, and C. vanhoeffeni. Laackmanniella naviculaefera and C. affinis/convallaria forma cristallina were present at high abundance in both WW and SSWChl a &gt; 3. Upwelling caused discontinuity of the ciliate distribution. Our results will help predict the spatial and temporal variations of ciliate assemblages and other plankton according to the dynamics of water masses in Antarctic waters.</t>
  </si>
  <si>
    <t>[Liang, Chen; Li, Haibo; Dong, Yi; Zhao, Yuan; Tao, Zhencheng; Li, Chaolun; Zhang, Wuchang] Chinese Acad Sci, Inst Oceanol, CAS Key Lab Marine Ecol &amp; Environm Sci, Qingdao 266071, Peoples R China; [Liang, Chen; Li, Haibo; Dong, Yi; Zhao, Yuan; Tao, Zhencheng; Li, Chaolun; Zhang, Wuchang] Qingdao Natl Lab Marine Sci &amp; Technol, Lab Marine Ecol, Qingdao 266237, Peoples R China; [Liang, Chen] Univ Chinese Acad Sci, Beijing 100049, Peoples R China; [Liang, Chen; Li, Haibo; Dong, Yi; Zhao, Yuan; Tao, Zhencheng; Li, Chaolun; Zhang, Wuchang] Chinese Acad Sci, Ctr Ocean Mega Sci, 7 Nanhai Rd, Qingdao 266071, Peoples R China; [Gregori, Gerald] Toulon Univ, Aix Marseille Univ, CNRS, IRD,Mediterranean Inst Oceanol,UM110, F-13288 Marseille, France</t>
  </si>
  <si>
    <t>Chinese Academy of Sciences; Institute of Oceanology, CAS; Laoshan Laboratory; Chinese Academy of Sciences; University of Chinese Academy of Sciences, CAS; Chinese Academy of Sciences; Aix-Marseille Universite; Institut de Recherche pour le Developpement (IRD); Centre National de la Recherche Scientifique (CNRS)</t>
  </si>
  <si>
    <t>Zhang, WC (corresponding author), Chinese Acad Sci, Inst Oceanol, CAS Key Lab Marine Ecol &amp; Environm Sci, Qingdao 266071, Peoples R China.;Zhang, WC (corresponding author), Qingdao Natl Lab Marine Sci &amp; Technol, Lab Marine Ecol, Qingdao 266237, Peoples R China.;Zhang, WC (corresponding author), Chinese Acad Sci, Ctr Ocean Mega Sci, 7 Nanhai Rd, Qingdao 266071, Peoples R China.</t>
  </si>
  <si>
    <t>wuchangzhang@qdio.ac.cn</t>
  </si>
  <si>
    <t>Grégori, Gérald J/HJA-3378-2022; Li, Chao/GSM-8117-2022; Grégori, Gérald J/D-8657-2013; Liang, Chen/HNP-5916-2023</t>
  </si>
  <si>
    <t>Grégori, Gérald J/0000-0003-1645-9468; Li, Chao/0000-0001-6110-6210; Zhang, Wuchang/0000-0001-7534-8368; Li, Chaolun/0000-0003-1890-0587</t>
  </si>
  <si>
    <t>National Natural Science Foundation of China [NSFC 41576164]; Chinese Polar Environment Comprehensive Investigation &amp; Assessment Programmes [CHINARE2015-01-06, CHINARE2015-01-05]; Scientific and Technological Innovation Project by Qingdao National Laboratory for Marine Science and Technology [2015ASKJ02]; CNRS-NSFC Joint Research Projects Program [NSFC 41711530149]</t>
  </si>
  <si>
    <t>National Natural Science Foundation of China(National Natural Science Foundation of China (NSFC)); Chinese Polar Environment Comprehensive Investigation &amp; Assessment Programmes; Scientific and Technological Innovation Project by Qingdao National Laboratory for Marine Science and Technology; CNRS-NSFC Joint Research Projects Program</t>
  </si>
  <si>
    <t>We thank the 31st CHINARE Antarctic expedition for providing logistical support and environmental data. We thank Jeremy Kamen, MSc, from Liwen Bianji, Edanz Group China (www.liwenbianji.cn/ac), for editing the English text of a previous version of this manuscript. This study was supported by the National Natural Science Foundation of China (NSFC 41576164); Chinese Polar Environment Comprehensive Investigation &amp; Assessment Programmes (CHINARE2015-01-06 and CHINARE2015-01-05); the Scientific and Technological Innovation Project by Qingdao National Laboratory for Marine Science and Technology (No. 2015ASKJ02); and the CNRS-NSFC Joint Research Projects Program (NSFC 41711530149).</t>
  </si>
  <si>
    <t>10.1007/s00300-018-2375-5</t>
  </si>
  <si>
    <t>WOS:000446075800017</t>
  </si>
  <si>
    <t>Sallaberry-Pincheira, P; Galvez, P; Molina-Burgos, BE; Fernandoy, F; Melendez, R; Klarian, SA</t>
  </si>
  <si>
    <t>Sallaberry-Pincheira, Pauline; Galvez, Patricio; Molina-Burgos, Blanca E.; Fernandoy, Francisco; Melendez, Roberto; Klarian, Sebastian A.</t>
  </si>
  <si>
    <t>Diet and food consumption of the Patagonian toothfish (Dissostichus eleginoides) in South Pacific Antarctic waters</t>
  </si>
  <si>
    <t>Stable isotopes; Evacuation rate; Daily ration; Chilean sea bass</t>
  </si>
  <si>
    <t>DEEP-SEA FISHERIES; GASTRIC EVACUATION; FALKLAND ISLANDS; STOMACH CONTENTS; STABLE-ISOTOPES; IONIAN SEA; FISH; ECOLOGY; ASSUMPTIONS; BATHYAL</t>
  </si>
  <si>
    <t>The Patagonian toothfish, Dissostichus eleginoides, is a fish with high commercial value in all countries bordering the southern cone of Pacific and Atlantic waters. Like most fishing landings, the fishing status of the toothfish has collapsed, and thus ecosystem-based fisheries management is needed in Antarctic waters. Therefore, the stomach contents, stable isotopes, and gastric evacuation and food consumption rates were analyzed to describe the diet and infer possible prey species of individuals of Dissostichus eleginoides in the Antarctic Pacific Ocean. The results show that rattails and hakes were the most important prey in the diet of the Patagonian toothfish, composing 54.1 and 33.3% of the diet, respectively. The gastric evacuation rate was 1.8 g h(-1), and the rate of food consumption was 2.1% of the body weight, which indicates that D. eleginoides is a predator with frequent feeding behavior and a high predation rate in the deep waters above the continental platform.</t>
  </si>
  <si>
    <t>[Sallaberry-Pincheira, Pauline; Molina-Burgos, Blanca E.; Fernandoy, Francisco; Klarian, Sebastian A.] Univ Andres Bello, Fac Ciencias Vida, CIS, 440 Republ St, Santiago, Chile; [Galvez, Patricio] Inst Fomento Pesquero, 839 Blanco St, Valparaiso, Chile; [Fernandoy, Francisco; Klarian, Sebastian A.] Univ Andres Bello, Fac Ciencias Vida, Ctr Invest Marina Quintay CIMARQ, 980 Quillota St, Vina Del Mar, Chile; [Fernandoy, Francisco; Klarian, Sebastian A.] Univ Andres Bello, Fac Ingn, LAI, 980 Quillota St, Vina Del Mar, Chile</t>
  </si>
  <si>
    <t>Universidad Andres Bello; Instituto de Fomento Pesquero (Valparaiso); Universidad Andres Bello; Universidad Andres Bello</t>
  </si>
  <si>
    <t>Klarian, SA (corresponding author), Univ Andres Bello, Fac Ciencias Vida, CIS, 440 Republ St, Santiago, Chile.;Klarian, SA (corresponding author), Univ Andres Bello, Fac Ciencias Vida, Ctr Invest Marina Quintay CIMARQ, 980 Quillota St, Vina Del Mar, Chile.;Klarian, SA (corresponding author), Univ Andres Bello, Fac Ingn, LAI, 980 Quillota St, Vina Del Mar, Chile.</t>
  </si>
  <si>
    <t>sebastian.klarian@unab.cl</t>
  </si>
  <si>
    <t>Fernandoy, Francisco/0000-0003-2252-7746</t>
  </si>
  <si>
    <t>Project ASIPA 2013: IFOP-SUBPESCA: Seguimientos de las pesquerias demersales de aguas profundas, 2013</t>
  </si>
  <si>
    <t>This study was financed by Project ASIPA 2013: IFOP-SUBPESCA: Seguimientos de las pesquerias demersales de aguas profundas, 2013.</t>
  </si>
  <si>
    <t>10.1007/s00300-018-2360-z</t>
  </si>
  <si>
    <t>WOS:000446075800019</t>
  </si>
  <si>
    <t>Liu, YZ; Cong, PX; Li, BJ; Song, Y; Liu, YJ; Xu, J; Xue, CH</t>
  </si>
  <si>
    <t>Liu, Yanzi; Cong, Peixu; Li, Beijia; Song, Yu; Liu, Yanjun; Xu, Jie; Xue, Changhu</t>
  </si>
  <si>
    <t>Effect of thermal processing towards lipid oxidation and non-enzymatic browning reactions of Antarctic krill (Euphausia superba) meal</t>
  </si>
  <si>
    <t>JOURNAL OF THE SCIENCE OF FOOD AND AGRICULTURE</t>
  </si>
  <si>
    <t>Antarctic krill; lipid oxidation; molecular species; thermal processing; hydrolysis; pyrrolization</t>
  </si>
  <si>
    <t>TANDEM MASS-SPECTROMETRY; FISH-OIL; FATTY-ACIDS; SEPARATION; IDENTIFICATION; PHOSPHOLIPIDS; DEGRADATION; CHOLESTEROL; STABILITY; PRODUCTS</t>
  </si>
  <si>
    <t>BACKGROUNDAntarctic krill is a huge source of biomass and prospective high-quality lipid source. Eicosapentaenoic acid (EPA) and docosahexaenoic acid (DHA), nutritionally important lipid components with poor oxidative stability, were used as markers of oxidation during thermal processing of Antarctic krill (Euphausia superba) meal by evaluating the lipolysis, lipid oxidation, and non-enzymatic browning reactions. RESULTLiquid chromatography-mass spectrometry of the phospholipids and the main oxidation products of free fatty acids and phosphatidylcholine (PC) was effective for evaluating the oxidation of EPA and DHA. During boiling, oxidation of EPA and DHA in the free fatty acid and PC fractions and hydrolysis of the fatty acids at the sn-2 position of the phospholipids were predominant. The changes in PC during drying were mainly attributed to the oxidation of EPA and DHA. Heat treatment increased the oxidation products and concentration of hydrophobic pyrrole owing to pyrrolization between phosphatidylethanolamine and the lipid oxidation products. CONCLUSIONThe lipid oxidation level of Antarctic krill increased after drying, owing to prolonged heating under the severe conditions. (c) 2018 Society of Chemical Industry</t>
  </si>
  <si>
    <t>[Liu, Yanzi; Cong, Peixu; Li, Beijia; Song, Yu; Liu, Yanjun; Xu, Jie; Xue, Changhu] Ocean Univ China, Coll Food Sci &amp; Engn, 5 Yu Shan Rd, Qingdao 266003, Shandong, Peoples R China</t>
  </si>
  <si>
    <t>Ocean University of China</t>
  </si>
  <si>
    <t>Xu, J (corresponding author), Ocean Univ China, Coll Food Sci &amp; Engn, 5 Yu Shan Rd, Qingdao 266003, Shandong, Peoples R China.</t>
  </si>
  <si>
    <t>xujie9@ouc.edu.cn</t>
  </si>
  <si>
    <t>Liu, Yanjun/JZC-8366-2024</t>
  </si>
  <si>
    <t>Liu, Yanjun/0000-0002-0627-928X</t>
  </si>
  <si>
    <t>National Natural Science Foundation of China [31330060]</t>
  </si>
  <si>
    <t>This research was funded by a grant from the National Natural Science Foundation of China (No. 31330060).</t>
  </si>
  <si>
    <t>0022-5142</t>
  </si>
  <si>
    <t>1097-0010</t>
  </si>
  <si>
    <t>J SCI FOOD AGR</t>
  </si>
  <si>
    <t>J. Sci. Food Agric.</t>
  </si>
  <si>
    <t>10.1002/jsfa.9064</t>
  </si>
  <si>
    <t>Agriculture, Multidisciplinary; Chemistry, Applied; Food Science &amp; Technology</t>
  </si>
  <si>
    <t>Agriculture; Chemistry; Food Science &amp; Technology</t>
  </si>
  <si>
    <t>GV1PI</t>
  </si>
  <si>
    <t>WOS:000445851500012</t>
  </si>
  <si>
    <t>Quirchmayr, R</t>
  </si>
  <si>
    <t>Quirchmayr, Ronald</t>
  </si>
  <si>
    <t>A steady, purely azimuthal flow model for the Antarctic Circumpolar Current</t>
  </si>
  <si>
    <t>MONATSHEFTE FUR MATHEMATIK</t>
  </si>
  <si>
    <t>Geophysical flows; Ocean dynamics; Eddy viscosity; f-plane approximation; 86A05; 35Q35</t>
  </si>
  <si>
    <t>DYNAMICS; CIRCULATION; EXISTENCE; OCEAN</t>
  </si>
  <si>
    <t>We consider a steady, purely azimuthal eddy viscosity flow model for the Antarctic Circumpolar Current and derive an exact formula for the solution.</t>
  </si>
  <si>
    <t>[Quirchmayr, Ronald] KTH Royal Inst Technol, Dept Math, Lindstedtsvagen 25, S-10044 Stockholm, Sweden</t>
  </si>
  <si>
    <t>Royal Institute of Technology</t>
  </si>
  <si>
    <t>Quirchmayr, R (corresponding author), KTH Royal Inst Technol, Dept Math, Lindstedtsvagen 25, S-10044 Stockholm, Sweden.</t>
  </si>
  <si>
    <t>ronaldq@kth.se</t>
  </si>
  <si>
    <t>Quirchmayr, Ronald/0000-0002-2240-1812</t>
  </si>
  <si>
    <t>Austrian Science Fund (FWF) [W1245]; European Research Council [682537]; Austrian Science Fund (FWF) [W1245] Funding Source: Austrian Science Fund (FWF)</t>
  </si>
  <si>
    <t>Austrian Science Fund (FWF)(Austrian Science Fund (FWF)); European Research Council(European Research Council (ERC)); Austrian Science Fund (FWF)(Austrian Science Fund (FWF))</t>
  </si>
  <si>
    <t>The support of the Austrian Science Fund (FWF), Grant W1245, and the European Research Council, Consolidator Grant No. 682537 is acknowledged.</t>
  </si>
  <si>
    <t>0026-9255</t>
  </si>
  <si>
    <t>1436-5081</t>
  </si>
  <si>
    <t>MONATSH MATH</t>
  </si>
  <si>
    <t>Mon.heft. Math.</t>
  </si>
  <si>
    <t>10.1007/s00605-017-1097-z</t>
  </si>
  <si>
    <t>GU9GV</t>
  </si>
  <si>
    <t>WOS:000445654000010</t>
  </si>
  <si>
    <t>Little, HJ; Vichi, M; Thomalla, SJ; Swart, S</t>
  </si>
  <si>
    <t>Little, H. J.; Vichi, M.; Thomalla, S. J.; Swart, S.</t>
  </si>
  <si>
    <t>Spatial and temporal scales of chlorophyll variability using high-resolution glider data</t>
  </si>
  <si>
    <t>Chlorophyll-a; Empirical mode decomposition; Gliders; Southern Ocean; Sub-mesoscale; Phytoplankton phenology</t>
  </si>
  <si>
    <t>OCEAN COLOR ALGORITHMS; SEASONAL CYCLE; SOUTHERN-OCEAN; CO2 FLUXES; SEA; PATCHINESS; DYNAMICS; ATLANTIC; SURFACE</t>
  </si>
  <si>
    <t>In the Southern Ocean, increasing evidence from recent studies is highlighting the need for high-resolution sampling at fine spatial (meso- to sub-mesoscale) and temporal scales (intra-seasonal) in order to understand longer-term variability of phytoplankton and the controlling physical and biogeochemical processes. Here, highresolution glider data (3 hourly, 2 km horizontal resolution) and satellite ocean colour data (2-4 km) from the Sub-Antarctic zone (SAZ) were used to 1) quantify the dominant scales of variability of the glider time series, 2) determine the minimum sampling frequency required to adequately characterise the glider time series and 3) discriminate how much of the variability measured with a glider is the result of temporal variations versus spatial patchiness. Results highlight the important role of signals shorter than 10 days in characterising surface chlorophyll (chl-a) variability, particularly in spring (97%) and to a lesser degree in summer (27%). These small scales of variability were also evident in the physical indices of SST, wind stress and mixed layer depth. Further analysis revealed that sampling at high frequencies (&lt; 10 days) are required to adequately resolve and characterise the seasonal and intra-seasonal mean state and variability of chl-a in the SAZ. Spatial analysis found that surface chl-a is patchier than surface temperature, as previously found in the North Atlantic. In addition, our seasonal analyses found that patchiness at smaller scales decreases in summer (relative to spring) indicative of a more homogeneous phytoplankton distribution. A spring comparison of the glider and concurrent satellite data at similar spatial scales suggests that the chl-a variability captured by the glider is generally larger than observed in the remote sensing images and may be driven by daily fluctuations.</t>
  </si>
  <si>
    <t>[Little, H. J.; Vichi, M.; Thomalla, S. J.; Swart, S.] Univ Cape Town, Dept Oceanog, ZA-7701 Rondebosch, South Africa; [Little, H. J.; Vichi, M.; Thomalla, S. J.; Swart, S.] Univ Cape Town, Marine Res Inst, ZA-7701 Rondebosch, South Africa; [Thomalla, S. J.; Swart, S.] CSIR, Southern Ocean Carbon &amp; Climate Observ, POB 320, ZA-7599 Stellenbosch, South Africa; [Swart, S.] Univ Gothenburg, Dept Marine Sci, Gothenburg, Sweden</t>
  </si>
  <si>
    <t>University of Cape Town; University of Cape Town; Council for Scientific &amp; Industrial Research (CSIR) - South Africa; University of Gothenburg</t>
  </si>
  <si>
    <t>Vichi, M (corresponding author), Univ Cape Town, Dept Oceanog, ZA-7701 Rondebosch, South Africa.;Vichi, M (corresponding author), Univ Cape Town, Marine Res Inst, ZA-7701 Rondebosch, South Africa.</t>
  </si>
  <si>
    <t>marcello.vichi@uct.ac.za</t>
  </si>
  <si>
    <t>Thomalla, Sandy/AAS-4133-2021; Vichi, Marcello/GLR-9823-2022; Vichi, Marcello/B-8719-2008; Swart, Sebastiaan/U-5498-2017</t>
  </si>
  <si>
    <t>Vichi, Marcello/0000-0002-0686-9634; Vichi, Marcello/0000-0002-0686-9634; Swart, Sebastiaan/0000-0002-2251-8826</t>
  </si>
  <si>
    <t>Department of Science AMP; Technology (DST); South African NRF-SANAP [SNA14071475720]; Wallenberg Academy Fellowship [WAF 2015.0186]; NRF-SANAP [SNA14072880912]</t>
  </si>
  <si>
    <t>Department of Science AMP; Technology (DST); South African NRF-SANAP; Wallenberg Academy Fellowship; NRF-SANAP</t>
  </si>
  <si>
    <t>The South African ocean glider program is supported by the Department of Science &amp; Technology (DST) through the Sustainability &amp; Innovation in Southern Ocean Observational Infrastructure grant. S. Swart was supported by the South African NRF-SANAP, grant SNA14071475720 and a Wallenberg Academy Fellowship (WAF 2015.0186). Glider data originates from CSIR-SOCCO and is available at the National Centers for Environmental Information (https://www.ncei.noaa.gov/). M. Vichi and H. Little were additionally supported by NRF-SANAP grant SNA14072880912. Ocean colour and SST data is provided by the OceanColor Project and the wind data from NOAA/NCDC. We would also like to acknowledge the South African National Antarctic Programme (SANAP) and the crew and officers of RV SA Agulhas II for support in field operations. Sea Technology Services are acknowledged for their field and engineering support. Lastly, S. Swart thanks the numerous technical assistance and IOP hosting provided by Geoff Shilling and Craig Lee of the Applied Physics Laboratory, University of Washington.</t>
  </si>
  <si>
    <t>10.1016/j.jmarsys.2018.06.011</t>
  </si>
  <si>
    <t>WOS:000445313300001</t>
  </si>
  <si>
    <t>Frazer, EK; Langhorne, PJ; Williams, MJM; Goetz, KT; Costa, DP</t>
  </si>
  <si>
    <t>Frazer, Eamon K.; Langhorne, Pat J.; Williams, Michael J. M.; Goetz, Kimberly T.; Costa, Daniel P.</t>
  </si>
  <si>
    <t>A method for correcting seal-borne oceanographic data and application to the estimation of regional sea ice thickness</t>
  </si>
  <si>
    <t>Antarctica; Ross Sea [755-780 degrees S, 162-167 degrees E]; CTD profilers; Sea ice; Ice thickness; Weddell seals; Salinity correction</t>
  </si>
  <si>
    <t>SHELF WATER PLUME; SOUTHERN-OCEAN; MCMURDO SOUND; MIXED-LAYER; EVOLUTION; FREEBOARD; SALINITY; MODEL</t>
  </si>
  <si>
    <t>The high-latitude oceans surrounding Antarctica are substantially undersampled compared to lower latitudes. Mammal based instruments such as Conductivity-Temperature-Depth Satellite Relay Data Loggers (CTD-SRDLs) present one possible solution. Unfortunately, these are subject to instrument-dependent offsets in absolute salinity. This study investigates a set of satellite-transmitted data collected by CTD-SRDLs mounted on Weddell seals (Leptonychotes weddellii) in the South-western Ross Sea in 2011. The uncorrected salinity offset between devices was found to be up to 1.4 g kg(-1), making the data unsuitable for some oceanographic studies without correction. Here, a correction method was developed that uses profiles from pairs of CTD-SRDLs that are considered to be co-located and to sample the same body of water if they occur within defined time and space windows. Using least squares, a best-fit solution to the matrix of offsets in co-located pairs was found that reduces salinity offsets between the CTD-SRDLs. These offsets are smaller than the original offsets by a factor of 10. A calibrated reference instrument, that was co-located with some of the devices, provided further improvement in the absolute accuracy of all the CTD-SRDLs. Using the corrected CTD-SRDL data we estimate the rejection of salt into the water column by sea ice formation, and derived the time evolution of sea ice thickness in the South-western Ross Sea. Our estimates of regional sea ice thickness are in agreement with direct sea ice thickness measurements taken over a limited area in November 2011, providing further affirmation of our method.</t>
  </si>
  <si>
    <t>[Frazer, Eamon K.; Langhorne, Pat J.] Univ Otago, Dept Phys, POB 56, Dunedin 9016, New Zealand; [Williams, Michael J. M.; Goetz, Kimberly T.] Natl Inst Water &amp; Atmospher Res NIWA, Private Bag 14901, Wellington 6021, New Zealand; [Costa, Daniel P.] Univ Calif Santa Cruz, Dept Ecol &amp; Evolutionary Biol, 100 Shaffer Rd, Santa Cruz, CA 95060 USA</t>
  </si>
  <si>
    <t>University of Otago; National Institute of Water &amp; Atmospheric Research (NIWA) - New Zealand; University of California System; University of California Santa Cruz</t>
  </si>
  <si>
    <t>Frazer, EK (corresponding author), Univ Otago, Dept Phys, POB 56, Dunedin 9016, New Zealand.</t>
  </si>
  <si>
    <t>fraea318@student.otago.ac.nz; pat.langhorne@otago.ac.nz; Mike.Williams@niwa.co.nz; Kim.Goetz@niwa.co.nz; costa@ucsc.edu</t>
  </si>
  <si>
    <t>Goetz, Kimberly/AID-8232-2022; Frazer, Eamon/JOZ-2995-2023; Langhorne, Pat/C-3539-2018</t>
  </si>
  <si>
    <t>Langhorne, Pat/0000-0003-0239-7657; Frazer, Eamon/0000-0002-6072-6554</t>
  </si>
  <si>
    <t>University of Otago; NIWA; Deep South National Challenge; University of Alaska Anchorage; National Science Foundation (NSF) Office of Polar Programs [ANT-0838892]</t>
  </si>
  <si>
    <t>University of Otago; NIWA; Deep South National Challenge; University of Alaska Anchorage; National Science Foundation (NSF) Office of Polar Programs(National Science Foundation (NSF))</t>
  </si>
  <si>
    <t>The authors are grateful to the University of Otago, theNIWA core funded project, Antarctic and High Latitude Climate, and the Deep South National Challenge, for financial support for this project. The authors are also grateful to Jennifer M. Burns, from the University of Alaska Anchorage, who was co-principal investigator on the grant that funded all of the field work, and Alena Malyarenko, from the University of Otago, who contributed data processing advice and provided insight to expected oceanography.; The CTD-SRDL deployments were supported by the National Science Foundation (NSF) Office of Polar Programs (ANT-0838892) and L. Huckstadt, L. Pearson, J. Maresh, M. LaRue, B. Herried, P. Robinson, C. Burns, M. Zavanelli, and A. Eilers assisted in their deployment.</t>
  </si>
  <si>
    <t>10.1016/j.jmarsys.2018.08.002</t>
  </si>
  <si>
    <t>WOS:000445313300018</t>
  </si>
  <si>
    <t>Talalay, P; Liu, G; Wang, RS; Fan, XP; Hong, JL; Gong, D; Liu, BW; Liu, A; Mihail, S</t>
  </si>
  <si>
    <t>Talalay, Pavel; Liu, Gang; Wang, Rusheng; Fan, Xiaopeng; Hong, Jialin; Gong, Da; Liu, Bowen; Liu, An; Mihail, Sysoev</t>
  </si>
  <si>
    <t>Shallow hot-water ice drill: Estimation of drilling parameters and testing</t>
  </si>
  <si>
    <t>COLD REGIONS SCIENCE AND TECHNOLOGY</t>
  </si>
  <si>
    <t>Hot water drilling; High-pressure washer; Nozzle; Ice melting</t>
  </si>
  <si>
    <t>DESIGN</t>
  </si>
  <si>
    <t>Shallow hot-water systems are well-known ice-drilling devices used to create holes for temperature measurements and monitoring of glacier dynamics, basal sliding, and englacial water-pressure. A shallow hot-water ice drill system designed at Jilin University is based on a commercial high-pressure washer, Karcher HDS 6/14C, that can deliver water at a temperature in the range of 80-155 degrees C, a flow of 4-10 L/min and a pressure as high as 14 MPa. The system also includes a mast with a sheave on the top and a reel with a 100-m long rubber hose; a 2m long, 60-mm diameter drill stem; a control and measuring system; sleds; a submersible pump; a return hose; a water tank with an affiliate heating unit; and a small 2-kW generator. Theoretical estimations were performed to predict the rate of penetration and mean diameter of the melted borehole. Experiments with a shallow hot-water drill were carried out in an ice drill testing facility to determine the relationship between the rate of penetration/borehole diameter and the diameter and type of nozzle, hot water temperature, and flowrate. Under a hot water flowrate of 10 L/min with a temperature of 60 degrees C, the 1.8-mm and 2-mm nozzles created 98-114-mm diameter boreholes at a penetration rate of 34-37 m/h, while a 2.5-mm nozzle produced a 146-156-mm borehole at rate of 26 m/h. The deviation between the experimental data and theoretical estimations did not exceed 7%.</t>
  </si>
  <si>
    <t>[Talalay, Pavel; Liu, Gang; Wang, Rusheng; Fan, Xiaopeng; Hong, Jialin; Gong, Da; Liu, Bowen; Liu, An; Mihail, Sysoev] Jilin Univ, Polar Res Ctr, 938 Ximinzhu Str, Changchun 130021, Jilin, Peoples R China</t>
  </si>
  <si>
    <t>Jilin University</t>
  </si>
  <si>
    <t>Liu, G (corresponding author), Jilin Univ, Polar Res Ctr, 938 Ximinzhu Str, Changchun 130021, Jilin, Peoples R China.</t>
  </si>
  <si>
    <t>gangliu16@mails.jlu.edu.cn</t>
  </si>
  <si>
    <t>Talalay, Pavel/0000-0002-8230-4600</t>
  </si>
  <si>
    <t>National Science Foundation of China [41476160, 41706214]; Ministry of Science and Technology of China [2016YFC1400300]; Program for Jilin University Science and Technology Innovative Research Team [2017TD-24]; Fundamental Research Funds for the Central Universities</t>
  </si>
  <si>
    <t>National Science Foundation of China(National Natural Science Foundation of China (NSFC)); Ministry of Science and Technology of China(Ministry of Science and Technology, China); Program for Jilin University Science and Technology Innovative Research Team; Fundamental Research Funds for the Central Universities(Fundamental Research Funds for the Central Universities)</t>
  </si>
  <si>
    <t>This study was conducted with the support of the National Science Foundation of China (Project Nos. 41476160 and 41706214), the Ministry of Science and Technology of China (Project No. 2016YFC1400300), the Program for Jilin University Science and Technology Innovative Research Team (Project No. 2017TD-24), and the Fundamental Research Funds for the Central Universities. The authors would like to thank A. Pyne (Antarctic Research Centre, Victoria University of Wellington, New Zealand) and anonymous reviewer for fruitful suggestions, useful comments and editing.</t>
  </si>
  <si>
    <t>0165-232X</t>
  </si>
  <si>
    <t>1872-7441</t>
  </si>
  <si>
    <t>COLD REG SCI TECHNOL</t>
  </si>
  <si>
    <t>Cold Reg. Sci. Tech.</t>
  </si>
  <si>
    <t>10.1016/j.coldregions.2018.07.006</t>
  </si>
  <si>
    <t>GT4ZF</t>
  </si>
  <si>
    <t>WOS:000444514700002</t>
  </si>
  <si>
    <t>Herrmann, B; Krogh, LA; Krafft, BA</t>
  </si>
  <si>
    <t>Herrmann, Bent; Krogh, Ludvig A.; Krafft, Bjorn A.</t>
  </si>
  <si>
    <t>Size selection of Antarctic krill (Euphausia superba) in a commercial codend and trawl body</t>
  </si>
  <si>
    <t>Zooplankton fishery; Size selectivity; Sequential selectivity process</t>
  </si>
  <si>
    <t>NORTH-SEA; CIRCUMFERENCE; FISHERY; HADDOCK; MODEL</t>
  </si>
  <si>
    <t>During fishing, many fish species are able to avoid the net walls of the trawl body and so the majority of size selection occurs in the codend of the net. Antarctic krill (Euphausia superba) are regarded as true planktonic organisms passively drifting with currents, but they also display self-locomotion by active swimming. There is a lack of knowledge regarding the behavior of krill during the fishing process, and extrapolating results obtained for other species to krill is of limited value. In the case of krill, it is largely unknown to what extent the codend versus the trawl body contributes to the size selection process. The current study aims to quantify the size selection of krill in a commercially applied codend during experimental fishing. Combining these results with a model for full trawl size selectivity it was possible to provide an insight to the size selection process in the trawl body. Specifically, the study applied a two-step approach by first estimating the size selectivity of a commercial codend and second used the codend size selectivity obtained in this study to estimate the trawl body size selectivity of a commercial trawl based on entire trawl-selectivity obtained in a previous study. The results of this two-step analysis revealed that the trawl body contributes significantly to the total size selection process, demonstrating that size selectivity of Antarctic krill in commercial trawls is affected by both the trawl body and the codend.</t>
  </si>
  <si>
    <t>[Herrmann, Bent] SINTEF Fisheries &amp; Aquaculture, Fishing Gear Technol, Hirtshals, Denmark; [Krogh, Ludvig A.] Tech Univ Denmark, DTU Aqua, Hirtshals, Denmark; [Krafft, Bjorn A.] Inst Marine Res, Bergen, Norway</t>
  </si>
  <si>
    <t>SINTEF; Technical University of Denmark; Institute of Marine Research - Norway</t>
  </si>
  <si>
    <t>Herrmann, B (corresponding author), SINTEF Fisheries &amp; Aquaculture, Fishing Gear Technol, Hirtshals, Denmark.</t>
  </si>
  <si>
    <t>Bent.Herrmann@sintef.no</t>
  </si>
  <si>
    <t>Krag, Ludvig Ahm/0000-0002-1531-1499; Herrmann, Bent/0000-0003-1325-6198</t>
  </si>
  <si>
    <t>Institute of Marine Research in Norway [243619]; Norwegian Research Council [243619]</t>
  </si>
  <si>
    <t>Institute of Marine Research in Norway; Norwegian Research Council(Research Council of Norway)</t>
  </si>
  <si>
    <t>The Institute of Marine Research in Norway and The Norwegian Research Council provided financial support (grant number 243619) for this study. We thank the two Norwegian fishing companies Rimfrost AS and Aker Biomarine AS, for providing their vessels and crew for the collection of data and thus making this field experiment possible. Finally, we want to express our gratitude to the anonymous reviewers for their valuable comments during the review process which helped improving this manuscript greatly.</t>
  </si>
  <si>
    <t>10.1016/j.fishres.2018.05.028</t>
  </si>
  <si>
    <t>GQ9BC</t>
  </si>
  <si>
    <t>WOS:000442059900006</t>
  </si>
  <si>
    <t>Schmid, M; Kraft, LGK; van der Loos, LM; Kraft, GT; Virtue, P; Nichols, PD; Hurd, CL</t>
  </si>
  <si>
    <t>Schmid, Matthias; Kraft, Lesleigh G. K.; van der Loos, Luna M.; Kraft, Gerald T.; Virtue, Patti; Nichols, Peter D.; Hurd, Catriona L.</t>
  </si>
  <si>
    <t>Southern Australian seaweeds: A promising resource for omega-3 fatty acids</t>
  </si>
  <si>
    <t>FOOD CHEMISTRY</t>
  </si>
  <si>
    <t>Macroalgae; Fatty acid profiles; LC-PUFA; EPA; Omega-3 fatty acids</t>
  </si>
  <si>
    <t>FATTY-ACID-COMPOSITION; MARINE MACROALGAE; FOOD; ALGAE; PHAEOPHYCEAE; VARIABILITY; BENEFITS; LIPIDS</t>
  </si>
  <si>
    <t>To assess the suitability of southern-Australian macroalgae as potential marine resources for fatty acids (FA), and in particular polyunsaturated fatty acids (PUFA), analysis of 61 species, comprising of 11 Chlorophyta, 17 Phaeophyceae (Ochrophyta) and 33 Rhodophyta, was conducted. Total fatty acid (TFA) concentrations varied considerably (between 0.6 and 7.8 in % of dry weight (DW)) between species, with on average the highest concentrations being in the Phaeophyceae, then the Chlorophyta, and with the Rhodophyta recording the lowest average concentrations. Results revealed significant differences in the fatty acid profiles of the three algal groups. Most species exhibit high proportions of PUFA in their fatty acid profile and a low ratio of n-6/n-3 PUFA. These properties highlight the potential for southern-Australian macroalgae to be used for these FA in food, animal feed and nutraceutical applications.</t>
  </si>
  <si>
    <t>[Schmid, Matthias; Kraft, Lesleigh G. K.; van der Loos, Luna M.; Virtue, Patti; Nichols, Peter D.; Hurd, Catriona L.] Univ Tasmania, Inst Marine &amp; Antarctic Studies, Hobart, Tas, Australia; [Kraft, Lesleigh G. K.] Univ New Brunswick, Fredericton, NB, Canada; [van der Loos, Luna M.] Univ Groningen, Marine Ecol, Nijenborgh 7, NL-9747 AG Groningen, Netherlands; [Kraft, Gerald T.] Univ Melbourne, Sch Bot, Parkville, Vic, Australia; [Virtue, Patti; Nichols, Peter D.] CSIRO Oceans &amp; Atmosphere, Hobart, Tas, Australia; [Kraft, Gerald T.] Univ Tasmania, Tasmanian Herbarium, Hobart, Tas, Australia</t>
  </si>
  <si>
    <t>University of Tasmania; University of New Brunswick; University of Groningen; University of Melbourne; Commonwealth Scientific &amp; Industrial Research Organisation (CSIRO); University of Tasmania</t>
  </si>
  <si>
    <t>Schmid, M (corresponding author), Univ Tasmania, Inst Marine &amp; Antarctic Studies, Hobart, Tas, Australia.</t>
  </si>
  <si>
    <t>matthias.schmid@utas.edu.au; gtk@unimelb.edu.au; p.virtue@utas.edu.au; peter.nichols@csiro.au; catriona.hurd@utas.edu.au</t>
  </si>
  <si>
    <t>Nichols, Peter D/C-5128-2011; Hurd, Catriona/J-2411-2013</t>
  </si>
  <si>
    <t>van der Loos, Luna/0000-0003-3686-2844; Schmid, Matthias/0000-0002-7482-7356; Hurd, Catriona/0000-0001-9965-4917</t>
  </si>
  <si>
    <t>Endeavour Scholarship (Department of Education and Training) [ERF_PDR_5513_2016]; Deutsche Forschungsgemeinschaft (DFG) [SCHM 3335/1-1]</t>
  </si>
  <si>
    <t>Endeavour Scholarship (Department of Education and Training); Deutsche Forschungsgemeinschaft (DFG)(German Research Foundation (DFG))</t>
  </si>
  <si>
    <t>This work was supported by an Endeavour Scholarship (Department of Education and Training, ERF_PDR_5513_2016) and subsequent funding through the Deutsche Forschungsgemeinschaft (DFG, grant ID: SCHM 3335/1-1) granted to the first author. The authors thank the editor and two anonymous reviewers for their helpful comments on the manuscript.</t>
  </si>
  <si>
    <t>0308-8146</t>
  </si>
  <si>
    <t>1873-7072</t>
  </si>
  <si>
    <t>FOOD CHEM</t>
  </si>
  <si>
    <t>Food Chem.</t>
  </si>
  <si>
    <t>10.1016/j.foodchem.2018.05.060</t>
  </si>
  <si>
    <t>Chemistry, Applied; Food Science &amp; Technology; Nutrition &amp; Dietetics</t>
  </si>
  <si>
    <t>Chemistry; Food Science &amp; Technology; Nutrition &amp; Dietetics</t>
  </si>
  <si>
    <t>GI6EJ</t>
  </si>
  <si>
    <t>WOS:000434462000010</t>
  </si>
  <si>
    <t>Zou, X; Hou, SG; Liu, K; Yu, JH; Zhang, WB; Pang, HX; Hua, R; Mayewski, P</t>
  </si>
  <si>
    <t>Zou, Xiang; Hou, Shugui; Liu, Ke; Yu, Jinhai; Zhang, Wangbin; Pang, Hongxi; Hua, Rong; Mayewski, Paul</t>
  </si>
  <si>
    <t>Uranium record from a 3 m snow pit at Dome Argus, East Antarctica</t>
  </si>
  <si>
    <t>TRACE-ELEMENT; ICE CORE; POLLUTION; DUST; FIRN; VARIABILITY; CHEMISTRY; PATTERNS; POSITION; ESTUARY</t>
  </si>
  <si>
    <t>Understanding the distribution and transport of Uranium is important because it can lead to both chemical and radiological toxicity. This study presents the Uranium concentrations time series from 1964 to 2009 obtained from a 3 m deep snow pit at Dome Argus, East Antarctic Plateau. The data shows that Uranium concentrations vary from 0.0067 pg g -1 to 0.12 pg g(-1), with a mean concentration of 0.044 pg g(-1). Its mean concentration is 2-3 folds lower than at West Antarctica study sites, such as the Antarctic Peninsula (mean 0.12 pg g(-1)), IC6 (Ice Core-6) (mean 0.11 pg g(-1)) and a suite of ice cores from the US ITASE traverse. Before the mid-1980s, the varieties of Uranium concentrations are relatively stable, with a very low mean concentration of 0.016 pg g -l and its main source is sea salt deposition, while a small number of anthropogenic sources are likely to be caused by Uranium mining operations in South Africa. A remarkable increase of Uranium concentrations has occurred since the mid-1980s (by a factor of similar to 9) compared with the amount before the mid-1980s. This increase coincides with the Uranium records at IC-6 and Antarctic Peninsula (DP-07-01) during the same period, and are mostly attributed to Uranium mining operations in Australia as a potential primary anthropogenic Uranium source. Our observations suggest that Uranium pollution in the atmosphere might have already become a global phenomenon.</t>
  </si>
  <si>
    <t>[Zou, Xiang; Hou, Shugui; Liu, Ke; Yu, Jinhai; Zhang, Wangbin; Pang, Hongxi; Hua, Rong] Nanjing Univ, Sch Geog &amp; Oceanog Sci, Nanjing, Jiangsu, Peoples R China; [Hou, Shugui] CAS Ctr Excellence Tibetan Plateau Earth Sci, Beijing, Peoples R China; [Mayewski, Paul] Univ Maine, Climate Change Inst, Orono, ME USA; [Mayewski, Paul] Univ Maine, Sch Earth &amp; Climate Sci, Orono, ME USA</t>
  </si>
  <si>
    <t>Nanjing University; University of Maine System; University of Maine Orono; University of Maine System; University of Maine Orono</t>
  </si>
  <si>
    <t>Hou, SG (corresponding author), Nanjing Univ, Sch Geog &amp; Oceanog Sci, Nanjing, Jiangsu, Peoples R China.;Hou, SG (corresponding author), CAS Ctr Excellence Tibetan Plateau Earth Sci, Beijing, Peoples R China.</t>
  </si>
  <si>
    <t>Shugui@nju.edu.cn</t>
  </si>
  <si>
    <t>Zou, Xiang/0000-0001-9917-6214; Hou, Shugui/0000-0002-0905-3542</t>
  </si>
  <si>
    <t>National Natural Science Foundation of China [41830644, 41330526, 41622605]; State Oceanic Administration; [CHINARE2012-02-02]</t>
  </si>
  <si>
    <t>National Natural Science Foundation of China(National Natural Science Foundation of China (NSFC)); State Oceanic Administration;</t>
  </si>
  <si>
    <t>This study was supported by National Natural Science Foundation of China(41830644, 41330526 and 41622605). This study was funded by State Oceanic Administration (www.soa.gov.cn) and grant number is CHINARE2012-02-02. Thanks to the support in the field from the Chinese Antarctic Expedition. The funders had no role in study design, data collection and analysis, decision to publish, or preparation of the manuscript.</t>
  </si>
  <si>
    <t>OCT 31</t>
  </si>
  <si>
    <t>e0206598</t>
  </si>
  <si>
    <t>10.1371/journal.pone.0206598</t>
  </si>
  <si>
    <t>GY7VH</t>
  </si>
  <si>
    <t>WOS:000448823700136</t>
  </si>
  <si>
    <t>Onofri, S; Selbmann, L; Pacelli, C; Zucconi, L; Rabbow, E; de Vera, JP</t>
  </si>
  <si>
    <t>Onofri, Silvano; Selbmann, Laura; Pacelli, Claudia; Zucconi, Laura; Rabbow, Elke; de Vera, Jean-Pierre</t>
  </si>
  <si>
    <t>Survival, DNA, and Ultrastructural Integrity of a Cryptoendolithic Antarctic Fungus in Mars and Lunar Rock Analogues Exposed Outside the International Space Station</t>
  </si>
  <si>
    <t>ASTROBIOLOGY</t>
  </si>
  <si>
    <t>Cryomyces antarcticus; EXPOSE-R2; Habitability; Mars conditions; Space conditions</t>
  </si>
  <si>
    <t>SIMULATED SPACE; BLACK FUNGI; RAPD ASSAY; HABITABILITY; RESISTANCE; RADIATION; LICHENS; BIOMEX; DAMAGE; LIFE</t>
  </si>
  <si>
    <t>The search for life beyond Earth involves investigation into the responses of model organisms to the deleterious effects of space. In the frame of the BIOlogy and Mars Experiment, as part of the European Space Agency (ESA) space mission EXPOSE-R2 in low Earth orbit (LEO), dried colonies of the Antarctic cryptoendolithic black fungus Cryomyces antarcticus CCFEE 515 were grown on martian and lunar analog regolith pellets, and exposed for 16 months to LEO space and simulated Mars-like conditions on the International Space Station. The results demonstrate that C. antarcticus was able to tolerate the combined stress of different extraterrestrial substrates, space, and simulated Mars-like conditions in terms of survival, DNA, and ultrastructural stability. Results offer insights into the habitability of Mars for future exploration missions on Mars. Implications for the detection of biosignatures in extraterrestrial conditions and planetary protection are discussed.</t>
  </si>
  <si>
    <t>[Onofri, Silvano; Selbmann, Laura; Pacelli, Claudia; Zucconi, Laura] Univ Tuscia, Dept Ecol &amp; Biol Sci, Viterbo, Italy; [Selbmann, Laura] Italian Natl Antarctic Museum, Sect Mycol, Viterbo, Italy; [Rabbow, Elke] German Aerosp Ctr, Inst Aerosp Med, Cologne, Germany; [de Vera, Jean-Pierre] German Aerosp Ctr DLR Berlin, Inst Planetary Res Management &amp; Infrastruct, Astrobiol Labs, Berlin, Germany</t>
  </si>
  <si>
    <t>Tuscia University; Helmholtz Association; German Aerospace Centre (DLR); Helmholtz Association; German Aerospace Centre (DLR)</t>
  </si>
  <si>
    <t>Selbmann, L (corresponding author), Univ Tuscia, Dept Ecol &amp; Biol Sci DEB, Largo Univ Snc, I-01100 Viterbo, Italy.</t>
  </si>
  <si>
    <t>selbmann@unitus.it</t>
  </si>
  <si>
    <t>Pacelli, Claudia/AAI-2677-2020; Selbmann, Laura/L-3056-2013; Zucconi, L./U-9781-2018</t>
  </si>
  <si>
    <t>Pacelli, Claudia/0000-0001-5113-4293; Selbmann, Laura/0000-0002-8967-3329; Zucconi, L./0000-0001-9793-2303; ONOFRI, Silvano/0000-0001-8872-1440</t>
  </si>
  <si>
    <t>European Space Agency (ESA); Italian Space Agency (ASI); Italian National Program of Antarctic Researches (PNRA); Italian National Antarctic Museum Felice Ippolito''</t>
  </si>
  <si>
    <t>European Space Agency (ESA)(European Space Agency); Italian Space Agency (ASI)(Agenzia Spaziale Italiana (ASI)); Italian National Program of Antarctic Researches (PNRA); Italian National Antarctic Museum Felice Ippolito''</t>
  </si>
  <si>
    <t>We thank the European Space Agency (ESA) for supporting the ISS experiment and the Russian cosmonauts who took care of the samples during the exposure. We also thank the Italian Space Agency (ASI) for cofunding the research (BIOMEX MCF Experiment on ISS for tracking biosignatures on martian and lunar rock analogues and E-GEM GeoMicrobiology for Space Exploration grants), the Italian National Program of Antarctic Researches (PNRA), and Italian National Antarctic Museum Felice Ippolito'' for funding the collection of Antarctic fungi CCFEE.</t>
  </si>
  <si>
    <t>MARY ANN LIEBERT, INC</t>
  </si>
  <si>
    <t>NEW ROCHELLE</t>
  </si>
  <si>
    <t>140 HUGUENOT STREET, 3RD FL, NEW ROCHELLE, NY 10801 USA</t>
  </si>
  <si>
    <t>1531-1074</t>
  </si>
  <si>
    <t>1557-8070</t>
  </si>
  <si>
    <t>Astrobiology</t>
  </si>
  <si>
    <t>FEB 1</t>
  </si>
  <si>
    <t>10.1089/ast.2017.1728</t>
  </si>
  <si>
    <t>OCT 2018</t>
  </si>
  <si>
    <t>Astronomy &amp; Astrophysics; Biology; Geosciences, Multidisciplinary</t>
  </si>
  <si>
    <t>Astronomy &amp; Astrophysics; Life Sciences &amp; Biomedicine - Other Topics; Geology</t>
  </si>
  <si>
    <t>HR7WB</t>
  </si>
  <si>
    <t>WOS:000448645000001</t>
  </si>
  <si>
    <t>Chen, B; Haeger, C; Kaban, MK; Petrunin, AG</t>
  </si>
  <si>
    <t>Chen, Bo; Haeger, Carina; Kaban, Mikhail K.; Petrunin, Alexey G.</t>
  </si>
  <si>
    <t>Variations of the effective elastic thickness reveal tectonic fragmentation of the Antarctic lithosphere</t>
  </si>
  <si>
    <t>TECTONOPHYSICS</t>
  </si>
  <si>
    <t>Antarctica; Effective elastic thickness; Lithosphere; Gamburtsev Subglacial Mountains; Fan wavelet method</t>
  </si>
  <si>
    <t>TRANSANTARCTIC MOUNTAINS; LAMBERT GRABEN; T-E; CONTINENTAL LITHOSPHERE; ISOSTATIC RESPONSE; WAVELET TRANSFORM; FLEXURAL RIGIDITY; WEST ANTARCTICA; EAST ANTARCTICA; SYNTHETIC DATA</t>
  </si>
  <si>
    <t>To this day, little is known about thermal and Theological properties of the Antarctic lithosphere. We derive the effective elastic thickness T-e as a proxy for these parameters by using ice thickness, bedrock topography and a combination of new satellite and high resolution terrestrial gravity data. Cross-spectral analysis based on the fan wavelet technique was employed to calculate T-e variations by means of admittance and coherence techniques. Our results confirm a clear tectonic division of Antarctica with predominantly high values in East Antarctica (EANT) (T-e similar to 60-80 km) and low values in West Antarctica (WANT) (T-e similar to 5-20 km). For the Transantarctic Mountains separating these provinces, we found T-e to be around 10 km along the whole chain which is comparable to WANT. Apart from this general division, we found fragmentation of the lithosphere within these provinces. Especially EANT doesn't represent a single lithospheric block but shows strong variations of T-e. The highest values are found around the Aurora Subglacial Basin (T-e similar to 90 km) and in Dronning Maud Land (T-e similar to 80 km). The minimum value of T-e within EANT (similar to 15 km) is found in the Lambert Graben. Such a low value can be associated with active rifting in the Permian-Triassic, strong localized erosion or possibly the effect of a Cenozoic mantle plume. According to the coherence calculations, the weak zone extends to the Gamburtsev Subglacial Mountains (GSM), showing a distinct decrease of T-e to 25-30 km. Thus, this weak channel divides the previously mentioned strong blocks. However, the admittance analysis gives relatively high values (T-e similar to 70 km) for the GSM. Based on the analysis of the wavelength-dependent admittance and coherence results and misfits for several principal locations, we give some preference to the coherence based values. (C) 2017 Elsevier B.V. All rights reserved.</t>
  </si>
  <si>
    <t>[Chen, Bo] Cent S Univ, Sch Geosci &amp; Infophys, Changsha, Hunan, Peoples R China; [Haeger, Carina; Kaban, Mikhail K.; Petrunin, Alexey G.] Helmholtz Ctr Potsdam, GFZ German Res Ctr Geosci, Potsdam, Germany; [Haeger, Carina] Free Univ Berlin, Fac Earth Sci, Berlin, Germany; [Petrunin, Alexey G.] Goethe Univ, Fac Earth Sci, D-60438 Frankfurt, Germany</t>
  </si>
  <si>
    <t>Central South University; Helmholtz Association; Helmholtz-Center Potsdam GFZ German Research Center for Geosciences; Free University of Berlin; Goethe University Frankfurt</t>
  </si>
  <si>
    <t>Kaban, MK (corresponding author), Helmholtz Ctr Potsdam, GFZ German Res Ctr Geosci, Potsdam, Germany.</t>
  </si>
  <si>
    <t>kaban@gfz-potsdam.de</t>
  </si>
  <si>
    <t>Kaban, Mikhail/ABA-7286-2020; Petrunin, Alexey/AAD-6186-2020</t>
  </si>
  <si>
    <t>Petrunin, Alexey/0000-0002-5439-4178; Kaban, Mikhail/0000-0002-1864-2234; Chen, Bo/0000-0002-0404-2799</t>
  </si>
  <si>
    <t>DFG (German Research Foundation) [SPP-1788, KA2669/4-1, PE2167/1-1]; National Natural Science Foundation of China [41404061]</t>
  </si>
  <si>
    <t>DFG (German Research Foundation)(German Research Foundation (DFG)); National Natural Science Foundation of China(National Natural Science Foundation of China (NSFC))</t>
  </si>
  <si>
    <t>We acknowledge funding from DFG (German Research Foundation), SPP-1788 (Grant KA2669/4-1), Grant PE2167/1-1, National Natural Science Foundation of China (Grant no. 41404061).</t>
  </si>
  <si>
    <t>0040-1951</t>
  </si>
  <si>
    <t>1879-3266</t>
  </si>
  <si>
    <t>Tectonophysics</t>
  </si>
  <si>
    <t>OCT 30</t>
  </si>
  <si>
    <t>10.1016/j.tecto.2017.06.012</t>
  </si>
  <si>
    <t>HE6EH</t>
  </si>
  <si>
    <t>WOS:000453495600027</t>
  </si>
  <si>
    <t>Zhou, XH; Yang, QH; Zhen, XJ; Li, YB; Hao, GH; Shen, H; Gao, T; Sun, YR; Zheng, N</t>
  </si>
  <si>
    <t>Zhou, Xinhua; Yang, Qinghua; Zhen, Xiaojie; Li, Yubin; Hao, Guanghua; Shen, Hui; Gao, Tian; Sun, Yirong; Zheng, Ning</t>
  </si>
  <si>
    <t>Recovery of the three-dimensional wind and sonic temperature data from a physically deformed sonic anemometer</t>
  </si>
  <si>
    <t>ATMOSPHERIC MEASUREMENT TECHNIQUES</t>
  </si>
  <si>
    <t>HEAT-FLUX; PRYDZ BAY; EQUATIONS; ICE</t>
  </si>
  <si>
    <t>A sonic anemometer reports three-dimensional (3D) wind and sonic temperature (T-s) by measuring the time of ultrasonic signals transmitting along each of its three sonic paths, whose geometry of lengths and angles in the anemometer coordinate system was precisely determined through production calibrations and the geometry data were embedded into the sonic anemometer operating system (OS) for internal computations. If this geometry is deformed, although correctly measuring the time, the sonic anemometer continues to use its embedded geometry data for internal computations, resulting in incorrect output of 3-D wind and T-s data. However, if the geometry is remeasured (i.e., recalibrated) and to update the OS, the sonic anemometer can resume outputting correct data. In some cases, where immediate recalibration is not possible, a deformed sonic anemometer can be used because the ultrasonic signal-transmitting time is still correctly measured and the correct time can be used to recover the data through post processing. For example, in 2015, a sonic anemometer was geometrically deformed during transportation to Antarctica. Immediate deployment was critical, so the deformed sonic anemometer was used until a replacement arrived in 2016. Equations and algorithms were developed and implemented into the post-processing software to recover wind data with and without transducer-shadow correction and T-s data with crosswind correction. Post-processing used two geometric datasets, production calibration and recalibration, to recover the wind and Ts data from May 2015 to January 2016. The recovery reduced the difference of 9.60 to 8.93 degrees C between measured and calculated T-s to 0.81 to -0.45 degrees C, which is within the expected range, due to normal measurement errors. The recovered data were further processed to derive fluxes. As data reacquisition is time-consuming and expensive, this data-recovery approach is a cost-effective and time-saving option for similar cases. The equation development can be a reference for related topics.</t>
  </si>
  <si>
    <t>[Zhou, Xinhua; Yang, Qinghua] Sun Yat Sen Univ, Sch Atmospher Sci, Guangdong Prov Key Lab Climate Change &amp; Nat Disas, Zhuhai 519082, Peoples R China; [Zhou, Xinhua; Gao, Tian; Sun, Yirong] Chinese Acad Sci, Inst Appl Ecol, CAS CSI Joint Lab Res &amp; Dev Monitoring Forest Flu, Shenyang 110016, Liaoning, Peoples R China; [Zhou, Xinhua; Zheng, Ning] Campbell Sci Incorp, Logan, UT 84321 USA; [Zhen, Xiaojie] Beijing Techno Solut Ltd, Beijing 100089, Peoples R China; [Li, Yubin] Nanjing Univ Informat Sci &amp; Technol, Nanjing 210044, Jiangsu, Peoples R China; [Hao, Guanghua; Shen, Hui] Natl Marine Environm Forecasting Ctr, Beijing 100081, Peoples R China</t>
  </si>
  <si>
    <t>Sun Yat Sen University; Chinese Academy of Sciences; Shenyang Institute of Applied Ecology, CAS; Nanjing University of Information Science &amp; Technology; National Marine Environmental Forecasting Center</t>
  </si>
  <si>
    <t>Yang, QH (corresponding author), Sun Yat Sen Univ, Sch Atmospher Sci, Guangdong Prov Key Lab Climate Change &amp; Nat Disas, Zhuhai 519082, Peoples R China.;Zheng, N (corresponding author), Campbell Sci Incorp, Logan, UT 84321 USA.</t>
  </si>
  <si>
    <t>yangqh25@mail.sysu.edu.cn; ning.zheng@campbellsci.com.cn</t>
  </si>
  <si>
    <t>Li, Yubin/HOC-0722-2023</t>
  </si>
  <si>
    <t>Li, Yubin/0000-0003-3965-3845</t>
  </si>
  <si>
    <t>National Key R&amp;D Program of China [2016YFA0600704]; National Natural Science Foundation of China [41376005, 41406218, 41505004, 31200432]</t>
  </si>
  <si>
    <t>National Key R&amp;D Program of China; National Natural Science Foundation of China(National Natural Science Foundation of China (NSFC))</t>
  </si>
  <si>
    <t>This study was supported by the National Key R&amp;D Program of China (grant no.: 2016YFA0600704), and the National Natural Science Foundation of China (grant nos.: 41376005, 41406218, 41505004, and 31200432). We thank the Chinese Arctic and Antarctic Administration and the Polar Research Institute of China for their field logistical support; Campbell Scientific and Beijing Techno Solutions Limited for their customer support; Steve Harston and Antoine Rousseau for technical graphic work; Carolyn Ivans, Bo Zhou, Mark Blonquist, and Hayden Mahan for their English polishing; and Linda Worlton-Jones for her professional English checks and revisions. We greatly thank Thomas Foken and the anonymous reviewer for their comments and input that improved our presentation and interpretations in this paper.</t>
  </si>
  <si>
    <t>1867-1381</t>
  </si>
  <si>
    <t>1867-8548</t>
  </si>
  <si>
    <t>ATMOS MEAS TECH</t>
  </si>
  <si>
    <t>Atmos. Meas. Tech.</t>
  </si>
  <si>
    <t>10.5194/amt-11-5981-2018</t>
  </si>
  <si>
    <t>GY6MF</t>
  </si>
  <si>
    <t>WOS:000448702400003</t>
  </si>
  <si>
    <t>Orellana, R; Macaya, C; Bravo, G; Dorochesi, F; Cumsille, A; Valencia, R; Rojas, C; Seeger, M</t>
  </si>
  <si>
    <t>Orellana, Roberto; Macaya, Constanza; Bravo, Guillermo; Dorochesi, Flavia; Cumsille, Andres; Valencia, Ricardo; Rojas, Claudia; Seeger, Michael</t>
  </si>
  <si>
    <t>Living at the Frontiers of Life: Extremophiles in Chile and Their Potential for Bioremediation</t>
  </si>
  <si>
    <t>extremophile; Chile; Atacama Desert; Altiplano; Patagonia; Antarctica; bioremediation</t>
  </si>
  <si>
    <t>TATIO GEYSER FIELD; RESISTANT ANTARCTIC BACTERIA; HIGH-ALTITUDE WETLANDS; ATACAMA DESERT; NORTHERN CHILE; SP-NOV.; DEINOCOCCUS-RADIODURANS; EL-TATIO; HOT-SPRINGS; AROMATIC-HYDROCARBONS</t>
  </si>
  <si>
    <t>Extremophiles are organisms capable of adjust, survive or thrive in hostile habitats that were previously thought to be adverse or lethal for life. Chile gathers a wide range of extreme environments: salars, geothermal springs, and geysers located at Altiplano and Atacama Desert, salars and cold mountains in Central Chile, and ice fields, cold lakes and fjords, and geothermal sites in Patagonia and Antarctica. The aims of this review are to describe extremophiles that inhabit main extreme biotopes in Chile, and their molecular and physiological capabilities that may be advantageous for bioremediation processes. After briefly describing the main ecological niches of extremophiles along Chilean territory, this review is focused on the microbial diversity and composition of these biotopes microbiomes. Extremophiles have been isolated in diverse zones in Chile that possess extreme conditions such as Altiplano, Atacama Desert, Central Chile, Patagonia, and Antarctica. Interesting extremophiles from Chile with potential biotechnological applications include thermophiles (e.g., Methanofollis tationis from Tatio Geyser), acidophiles (e.g., Acidithiobacillus ferrooxidans, Leptospirillum ferriphilum from Atacama Desert and Central Chile copper ores), halophiles (e.g., Shewanella sp. Asc-3 from Altiplano, Streptomyces sp. HKF-8 from Patagonia), alkaliphiles (Exiguobacterium sp. SH31 from Altiplano), xerotolerant bacteria (S. atacamensis from Atacama Desert), UV- and Gamma-resistant bacteria (Deinococcus peraridilitoris from Atacama Desert) and psychrophiles (e.g., Pseudomonas putida ATH-43 from Antarctica). The molecular and physiological properties of diverse extremophiles from Chile and their application in bioremediation or waste treatments are further discussed. Interestingly, the remarkable adaptative capabilities of extremophiles convert them into an attractive source of catalysts for bioremediation and industrial processes.</t>
  </si>
  <si>
    <t>[Orellana, Roberto; Macaya, Constanza; Bravo, Guillermo; Dorochesi, Flavia; Cumsille, Andres; Valencia, Ricardo; Rojas, Claudia; Seeger, Michael] Univ Tecn Federico Santa Maria, Dept Quim, Lab Microbiol Mol &amp; Biotecnol Ambiental, Valparaiso, Chile; [Orellana, Roberto; Macaya, Constanza; Bravo, Guillermo; Dorochesi, Flavia; Cumsille, Andres; Valencia, Ricardo; Rojas, Claudia; Seeger, Michael] Univ Tecn Federico Santa Maria, Ctr Biotecnol Daniel Alkalay Lowitt, Valparaiso, Chile; [Orellana, Roberto] Univ Playa Ancha, Dept Biol, Fac Ciencias Nat &amp; Exactas, Valparaiso, Chile</t>
  </si>
  <si>
    <t>Universidad Tecnica Federico Santa Maria; Universidad Tecnica Federico Santa Maria; Universidad de Playa Ancha</t>
  </si>
  <si>
    <t>Seeger, M (corresponding author), Univ Tecn Federico Santa Maria, Dept Quim, Lab Microbiol Mol &amp; Biotecnol Ambiental, Valparaiso, Chile.;Seeger, M (corresponding author), Univ Tecn Federico Santa Maria, Ctr Biotecnol Daniel Alkalay Lowitt, Valparaiso, Chile.</t>
  </si>
  <si>
    <t>michael.seeger@usm.cl</t>
  </si>
  <si>
    <t>Seeger, Michael/AFK-3436-2022; Bravo, Guillermo/AAC-7039-2021</t>
  </si>
  <si>
    <t>Valencia Albornoz, Ricardo Gabriel/0000-0003-0306-1530; Cumsille Montesinos, Andres/0000-0003-2087-7435; orellana, roberto/0000-0003-0633-3458; Macaya Ramos, Constanza/0000-0003-3075-0948</t>
  </si>
  <si>
    <t>CONICYT Programa de Investigacion Asociativa (PIA) [Anillo ACT172128 GAMBIO]; FONDECYT [1151174]; USM; CONICYT/PAI Concurso Nacional de Apoyo al Retorno de Investigadores desde el Extranjero [82140028]; Apoyo a la Formacion de Redes Internacionales para Investigadores en Etapa Inicial [170600]</t>
  </si>
  <si>
    <t>CONICYT Programa de Investigacion Asociativa (PIA); FONDECYT(Comision Nacional de Investigacion Cientifica y Tecnologica (CONICYT)CONICYT FONDECYT); USM; CONICYT/PAI Concurso Nacional de Apoyo al Retorno de Investigadores desde el Extranjero; Apoyo a la Formacion de Redes Internacionales para Investigadores en Etapa Inicial</t>
  </si>
  <si>
    <t>The authors gratefully acknowledge Pedro Serrano, Alejandra Pemjean, Enrique Bialoskorski, Michael Seeger, and Sebastian Fuentes for the landscape photographies shown in Figure 1. The authors acknowledge Conicyt Ph.D. fellowships (CM, FD, and GB) and financial support of CONICYT Programa de Investigacion Asociativa (PIA) Anillo ACT172128 GAMBIO (MS), FONDECYT 1151174 (http://www.fondecyt.cl) (MS), USM (http://www.usm.cl) (MS), CONICYT/PAI Concurso Nacional de Apoyo al Retorno de Investigadores desde el Extranjero 82140028 (http://www.conicyt.cl) (RO and MS), and Apoyo a la Formacion de Redes Internacionales para Investigadores en Etapa Inicial 170600 (http://www.conicyt.cl) (RO and MS). The funders had no role in study design, data collection and analyses, decision to publish, or preparation of the manuscript.</t>
  </si>
  <si>
    <t>10.3389/fmicb.2018.02309</t>
  </si>
  <si>
    <t>GY5TT</t>
  </si>
  <si>
    <t>WOS:000448646600001</t>
  </si>
  <si>
    <t>MacAyeal, DR</t>
  </si>
  <si>
    <t>MacAyeal, D. R.</t>
  </si>
  <si>
    <t>Seismology Gets Under the Skin of the Antarctic Ice Sheet</t>
  </si>
  <si>
    <t>SHELF</t>
  </si>
  <si>
    <t>The compacted firn layer skin of an ice sheet protects it from surface melting. Vibrations of the firn layer measured with seismometers Chaput et al. (2018, https://doi.org/10.1029/2018GL079665) can portray how the firn layer melts, absorbs water, and refreezes, thus giving a sense of how ice sheets are resisting being denuded of their firn layer skin by climate warming. Plain Language Summary This highlight discusses, in plain language, the paper by Chaput et al. (2018). The main point is that seismology provides a way to continuously observe melting processes in firn. The importance of firn to an ice sheet's health is described in the commentary, and a simple schematic figure showing how the seismological method works is provided.</t>
  </si>
  <si>
    <t>[MacAyeal, D. R.] Univ Chicago, Dept Geophys Sci, 5734 S Ellis Ave, Chicago, IL 60637 USA</t>
  </si>
  <si>
    <t>University of Chicago</t>
  </si>
  <si>
    <t>MacAyeal, DR (corresponding author), Univ Chicago, Dept Geophys Sci, 5734 S Ellis Ave, Chicago, IL 60637 USA.</t>
  </si>
  <si>
    <t>drm7@uchicago.edu</t>
  </si>
  <si>
    <t>MacAyeal, Douglas/0000-0003-0647-6176</t>
  </si>
  <si>
    <t>National Science Foundation [PLR-1443126]; IRIS/PASSCAL; United States Antarctic Program</t>
  </si>
  <si>
    <t>National Science Foundation(National Science Foundation (NSF)); IRIS/PASSCAL; United States Antarctic Program</t>
  </si>
  <si>
    <t>Support was provided by the National Science Foundation under grant PLR-1443126, IRIS/PASSCAL, and the United States Antarctic Program.</t>
  </si>
  <si>
    <t>OCT 28</t>
  </si>
  <si>
    <t>10.1029/2018GL080366</t>
  </si>
  <si>
    <t>HC0SV</t>
  </si>
  <si>
    <t>WOS:000451510500043</t>
  </si>
  <si>
    <t>Chaput, J; Aster, RC; McGrath, D; Baker, M; Anthony, RE; Gerstoft, P; Bromirski, P; Nyblade, A; Stephen, RA; Wiens, DA; Das, SB; Stevens, LA</t>
  </si>
  <si>
    <t>Chaput, J.; Aster, R. C.; McGrath, D.; Baker, M.; Anthony, R. E.; Gerstoft, P.; Bromirski, P.; Nyblade, A.; Stephen, R. A.; Wiens, D. A.; Das, S. B.; Stevens, L. A.</t>
  </si>
  <si>
    <t>Near-Surface Environmentally Forced Changes in the Ross Ice Shelf Observed With Ambient Seismic Noise</t>
  </si>
  <si>
    <t>PROPAGATION; STABILITY; FIRN; ACCUMULATION; SENSITIVITY; ANTARCTICA; CHANNEL</t>
  </si>
  <si>
    <t>Continuous seismic observations across the Ross Ice Shelf reveal ubiquitous ambient resonances at frequencies &gt;5 Hz. These firn-trapped surface wave signals arise through wind and snow bedform interactions coupled with very low velocity structures. Progressive and long-term spectral changes are associated with surface snow redistribution by wind and with a January 2016 regional melt event. Modeling demonstrates high spectral sensitivity to near-surface (top several meters) elastic parameters. We propose that spectral peak changes arise from surface snow redistribution in wind events and to velocity drops reflecting snow lattice weakening near 0 degrees C for the melt event. Percolation-related refrozen layers and layer thinning may also contribute to long-term spectral changes after the melt event. Single-station observations are inverted for elastic structure for multiple stations across the ice shelf. High-frequency ambient noise seismology presents opportunities for continuous assessment of near-surface ice shelf or other firn environments. Plain Language Summary Ice shelves are the floating buttresses of large glaciers that extend over the oceans and play a key role in restraining inland glaciers as they flow to the sea. Deploying sensitive seismographs across Earth's largest ice shelf (the Ross Ice Shelf) for 2 years, we discovered that the shelf nearly continuously sings at frequencies of five or more cycles per second, excited by local and regional winds blowing across its snow dune-like topography. We find that the frequencies and other features of this singing change, both as storms alter the snow dunes and during a (January 2016) warming event that resulted in melting in the ice shelf's near surface. These observations demonstrate that seismological monitoring can be used to continually monitor the near-surface conditions of an ice shelf and other icy bodies to depths of several meters.</t>
  </si>
  <si>
    <t>[Chaput, J.] Colorado State Univ, Dept Math, Ft Collins, CO 80523 USA; [Chaput, J.] Univ Texas El Paso, Dept Geol Sci, El Paso, TX 79968 USA; [Aster, R. C.; McGrath, D.; Baker, M.] Colorado State Univ, Dept Geosci, Ft Collins, CO 80523 USA; [Anthony, R. E.] US Geol Survey, Albuquerque Seismol Lab, Albuquerque, NM USA; [Gerstoft, P.; Bromirski, P.] Univ Calif San Diego, Scripps Inst Oceanog, La Jolla, CA 92093 USA; [Nyblade, A.] Penn State Univ, Dept Geosci, University Pk, PA 16802 USA; [Stephen, R. A.; Das, S. B.] Woods Hole Oceanog Inst, Woods Hole, MA 02543 USA; [Wiens, D. A.] Dept Earth &amp; Planetary Sci, St Louis, MO USA; [Stevens, L. A.] Columbia Univ, Lamont Doherty Earth Observ, Palisades, NY USA</t>
  </si>
  <si>
    <t>Colorado State University; University of Texas System; University of Texas El Paso; Colorado State University; United States Department of the Interior; United States Geological Survey; University of California System; University of California San Diego; Scripps Institution of Oceanography; Pennsylvania Commonwealth System of Higher Education (PCSHE); Pennsylvania State University; Pennsylvania State University - University Park; Woods Hole Oceanographic Institution; Columbia University</t>
  </si>
  <si>
    <t>Chaput, J (corresponding author), Colorado State Univ, Dept Math, Ft Collins, CO 80523 USA.;Chaput, J (corresponding author), Univ Texas El Paso, Dept Geol Sci, El Paso, TX 79968 USA.</t>
  </si>
  <si>
    <t>jchaput82@gmail.com</t>
  </si>
  <si>
    <t>Anthony, Rob/J-2212-2017; Aster, Richard/E-5067-2013; Gerstoft, Peter/B-2842-2009; Wiens, Douglas/J-9259-2016; Stephen, Ralph/P-4057-2014</t>
  </si>
  <si>
    <t>Aster, Richard/0000-0002-0821-4906; Gerstoft, Peter/0000-0002-0471-062X; Wiens, Douglas/0000-0002-5169-4386; MCGRATH, DANIEL/0000-0002-9462-6842; Stephen, Ralph/0000-0003-0937-2049; Anthony, Robert/0000-0001-7089-8846; Stevens, Laura A./0000-0003-0480-8018</t>
  </si>
  <si>
    <t>Colorado State University Department of Mathematics; NSF [PLR-1142518, 1141916, 1142126, PLR 1246151, PLR-1246416, ANT-1543305]; California Department of Parks and Recreation, Division of Boating and Waterways [11-106-107]; National Science Foundation [EAR-1261681]; DOE National Nuclear Security Administration; Directorate For Geosciences; Office of Polar Programs (OPP) [1142126] Funding Source: National Science Foundation</t>
  </si>
  <si>
    <t>Colorado State University Department of Mathematics; NSF(National Science Foundation (NSF)); California Department of Parks and Recreation, Division of Boating and Waterways; National Science Foundation(National Science Foundation (NSF)); DOE National Nuclear Security Administration(National Nuclear Security AdministrationUnited States Department of Energy (DOE)); Directorate For Geosciences; Office of Polar Programs (OPP)(National Science Foundation (NSF)NSF - Directorate for Geosciences (GEO))</t>
  </si>
  <si>
    <t>JC was supported by Yates funds in the Colorado State University Department of Mathematics. DAW; RA, MB, and RE; and AN were supported under NSF Grants PLR-1142518, 1141916 and 1142126, respectively. PDB and PG were supported by NSF Grant PLR 1246151. RAS was supported by NSF Grant PLR-1246416. PDB also received support from the California Department of Parks and Recreation, Division of Boating and Waterways under contract 11-106-107. We thank Reinhard Flick and Patrick Shore for their support during field work and Tom Bolmer in locating stations and preparing maps and the US Antarctic Program for logistical support. The seismic instruments were provided by the Incorporated Research Institutions for Seismology (IRIS) through the PASSCAL Instrument Center at New Mexico Tech. Data collected are available through the IRIS Data Management Center under RIS and DRIS network code XH. The facilities of the IRIS Consortium are supported by the National Science Foundation under Cooperative Agreement EAR-1261681 and the DOE National Nuclear Security Administration. We thank Brad Lipovsky for his helpful internal review. The authors appreciate the support of the University of Wisconsin-Madison Automatic Weather Station Program for the data set, data display, and information, NSF grant number ANT-1543305.</t>
  </si>
  <si>
    <t>10.1029/2018GL079665</t>
  </si>
  <si>
    <t>WOS:000451510500045</t>
  </si>
  <si>
    <t>Holland, MM; Landrum, L; Raphael, MN; Kwok, R</t>
  </si>
  <si>
    <t>Holland, Marika M.; Landrum, Laura; Raphael, Marilyn N.; Kwok, Ronald</t>
  </si>
  <si>
    <t>The Regional, Seasonal, and Lagged Influence of the Amundsen Sea Low on Antarctic Sea Ice</t>
  </si>
  <si>
    <t>CLIMATE; DIPOLE; TRENDS</t>
  </si>
  <si>
    <t>The Amundsen Sea Low (ASL) is an important driver of Antarctic sea ice variations largely because of wind-driven sea ice and ocean transport anomalies. However, the nature of the relationship between the ASL and sea ice is complicated by large seasonality in the ice cover and the ASL location and depth. Here we explore these relationships as a function of region, season, and lag. We find that the ASL can have a markedly different and sometimes opposite sign influence on sea ice in some regions, such as the western Ross Sea, depending on the season. This is in part due to differing influences of ASL-related meridional and zonal winds for ice transport in different times of year. The sea ice response to ASL variations is often largest at a lag of some months and can persist for up to 8 months. Plain Language Summary The Amundsen Sea Low (ASL) is a dominant feature of the atmospheric circulation in the Southern Ocean. Variations in this low pressure center influence winds over the Antarctic sea ice that can cause anomalies in sea ice transport and ice concentration. However, because the location of the low and the sea ice cover differ seasonally, the influence of ASL variability on sea ice differs by region and season. Additionally, the sea ice can exhibit a lagged response to the ASL, resulting in sea ice anomalies many months following variations in the ASL.</t>
  </si>
  <si>
    <t>[Holland, Marika M.; Landrum, Laura] Natl Ctr Atmospher Res, POB 3000, Boulder, CO 80307 USA; [Raphael, Marilyn N.] Univ Calif Los Angeles, Dept Geog, Los Angeles, CA 90024 USA; [Kwok, Ronald] CALTECH, Jet Prop Lab, Pasadena, CA USA</t>
  </si>
  <si>
    <t>National Center Atmospheric Research (NCAR) - USA; University of California System; University of California Los Angeles; National Aeronautics &amp; Space Administration (NASA); NASA Jet Propulsion Laboratory (JPL); California Institute of Technology</t>
  </si>
  <si>
    <t>Holland, MM (corresponding author), Natl Ctr Atmospher Res, POB 3000, Boulder, CO 80307 USA.</t>
  </si>
  <si>
    <t>mholland@ucar.edu</t>
  </si>
  <si>
    <t>Kwok, Ronald/L-3968-2019; Kwok, Ron/A-9762-2008</t>
  </si>
  <si>
    <t>Kwok, Ronald/0000-0003-4051-5896; Kwok, Ron/0000-0003-4051-5896; Landrum, Laura/0000-0002-6003-1146; Holland, Marika/0000-0001-5621-8939</t>
  </si>
  <si>
    <t>NSF FESD [1338814]; NASA [1048926]; Jet Propulsion Laboratory, California Institute of Technology; National Aeronautics and Space Administration</t>
  </si>
  <si>
    <t>NSF FESD; NASA(National Aeronautics &amp; Space Administration (NASA)); Jet Propulsion Laboratory, California Institute of Technology; National Aeronautics and Space Administration(National Aeronautics &amp; Space Administration (NASA))</t>
  </si>
  <si>
    <t>M.M. Holland and L. Landrum acknowledge support from NSF FESD 1338814 and NASA 1048926. R Kwok was supported by the Jet Propulsion Laboratory, California Institute of Technology, under contract with the National Aeronautics and Space Administration. NOAA_OI_SST_V2 data are provided by the NOAA/OAR/ESRL PSD, Boulder, Colorado USA from their Web site at https://www.esrl.noaa.gov/psd.Ice motion data are available from https://rkwok.jpl.nasa.gov/antarc_icemotion/index.html.ERA-I data are available from https://apps.ecmwf.int/datasets.</t>
  </si>
  <si>
    <t>10.1029/2018GL080140</t>
  </si>
  <si>
    <t>WOS:000451510500049</t>
  </si>
  <si>
    <t>Lambelet, M; van de Flierdt, T; Butler, ECV; Bowie, AR; Rintoul, SR; Watson, RJ; Remenyi, T; Lannuzel, D; Warner, M; Robinson, LF; Bostock, HC; Bradtmiller, LI</t>
  </si>
  <si>
    <t>Lambelet, M.; van de Flierdt, T.; Butler, E. C. V.; Bowie, A. R.; Rintoul, S. R.; Watson, R. J.; Remenyi, T.; Lannuzel, D.; Warner, M.; Robinson, L. F.; Bostock, H. C.; Bradtmiller, L. I.</t>
  </si>
  <si>
    <t>The Neodymium Isotope Fingerprint of Adelie Coast Bottom Water</t>
  </si>
  <si>
    <t>MARINE-SEDIMENTS; ATLANTIC SECTOR; SOUTH; ND; SEAWATER; HAFNIUM; DEEP; CIRCULATION; LAND; HORNBLENDE</t>
  </si>
  <si>
    <t>Adelie Land Bottom Water (ALBW), a variety of Antarctic Bottom Water formed off the Adelie Land coast of East Antarctica, ventilates the abyssal layers of the Australian sector of the Southern Ocean as well as the eastern Indian and Pacific Oceans. We present the first dissolved neodymium (Nd) isotope and concentration measurements for ALBW. The summertime signature of ALBW is characterized by epsilon(Nd) = -8.9, distinct from Ross Sea Bottom Water, and similar to Weddell Sea Bottom Water. Adelie Land Shelf Water, the precursor water mass for wintertime ALBW, features the least radiogenic Nd fingerprint observed around Antarctica to date (epsilon(Nd) = -9.9). Local geology around Antarctica is important in setting the chemical signature of individual varieties of Antarctic Bottom Water, evident from the shelf water signature, which should be considered in the absence of direct wintertime observations. Plain Language Summary To understand the evolution of water masses back in time and elucidate the Southern Ocean's role in past climate change requires proxy data. Neodymium isotopes are commonly used but need to be better characterized in the modern ocean and especially where bottom water formation occurs. Adelie Land Bottom Water (ALBW) is a variety of Antarctic Bottom Water formed off the Adelie Land coast of East Antarctica. It ventilates the abyssal layers of the Australian sector of the Southern Ocean as well as the eastern Indian and Pacific Oceans. We present the first direct seawater analyses for Nd isotopes and concentrations in the Australian sector of the Southern Ocean. Our data reveal a distinctively unradiogenic signature of waters on the Adelie Land Shelf, precursor of ALBW, and show that the summertime signature of ALBW is distinct from Ross Sea Bottom Water and similar to Weddell Sea Bottom Water. Antarctic Bottom waters are not uniform around the continent and carry Nd isotope fingerprints characteristic of their formation area (local geology). This makes these water masses traceable back in time and is hence important for paleoceanography and for the study of past climate change.</t>
  </si>
  <si>
    <t>[Lambelet, M.; van de Flierdt, T.] Imperial Coll London, Dept Earth Sci &amp; Engn, London, England; [Butler, E. C. V.] Australian Inst Marine Sci, Casuarina, NT, Australia; [Bowie, A. R.; Rintoul, S. R.; Remenyi, T.; Lannuzel, D.] Antarctic Climate &amp; Ecosyst Cooperat Res Ctr, Hobart, Tas, Australia; [Rintoul, S. R.; Watson, R. J.] CSIRO Oceans &amp; Atmosphere, Hobart, Tas, Australia; [Rintoul, S. R.] Ctr Southern Hemisphere Oceans Res, Hobart, Tas, Australia; [Lannuzel, D.] Univ Tasmania, Inst Marine &amp; Antarctic Studies, Hobart, Tas, Australia; [Warner, M.] Univ Washington, Sch Oceanog, Seattle, WA 98195 USA; [Robinson, L. F.] Univ Bristol, Sch Earth Sci, Bristol, Avon, England; [Bostock, H. C.] Natl Inst Water &amp; Atmospher Res, Wellington, New Zealand; [Bradtmiller, L. I.] Macalester Coll, Dept Environm Studies, St Paul, MN 55105 USA</t>
  </si>
  <si>
    <t>Imperial College London; Australian Institute of Marine Science; Antarctic Climate &amp; Ecosystems Cooperative Research Centre (ACE CRC); Commonwealth Scientific &amp; Industrial Research Organisation (CSIRO); University of Tasmania; University of Washington; University of Washington Seattle; University of Bristol; National Institute of Water &amp; Atmospheric Research (NIWA) - New Zealand; Macalester College</t>
  </si>
  <si>
    <t>Lambelet, M (corresponding author), Imperial Coll London, Dept Earth Sci &amp; Engn, London, England.</t>
  </si>
  <si>
    <t>m.lambelet@imperial.ac.uk</t>
  </si>
  <si>
    <t>Rintoul, Stephen R/A-1471-2012; Bostock, Helen/A-6834-2013; Bradtmiller, Louisa/IYJ-9617-2023; Watson, Roslyn J./JVN-9055-2024; lannuzel, delphine/J-7937-2014; Bowie, Andrew/C-8677-2013</t>
  </si>
  <si>
    <t>Rintoul, Stephen R/0000-0002-7055-9876; Bostock, Helen/0000-0002-8903-8958; Bradtmiller, Louisa/0000-0001-6595-6095; Butler, Edward/0000-0002-6660-3985; Lambelet, Myriam/0000-0003-2805-8928; Remenyi, Tomas/0000-0002-4145-9323; lannuzel, delphine/0000-0001-6154-1837; Warner, Mark J/0000-0001-7678-441X; Bowie, Andrew/0000-0002-5144-7799</t>
  </si>
  <si>
    <t>NERC [NE/J021636/1]; Australian Government's Cooperative Research Centre (CRC) Program through the Antarctic Climate and Ecosystems; National Environmental Science Program Earth System and Climate Change Hub; European Research Council; NERC [NE/N001141/1, NE/P019080/1, NE/J021636/1] Funding Source: UKRI</t>
  </si>
  <si>
    <t>NERC(UK Research &amp; Innovation (UKRI)Natural Environment Research Council (NERC)); Australian Government's Cooperative Research Centre (CRC) Program through the Antarctic Climate and Ecosystems(Australian GovernmentDepartment of Industry, Innovation and ScienceCooperative Research Centres (CRC) Programme); National Environmental Science Program Earth System and Climate Change Hub; European Research Council(European Research Council (ERC)); NERC(UK Research &amp; Innovation (UKRI)Natural Environment Research Council (NERC))</t>
  </si>
  <si>
    <t>All data can be found in supporting information Tables S1 and S2. The scientific party and crew of the RSV Aurora Australis and RV Tangaroa during the IPY CASO-GEOTRACES SR3 and the MacRidge 2, TAN 0803 voyages are thanked, along with all members of the MAGIC group, especially Katharina Kreissig and Barry Coles, for their support in the lab. Hydrographic data from the SR3 cruise can be found in the GEOTRACES Intermediate Data Product 2014 (Mawji et al., 2015) and Nd isotopic and concentration data from the SR3 cruise in the IDP2017 (Schlitzer et al., 2018). We would like to thank two anonymous reviewers and Editor T. Ilyina for their constructive comments. The authors acknowledge funding from the NERC grant NE/J021636/1 to M. L. and T. v. d. F., the Australian Government's Cooperative Research Centre (CRC) Program through the Antarctic Climate and Ecosystems to A. B., T. R., E. B., and S. R., the National Environmental Science Program Earth System and Climate Change Hub to S. R., and the European Research Council to L. F. R.. There are no competing financial interests.</t>
  </si>
  <si>
    <t>10.1029/2018GL080074</t>
  </si>
  <si>
    <t>WOS:000451510500051</t>
  </si>
  <si>
    <t>Meneghello, G; Marshall, J; Campin, JM; Doddridge, E; Timmermans, ML</t>
  </si>
  <si>
    <t>Meneghello, Gianluca; Marshall, John; Campin, Jean-Michel; Doddridge, Edward; Timmermans, Mary-Louise</t>
  </si>
  <si>
    <t>The Ice-Ocean Governor: Ice-Ocean Stress Feedback Limits Beaufort Gyre Spin-Up</t>
  </si>
  <si>
    <t>WESTERN ARCTIC-OCEAN; VARIABILITY; TRANSPORT; DYNAMICS; SURFACE; MODEL</t>
  </si>
  <si>
    <t>The Beaufort Gyre is a key circulation system of the Arctic Ocean and its main reservoir of freshwater. Freshwater storage and release affects Arctic sea ice cover, as well as North Atlantic and global climate. We describe a mechanism that is fundamental to the dynamics of the gyre, namely, the ice-ocean stress governor. Wind blows over the ice, and the ice drags the ocean. But as the gyre spins up, currents catch the ice up and turn off the surface stress. This governor sets the basic properties of the gyre, such as its depth, freshwater content, and strength. Analytical and numerical modeling is employed to contrast the equilibration processes in an ice-covered versus ice-free gyre. We argue that as the Arctic warms, reduced sea ice extent and more mobile ice will result in a deeper and faster Beaufort Gyre, accumulating more freshwater that will be released by Ekman upwelling or baroclinic instability. Plain Language Summary The Beaufort Gyre, located north of Alaska and Canada, is a key circulation system of the Arctic Ocean. Changes in its depth and circulation influence the evolution of the Arctic sea ice cover, the North Atlantic circulation, and the global climate. The gyre is driven by persistent, ice-mediated winds, accumulating surface freshwater toward the center, deepening the gyre, and spinning up its currents. We describe a mechanism, dubbed here the ice-ocean governor, in which the interaction of surface currents with the ice regulates the depth of the Beaufort Gyre: The spinning up of the gyre reduces the relative speed between the ocean and the ice, and hence the freshwater accumulation. This competes with, and we argue is more important than, the release of freshwater by flow instability, which moves water from the center toward the periphery. In the current climate the depth and speed of the Beaufort Gyre are mainly set by the governor, but this may change in a warming world where reduced ice cover will render the ice-ocean governor less effective. The resulting deeper, swifter gyre will likely exhibit more variability in its freshwater storage and flow speeds.</t>
  </si>
  <si>
    <t>[Meneghello, Gianluca; Marshall, John; Campin, Jean-Michel; Doddridge, Edward] MIT, Dept Earth Atmospher &amp; Planetary Sci, Cambridge, MA 02139 USA; [Timmermans, Mary-Louise] Yale Univ, Dept Geol &amp; Geophys, New Haven, CT USA</t>
  </si>
  <si>
    <t>Massachusetts Institute of Technology (MIT); Yale University</t>
  </si>
  <si>
    <t>Meneghello, G (corresponding author), MIT, Dept Earth Atmospher &amp; Planetary Sci, Cambridge, MA 02139 USA.</t>
  </si>
  <si>
    <t>gianluca.meneghello@gmail.com</t>
  </si>
  <si>
    <t>Doddridge, Edward/GRJ-6149-2022; Meneghello, Gianluca/AAA-8494-2019; Timmermans, Mary-Louise/N-5983-2014</t>
  </si>
  <si>
    <t>Meneghello, Gianluca/0000-0002-0767-2497; Doddridge, Edward/0000-0002-6097-5729</t>
  </si>
  <si>
    <t>NSF Polar Programs</t>
  </si>
  <si>
    <t>NSF Polar Programs(National Science Foundation (NSF))</t>
  </si>
  <si>
    <t>The authors thankfully acknowledge support from NSF Polar Programs, both Arctic and Antarctic. NCEP Reanalysis data are provided by the NOAA/OAR/ESRL PSD, Boulder, Colorado, USA, from their Web site at http://www.esrl.noaa.gov/psd/(Kalnay et al., 1996). Arctic dynamic topography data were provided by the Centre for Polar Observation and Modelling, University College London http://www.cpom.ucl.ac.uk/dynamic_topography (Armitage et al., 2016). All data for this paper are properly cited and referred to in the reference list.</t>
  </si>
  <si>
    <t>10.1029/2018GL080171</t>
  </si>
  <si>
    <t>WOS:000451510500056</t>
  </si>
  <si>
    <t>Sato, K; Inoue, J; Alexander, SP; McFarquhar, G; Yamazaki, A</t>
  </si>
  <si>
    <t>Sato, Kazutoshi; Inoue, Jun; Alexander, Simon P.; McFarquhar, Greg; Yamazaki, Akira</t>
  </si>
  <si>
    <t>Improved Reanalysis and Prediction of Atmospheric Fields Over the Southern Ocean Using Campaign-Based Radiosonde Observations</t>
  </si>
  <si>
    <t>CYCLONE CHARACTERISTICS; DATA ASSIMILATION; ARCTIC CYCLONE; SEA; IMPACT; PERFORMANCE; WEATHER; HEMISPHERE; FORECASTS</t>
  </si>
  <si>
    <t>This study investigated the impact of radiosonde observations from the Southern Ocean obtained by the Australian R/V Aurora Australis on the ALERA2 experimental ensemble reanalysis data set and ensemble forecast experiment. An observing system experiment (OSE) that included additional ship-launched radiosonde data captured the atmospheric structure over the Southern Ocean. ALERA2 without additional radiosondes had positive temperature biases exceeding 7 degrees C in the upper troposphere when low-pressure cyclonic systems passed over the ship. The spread in the upper level was reduced by 15% in the OSE, which propagated downstream from the ship's position because of the sparse observing network over southern high latitudes. Comparison of two 63-member ensemble forecast experiments initialized by ALERA2 and the OSE revealed that prediction of midlatitude cyclone tracks was improved by the realistic representation of upper-level troughs in the OSE forecast. This confirms that additional radiosondes over the Southern Ocean reduce uncertainty and error in midlatitude cyclone forecasts. Plain Language Summary Accurate weather forecasts over the Southern Ocean are required for reducing severe damage for ship operations over the high latitudes and social activities over the midlatitudes in the Southern Hemisphere. However, the sparseness of the observing network over the Southern Ocean causes failures in predicting the low-pressure systems. This study investigated the impact of additional observations over the Southern Ocean obtained by the Australian R/V Aurora Australis on prediction skill of forecasting systems for weather over the Southern Hemisphere. We revealed that the initial conditions in the reanalysis data, which is used for operational weather forecasts, were improved by the additional radiosonde observations at upper levels, contributing to a more accurate reproduction of a low-pressure system over the midlatitudes in Southern Hemisphere. This confirms that additional radiosondes launched from ships over the Southern Ocean reduce errors in midlatitude cyclone forecasts.</t>
  </si>
  <si>
    <t>[Sato, Kazutoshi] Kitami Inst Technol, Kitami, Hokkaido, Japan; [Sato, Kazutoshi; Alexander, Simon P.] Antarctic Climate &amp; Ecosyst Cooperat Res Ctr, Hobart, Tas, Australia; [Inoue, Jun] Natl Inst Polar Res, Tachikawa, Tokyo, Japan; [Inoue, Jun] SOKENDAI Grad Univ Adv Studies, Sch Multidisciplinary Sci, Hayama, Japan; [Inoue, Jun; Yamazaki, Akira] Japan Agcy Marine Earth Sci &amp; Technol, Applicat Lab, Yokohama, Kanagawa, Japan; [Alexander, Simon P.] Australian Antarctic Div, Kingston, Tas, Australia; [McFarquhar, Greg] Univ Oklahoma, Cooperat Inst Mesoscale Meteorol Studies, Norman, OK 73019 USA; [McFarquhar, Greg] Univ Oklahoma, Sch Meteorol, Norman, OK 73019 USA</t>
  </si>
  <si>
    <t>Kitami Institute of Technology; Antarctic Climate &amp; Ecosystems Cooperative Research Centre (ACE CRC); Research Organization of Information &amp; Systems (ROIS); National Institute of Polar Research (NIPR) - Japan; Graduate University for Advanced Studies - Japan; Japan Agency for Marine-Earth Science &amp; Technology (JAMSTEC); Australian Antarctic Division; University of Oklahoma System; University of Oklahoma - Norman; University of Oklahoma System; University of Oklahoma - Norman</t>
  </si>
  <si>
    <t>Sato, K (corresponding author), Kitami Inst Technol, Kitami, Hokkaido, Japan.;Sato, K (corresponding author), Antarctic Climate &amp; Ecosyst Cooperat Res Ctr, Hobart, Tas, Australia.</t>
  </si>
  <si>
    <t>satokazu@mail.kitami-it.ac.jp</t>
  </si>
  <si>
    <t>McFarquhar, Greg/R-9154-2018; Inoue, Jun/ABE-2305-2021</t>
  </si>
  <si>
    <t>McFarquhar, Greg/0000-0003-0950-0135; Inoue, Jun/0000-0001-7738-6480; Alexander, Simon/0000-0001-6823-8857; Yamazaki, Akira/0000-0003-2562-2693; Sato, Kazutoshi/0000-0003-0216-8942</t>
  </si>
  <si>
    <t>JSPS Overseas Research Fellowship; JSPS KAKENHI [18H05053]; Australian Antarctic Science Project [4292]; U.S. Department of Energy Award [DESC0018626]; U.S. National Science Foundation [1628674, 1762096]; U.S. Department of Energy, Office of Science, Office of Biological and Environmental Research, and Climate and Environmental Sciences Division; Grants-in-Aid for Scientific Research [18H05053] Funding Source: KAKEN; Div Atmospheric &amp; Geospace Sciences; Directorate For Geosciences [1762096, 1628674] Funding Source: National Science Foundation</t>
  </si>
  <si>
    <t>JSPS Overseas Research Fellowship; JSPS KAKENHI(Ministry of Education, Culture, Sports, Science and Technology, Japan (MEXT)Japan Society for the Promotion of ScienceGrants-in-Aid for Scientific Research (KAKENHI)); Australian Antarctic Science Project; U.S. Department of Energy Award(United States Department of Energy (DOE)); U.S. National Science Foundation(National Science Foundation (NSF)); U.S. Department of Energy, Office of Science, Office of Biological and Environmental Research, and Climate and Environmental Sciences Division; Grants-in-Aid for Scientific Research(Ministry of Education, Culture, Sports, Science and Technology, Japan (MEXT)Japan Society for the Promotion of ScienceGrants-in-Aid for Scientific Research (KAKENHI)); Div Atmospheric &amp; Geospace Sciences; Directorate For Geosciences(National Science Foundation (NSF)NSF - Directorate for Geosciences (GEO))</t>
  </si>
  <si>
    <t>This work was supported by the JSPS Overseas Research Fellowship, JSPS KAKENHI (Grant 18H05053), Australian Antarctic Science Project 4292, U.S. Department of Energy Award (DESC0018626), and U.S. National Science Foundation (grants 1628674 and 1762096). We would like to thank anonymous reviewers whose constructive comments improved the quality of this manuscript. Technical, logistical, and ship support for MARCUS were provided by the Australian Antarctic Division. MARCUS data were obtained from the Atmospheric Radiation Measurement (ARM) Program sponsored by the U.S. Department of Energy, Office of Science, Office of Biological and Environmental Research, and Climate and Environmental Sciences Division. We thank all the ARM technicians who collected the radiosonde data onboard R/V Aurora Australis. ALEDAS2 and AFES integrations were performed on the Earth Simulator with the support of JAMSTEC. PREPBUFR data, compiled by the National Centers for Environmental Prediction (NCEP) and archived at the University Corporation for Atmospheric Research (UCAR), were used as the observations (available from http://rda.ucar.edu).The data sets provided by ALEDAS2 were used from JAMSTEC web site (http://www.jamstec.go.jp/alera/alera2.html). We thank James Buxton MSc from Edanz Group (www.edanzediting.com./ac) for correcting a draft of this manuscript.</t>
  </si>
  <si>
    <t>10.1029/2018GL079037</t>
  </si>
  <si>
    <t>WOS:000451510500069</t>
  </si>
  <si>
    <t>Cavallo, C; Chiaradia, A; Deagle, BE; McInnes, JC; Sánchez, S; Hays, GC; Reina, RD</t>
  </si>
  <si>
    <t>Cavallo, Catherine; Chiaradia, Andre; Deagle, Bruce E.; McInnes, Julie C.; Sanchez, Sonia; Hays, Graeme C.; Reina, Richard D.</t>
  </si>
  <si>
    <t>Molecular Analysis of Predator Scats Reveals Role of Salps in Temperate Inshore Food Webs</t>
  </si>
  <si>
    <t>next-generation sequencing; foraging ecology; DNA barcoding; eDNA; jellyfish</t>
  </si>
  <si>
    <t>PENGUINS EUDYPTULA-MINOR; SUNFISH MOLA-MOLA; BIOCHEMICAL-COMPOSITION; FEEDING ECOLOGY; SOUTHERN-OCEAN; DIET; JELLYFISH; DNA; FISH; SEA</t>
  </si>
  <si>
    <t>High precision, high coverage DNA-based diet analysis tools allow great insight into the food web interactions of cryptic taxa. We used DNA fecal-metabarcoding to look for unrecorded taxa within the diet of a generalist central-placed predator, the little penguin Eudyptula minor. We examined 208 scats from 106 breeding pairs throughout August-February in a large colony at Phillip Island, Australia. While we confirmed a largely piscivorous diet, we also recovered DNA sequences from gelatinous and crustaceous plankton groups that have not previously been detected in the little penguin diet using other diet analysis methods. Gelatinous plankton, including salps, appendicularians, scyphozoans, and hydrozoans were present in 76% of samples and represented 25% of all sequences. DNA recovered from minute copepods and appendicularians may indicate links between trophic levels through secondary predation. Percentage frequency of occurrence (%FOO) demonstrated that little penguin diet composition changed over months and stages (incubation, guard, and post-guard) of the breeding season (month: chi(2) = 201.91, df = NA, p &lt; 0.01; stage: chi(2) = 33.221, df = NA, p = 0.015). Relative read abundance (RRA) uncovered variations in the relative abundance of taxa in the diet over months and stages (month: F = 53.18, df = 59, p &lt; 0.001; stage: F = 66.56, df = 29, p &lt; 0.001). The diet became progressively fish-focused over months of the season and stages, while salps were only present in 4 out of 6 months, with a peak in September. Based on their prevalence in this dataset, in this year of very high breeding success (2.15 chicks per pair), salps may constitute a food source for this largely piscivorous generalist. Our work highlights how DNA metabarcoding can improve our understanding of the trophic role of gelatinous plankton and other cryptic taxa.</t>
  </si>
  <si>
    <t>[Cavallo, Catherine; Sanchez, Sonia; Reina, Richard D.] Monash Univ, Dept Biol Sci, Clayton, Vic, Australia; [Chiaradia, Andre] Phillip Isl Nat Pks, Conservat Dept, Cowes, Vic, Australia; [Deagle, Bruce E.; McInnes, Julie C.] Australian Antarctic Div, Kingston, Tas, Australia; [McInnes, Julie C.] Univ Tasmania, Inst Marine &amp; Antarctic Studies, Hobart, Tas, Australia; [Hays, Graeme C.] Deakin Univ, Sch Life &amp; Environm Sci, Ctr Integrat Ecol, Geelong, Vic, Australia</t>
  </si>
  <si>
    <t>Monash University; Australian Antarctic Division; University of Tasmania; Deakin University</t>
  </si>
  <si>
    <t>Cavallo, C (corresponding author), Monash Univ, Dept Biol Sci, Clayton, Vic, Australia.</t>
  </si>
  <si>
    <t>ccavallo.ecology@gmail.com</t>
  </si>
  <si>
    <t>Reina, Richard/AAC-7017-2019; Chiaradia, Andre/AAG-4928-2022; Deagle, Bruce E/R-2999-2019; McInnes, Julie C/C-2865-2014; Chiaradia, Andre/AFK-6634-2022; Jarman, Simon/H-9265-2016</t>
  </si>
  <si>
    <t>Chiaradia, Andre/0000-0002-6178-4211; Deagle, Bruce E/0000-0001-7651-3687; Chiaradia, Andre/0000-0002-6178-4211; Jarman, Simon/0000-0002-0792-9686; Reina, Richard/0000-0002-6221-1300; McInnes, Julie/0000-0001-8902-5199</t>
  </si>
  <si>
    <t>ARC Linkage Project [LP140100404]; Australian Research Council [LP140100404] Funding Source: Australian Research Council</t>
  </si>
  <si>
    <t>ARC Linkage Project(Australian Research Council); Australian Research Council(Australian Research Council)</t>
  </si>
  <si>
    <t>This work was supported by ARC Linkage Project grant LP140100404 awarded to RR, AC, GH, and BD.</t>
  </si>
  <si>
    <t>OCT 26</t>
  </si>
  <si>
    <t>10.3389/fmars.2018.00381</t>
  </si>
  <si>
    <t>HJ9QF</t>
  </si>
  <si>
    <t>WOS:000457533200001</t>
  </si>
  <si>
    <t>von Clarmann, T; Johansson, S</t>
  </si>
  <si>
    <t>von Clarmann, Thomas; Johansson, Soren</t>
  </si>
  <si>
    <t>Chlorine nitrate in the atmosphere</t>
  </si>
  <si>
    <t>SOLAR PROTON EVENTS; ANTARCTIC SPRING STRATOSPHERE; IN-SITU OBSERVATIONS; CRYOGENIC INFRARED SPECTROMETERS; ARCTIC WINTER STRATOSPHERE; GROUND-BASED MEASUREMENTS; LIMB EMISSION-SPECTRA; LONG-TERM TRENDS; FTIR MEASUREMENTS; SULFURIC-ACID</t>
  </si>
  <si>
    <t>This review article compiles the characteristics of the gas chlorine nitrate and discusses its role in atmospheric chemistry. Chlorine nitrate is a reservoir of both stratospheric chlorine and nitrogen. It is formed by a termolecular reaction of ClO and NO2. Sink processes include gas-phase chemistry, photo-dissociation, and heterogeneous chemistry on aerosols. The latter sink is particularly important in the context of polar spring stratospheric chlorine activation. ClONO2 has vibrational-rotational bands in the infrared, notably at 779, 809, 1293, and 1735 cm(-1), which are used for remote sensing of ClONO2 in the atmosphere. Mid-infrared emission and absorption spectroscopy have long been the only concepts for atmospheric ClONO2 measurements. More recently, fluorescence and mass spectroscopic in situ techniques have been developed. Global ClONO2 distributions have a maximum at polar winter latitudes at about 20-30 km altitude, where mixing ratios can exceed 2 ppbv. The annual cycle is most pronounced in the polar stratosphere, where ClONO2 concentrations are an indicator of chlorine activation and de-activation.</t>
  </si>
  <si>
    <t>[von Clarmann, Thomas; Johansson, Soren] Karlsruhe Inst Technol, Inst Meteorol &amp; Climate Res, Karlsruhe, Germany</t>
  </si>
  <si>
    <t>Helmholtz Association; Karlsruhe Institute of Technology</t>
  </si>
  <si>
    <t>von Clarmann, T (corresponding author), Karlsruhe Inst Technol, Inst Meteorol &amp; Climate Res, Karlsruhe, Germany.</t>
  </si>
  <si>
    <t>thomas.clarmann@kit.edu</t>
  </si>
  <si>
    <t>Johansson, Sören/AAF-9672-2020</t>
  </si>
  <si>
    <t>Johansson, Sören/0000-0002-9642-1955</t>
  </si>
  <si>
    <t>10.5194/acp-18-15363-2018</t>
  </si>
  <si>
    <t>GY3SR</t>
  </si>
  <si>
    <t>WOS:000448475400001</t>
  </si>
  <si>
    <t>Collet, J; Richard, G; Janc, A; Guinet, C; Weimerskirch, H</t>
  </si>
  <si>
    <t>Collet, Julien; Richard, Gaetan; Janc, Anais; Guinet, Christophe; Weimerskirch, Henri</t>
  </si>
  <si>
    <t>Influence of depredating cetaceans on albatross attraction and attendance patterns at fishing boats</t>
  </si>
  <si>
    <t>Fisheries interactions; Seabird foraging; Depredation; Longliners; Trophic interactions; GPS tracking; Sub-Antarctic; Toothed whales</t>
  </si>
  <si>
    <t>KILLER WHALES; LONGLINE FISHERY; MARINE MAMMALS; COMMERCIAL FISHERIES; ORCINUS-ORCA; SEABIRDS; CROZET; DISCARDS; BYCATCH; IMPACTS</t>
  </si>
  <si>
    <t>Human fisheries inadvertently attract and provide food for a range of wild organisms worldwide with important ecological consequences. Some animals directly feed on human catch ('depredators', e.g. killer whales), causing economical losses and calling for wildlife management. However the impact of depredation (and its potential management) on the behaviour of the other scavengers attracted to vessels (e.g. seabirds) is unknown. We examined how the fine-scale behavioural response of wandering albatrosses to a toothfish longline fleet was influenced by the presence of depredating killer and/or sperm whales. We hypothesized that the presence of depredating whales might facilitate detection of and/or access to food at fishing vessels for surface-feeding albatrosses. We used seabird GPS tracking together with a vessel monitoring system (GPS vessel tracking) coupled with systematic onboard records of depredator numbers during 3 fishing seasons. We found that when albatrosses 'encountered' vessels (n = 254), they had the same probability to start attending vessels whether or not cetaceans were present. However, once attracted, they attended the vessel longer when depredators were present. We conclude that birds are attracted to vessels independently of the presence of cetaceans, but that depredating whales probably facilitate access to food for surface-feeding birds such as the wandering albatross. Scavenging behaviour of seabirds does not appear to be strongly dependent on the presence of depredating cetaceans and is likely minimally affected by changes in cetacean behaviour. This type of data is rare and we discuss how these results for wandering albatrosses could be generalized for other seabird species.</t>
  </si>
  <si>
    <t>[Collet, Julien; Richard, Gaetan; Janc, Anais; Guinet, Christophe; Weimerskirch, Henri] Univ Rochelle, Ctr Etud Biol Chize UMR CNRS 7273, F-79360 Villiers En Bois, France; [Richard, Gaetan] ENSTA Bretagne, Lab STICC UMR 6285, 2 Rue Francois Verny, F-29806 Brest 9, France</t>
  </si>
  <si>
    <t>Universite de Bretagne Occidentale; ENSTA Bretagne</t>
  </si>
  <si>
    <t>Collet, J (corresponding author), Univ Rochelle, Ctr Etud Biol Chize UMR CNRS 7273, F-79360 Villiers En Bois, France.</t>
  </si>
  <si>
    <t>pro@colletj.fr</t>
  </si>
  <si>
    <t>Guinet, Christophe/AAR-8457-2020; Weimerskirch, Henri/F-5562-2013; Collet, Julien/AAO-3785-2020</t>
  </si>
  <si>
    <t>Collet, Julien/0000-0002-3285-5535; Richard, Gaetan/0000-0003-3709-2909</t>
  </si>
  <si>
    <t>Institut Paul-Emile Victor (IPEV) [109]; TAAF; French Ministere de l'Enseignement Superieur et de la Recherche</t>
  </si>
  <si>
    <t>Institut Paul-Emile Victor (IPEV); TAAF; French Ministere de l'Enseignement Superieur et de la Recherche</t>
  </si>
  <si>
    <t>We thank Guy Duhamel, Nicolas Gasco, Charlotte Chazeau and all contributors to the Pecheker database at the Museum National d'Histoire Naturelle de Paris for providing access to the dataset used. This study would not have been possible without the onboard observations of fisheries controllers of Terres Australes et Antarctiques Francaises (TAAF). We are also indebted to all field-workers involved in the tracking of albatrosses on Crozet, through Programme 109 funded by the Institut Paul-Emile Victor (IPEV) and the TAAF. J. C. was funded by a PhD grant from the French Ministere de l'Enseignement Superieur et de la Recherche. We thank Ryan Reisinger for sharing observations and knowledge of depredator foraging and 2 anonymous reviewers for constructive comments that greatly improved the manuscript.</t>
  </si>
  <si>
    <t>10.3354/meps12757</t>
  </si>
  <si>
    <t>GZ1WE</t>
  </si>
  <si>
    <t>WOS:000449165100004</t>
  </si>
  <si>
    <t>Adam, O; Grise, KM; Staten, P; Simpson, IR; Davis, SM; Davis, NA; Waugh, DW; Birner, T; Ming, A</t>
  </si>
  <si>
    <t>Adam, Ori; Grise, Kevin M.; Staten, Paul; Simpson, Isla R.; Davis, Sean M.; Davis, Nicholas A.; Waugh, Darryn W.; Birner, Thomas; Ming, Alison</t>
  </si>
  <si>
    <t>The TropD software package (v1): standardized methods for calculating tropical-width diagnostics</t>
  </si>
  <si>
    <t>HADLEY CIRCULATION; OBSERVATIONAL EVIDENCE; POLEWARD EXPANSION; PART II; REANALYSES; MODEL</t>
  </si>
  <si>
    <t>Observational and modeling studies suggest that Earth's tropical belt has widened over the late 20th century and will continue to widen throughout the 21st century. Yet, estimates of tropical-width variations differ significantly across studies. This uncertainty, to an unknown degree, is partly due to the large variety of methods used in studies of the tropical width. Here, methods for eight commonly used metrics of the tropical width are implemented in the Tropical-width Diagnostics (TropD) code package in the MATLAB programming language. To consolidate the various methods, the operations used in each of the implemented methods are reduced to two basic calculations: finding the latitude of a zero crossing and finding the latitude of a maximum. A detailed description of the methods implemented in the code and of the code syntax is provided, followed by a method sensitivity analysis for each of the metrics. The analysis provides information on how to reduce the methodological component of the uncertainty associated with fundamental aspects of the calculations, such as monthly vs. seasonal averaging biases, grid dependence, sensitivity to noise, and sensitivity to threshold criteria.</t>
  </si>
  <si>
    <t>[Adam, Ori] Hebrew Univ Jerusalem, Jerusalem, Israel; [Grise, Kevin M.] Univ Virginia, Charlottesville, VA USA; [Staten, Paul] Indiana Univ, Bloomington, IN USA; [Simpson, Isla R.] Natl Ctr Atmospher Res, POB 3000, Boulder, CO 80307 USA; [Davis, Sean M.; Davis, Nicholas A.] NOAA, Earth Syst Res Lab, Chem Sci Div, Boulder, CO USA; [Davis, Sean M.; Davis, Nicholas A.] Univ Colorado, Cooperat Inst Res Environm Sci, Boulder, CO 80309 USA; [Waugh, Darryn W.] Johns Hopkins Univ, Dept Earth &amp; Planetary Sci, Baltimore, MD 21218 USA; [Birner, Thomas] Colorado State Univ, Ft Collins, CO 80523 USA; [Ming, Alison] British Antarctic Survey, Cambridge, England; [Birner, Thomas] Ludwig Maximilians Univ Munchen, Meteorol Inst, Munich, Germany</t>
  </si>
  <si>
    <t>Hebrew University of Jerusalem; University of Virginia; Indiana University System; Indiana University Bloomington; National Center Atmospheric Research (NCAR) - USA; National Oceanic Atmospheric Admin (NOAA) - USA; University of Colorado System; University of Colorado Boulder; Johns Hopkins University; Colorado State University; UK Research &amp; Innovation (UKRI); Natural Environment Research Council (NERC); NERC British Antarctic Survey; University of Munich</t>
  </si>
  <si>
    <t>Adam, O (corresponding author), Hebrew Univ Jerusalem, Jerusalem, Israel.</t>
  </si>
  <si>
    <t>ori.adam@mail.huji.ac.il</t>
  </si>
  <si>
    <t>Davis, Sean/C-9570-2011; Adam, Ori/AAM-5014-2021; Staten, Paul/AAK-3268-2020; Birner, Thomas/FFE-8380-2022; Davis, Sean/HGC-5795-2022; Simpson, Isla/AAI-7589-2020; Grise, Kevin/B-6939-2013; Waugh, Darryn/K-3688-2016</t>
  </si>
  <si>
    <t>Davis, Sean/0000-0001-9276-6158; Adam, Ori/0000-0003-0334-0636; Staten, Paul/0000-0001-9034-2466; Birner, Thomas/0000-0002-2966-3428; Davis, Sean/0000-0001-9276-6158; Grise, Kevin/0000-0003-0934-8129; Waugh, Darryn/0000-0001-7692-2798</t>
  </si>
  <si>
    <t>ESA; Swiss Confederation; Swiss Academy of Sciences; University of Bern; NASA; NOAA; NSF; DOE; Israeli Science Foundation [1185/17]; NERC [NE/N011813/1]; NERC [bas0100032] Funding Source: UKRI</t>
  </si>
  <si>
    <t>ESA(European Space Agency); Swiss Confederation; Swiss Academy of Sciences; University of Bern; NASA(National Aeronautics &amp; Space Administration (NASA)); NOAA(National Oceanic Atmospheric Admin (NOAA) - USA); NSF(National Science Foundation (NSF)); DOE(United States Department of Energy (DOE)); Israeli Science Foundation(Israel Science Foundation); NERC(UK Research &amp; Innovation (UKRI)Natural Environment Research Council (NERC)); NERC(UK Research &amp; Innovation (UKRI)Natural Environment Research Council (NERC))</t>
  </si>
  <si>
    <t>This work is part of the collaborative efforts of the International Space Science Institute (ISSI) Tropical Width Diagnostics Intercomparison Project and the US Climate Variability and Predictability Program (US CLIVAR) Changing Width of the Tropical Belt Working Group. The authors thank the members of these groups as well as the ISSI and US CLIVAR offices and sponsoring agencies (ESA, Swiss Confederation, Swiss Academy of Sciences, University of Bern, NASA, NOAA, NSF, and DOE) for their support. We acknowledge the World Climate Research Programme's Working Group on Coupled Modelling, which is responsible for CMIP, and we thank the climate modeling groups for producing and making available their model output. Ori Adam acknowledges support by the Israeli Science Foundation grant 1185/17. Alison Ming acknowledges funding from the NERC standard grant code NE/N011813/1.</t>
  </si>
  <si>
    <t>10.5194/gmd-11-4339-2018</t>
  </si>
  <si>
    <t>GY2TZ</t>
  </si>
  <si>
    <t>WOS:000448397800001</t>
  </si>
  <si>
    <t>Schwarz, R; Piatkowski, U; Hoving, HJT</t>
  </si>
  <si>
    <t>Schwarz, Richard; Piatkowski, Uwe; Hoving, Hendrik Jan T.</t>
  </si>
  <si>
    <t>Impact of environmental temperature on the lifespan of octopods</t>
  </si>
  <si>
    <t>Cephalopoda; Incirrate octopods; Life-history traits; Temperature; Lifespan; Deep sea; Polar regions</t>
  </si>
  <si>
    <t>VAMPIRE SQUID; DEEP; CEPHALOPODA; HISTORY; SIZE; LONGEVITY; BIOLOGY; AGE; REPRODUCTION; ADAPTATION</t>
  </si>
  <si>
    <t>Recent studies on the life history of cephalopods have challenged the paradigm that all coleoid cephalopods have a single reproductive cycle and a short lifespan. Although lifespan has been investigated in several octopod species, few studies have considered their life-history traits in relation to environmental conditions via a comparative approach. We tested the hypothesis that octopod lifespan is correlated with habitat characteristics. For that purpose, life history and environmental data of 25 incirrate octopod species and the vampire squid Vampyroteuthis infernails were compiled from the literature. Regression analysis showed that the relationship between age at maturity and average habitat temperature was best described by a negative power function (r(2) = 0.86). The depth ranges of occurrence (minimum-midpoint-maximum) were positively correlated with time to reach maturity, with maximum depth showing the best fit (r(2) = 0.47). Using literature data and our analyses, we estimated that octopods living in polar and deep seas mature after 3 to 5 yr. The reviewed and estimated instantaneous relative growth rates ranged from 0.1% body weight (BW) d(-1) in the Antarctic species Pareledone charcoti to nearly 6% BW d(-1) in the temperate species Macroctopus maorum. Our analyses suggest that low water temperatures (&lt;5 degrees C) result in an extended ontogenetic development, potentially as a result of reduced metabolic rates and constraints on protein synthesis, which increases the lifespan of octopods living in cold environments.</t>
  </si>
  <si>
    <t>[Schwarz, Richard; Piatkowski, Uwe; Hoving, Hendrik Jan T.] Helmholtz Ctr Ocean Res Kiel, GEOMAR, D-24105 Kiel, Germany</t>
  </si>
  <si>
    <t>Helmholtz Association; GEOMAR Helmholtz Center for Ocean Research Kiel</t>
  </si>
  <si>
    <t>Schwarz, R (corresponding author), Helmholtz Ctr Ocean Res Kiel, GEOMAR, D-24105 Kiel, Germany.</t>
  </si>
  <si>
    <t>ricschwarz@gmail.com</t>
  </si>
  <si>
    <t>Schwarz, Richard/IQU-3323-2023; Piatkowski, Uwe/G-4161-2011</t>
  </si>
  <si>
    <t>Schwarz, Richard/0000-0002-0961-5998; Piatkowski, Uwe/0000-0003-1558-5817</t>
  </si>
  <si>
    <t>National Council for Scientific and Technological Development (CNPq), Brazil [201585/2015-4]; Cluster of Excellence 80 'The Future Ocean' [CP1218]; Deutsche Forschungsgemeinschaft (DFG)</t>
  </si>
  <si>
    <t>National Council for Scientific and Technological Development (CNPq), Brazil(Conselho Nacional de Desenvolvimento Cientifico e Tecnologico (CNPQ)); Cluster of Excellence 80 'The Future Ocean'; Deutsche Forschungsgemeinschaft (DFG)(German Research Foundation (DFG))</t>
  </si>
  <si>
    <t>We thank Dr. Felix Mark for the information about survival time of Pareledone charcoti in captivity. R.S. was funded by the National Council for Scientific and Technological Development (CNPq), Brazil (grant 201585/2015-4). H.J.T.H. received financial support from a grant (CP1218) of the Cluster of Excellence 80 'The Future Ocean', which is funded within the framework of the Excellence Initiative by the Deutsche Forschungsgemeinschaft (DFG) on behalf of the German federal and state governments.</t>
  </si>
  <si>
    <t>10.3354/meps12749</t>
  </si>
  <si>
    <t>WOS:000449165100012</t>
  </si>
  <si>
    <t>Pegler, SS</t>
  </si>
  <si>
    <t>Pegler, Samuel S.</t>
  </si>
  <si>
    <t>Suppression of marine ice sheet instability</t>
  </si>
  <si>
    <t>JOURNAL OF FLUID MECHANICS</t>
  </si>
  <si>
    <t>channel flow; ice sheets; instability</t>
  </si>
  <si>
    <t>DYNAMICS; STABILITY; FLOW; RETREAT; MODEL</t>
  </si>
  <si>
    <t>A long-standing open question in glaciology concerns the propensity for ice sheets that lie predominantly submerged in the ocean (marine ice sheets) to destabilise under buoyancy. This paper addresses the processes by which a buoyancy-driven mechanism for the retreat and ultimate collapse of such ice sheets - the marine ice sheet instability - is suppressed by lateral stresses acting on its floating component (the ice shelf). The key results are to demonstrate the transition between a mode of stable (easily reversible) retreat along a stable steady-state branch created by ice-shelf buttressing to tipped (almost irreversible) retreat across a critical parametric threshold. The conditions for triggering tipped retreat can be controlled by the calving position and other properties of the ice-shelf profile and can be largely independent of basal stress, in contrast to principles established from studies of unbuttressed grounding-line dynamics. The stability and recovery conditions introduced by lateral stresses are analysed by developing a method of constructing grounding-line stability (bifurcation) diagrams, which provide a rapid assessment of the steady-state positions, their natures and the conditions for secondary grounding, giving clear visualisations of global stabilisation conditions. A further result is to reveal the possibility of a third structural component of a marine ice sheet that lies intermediate to the fully grounded and floating components. The region forms an extended grounding area in which the ice sheet lies very close to flotation, and there is no clearly distinguished grounding line. The formation of this region generates an upsurge in buttressing that provides the most feasible mechanism for reversal of a tipped grounding line. The results of this paper provide conceptual insight into the phenomena controlling the stability of the West Antarctic Ice Sheet, the collapse of which has the potential to dominate future contributions to global sea-level rise.</t>
  </si>
  <si>
    <t>[Pegler, Samuel S.] Univ Leeds, Sch Math, Leeds LS2 9JT, W Yorkshire, England</t>
  </si>
  <si>
    <t>Pegler, SS (corresponding author), Univ Leeds, Sch Math, Leeds LS2 9JT, W Yorkshire, England.</t>
  </si>
  <si>
    <t>S.Pegler@leeds.ac.uk</t>
  </si>
  <si>
    <t>0022-1120</t>
  </si>
  <si>
    <t>1469-7645</t>
  </si>
  <si>
    <t>J FLUID MECH</t>
  </si>
  <si>
    <t>J. Fluid Mech.</t>
  </si>
  <si>
    <t>OCT 25</t>
  </si>
  <si>
    <t>10.1017/jfm.2018.742</t>
  </si>
  <si>
    <t>Mechanics; Physics, Fluids &amp; Plasmas</t>
  </si>
  <si>
    <t>Mechanics; Physics</t>
  </si>
  <si>
    <t>GY2NG</t>
  </si>
  <si>
    <t>WOS:000448379200004</t>
  </si>
  <si>
    <t>Zafar, AM; Müller, R; Grooss, JU; Robrecht, S; Vogel, B; Lehmann, R</t>
  </si>
  <si>
    <t>Zafar, A. Mannan; Mueller, Rolf; Grooss, Jens-Uwe; Robrecht, Sabine; Vogel, Baerbel; Lehmann, Ralph</t>
  </si>
  <si>
    <t>The relevance of reactions of the methyl peroxy radical (CH3O2) and methylhypochlorite (CH3OCl) for Antarctic chlorine activation and ozone loss</t>
  </si>
  <si>
    <t>TELLUS SERIES B-CHEMICAL AND PHYSICAL METEOROLOGY</t>
  </si>
  <si>
    <t>Antarctic Ozone; Antarctic chlorine chemistry; ozone hole; HCl null cycles</t>
  </si>
  <si>
    <t>GAS-PHASE REACTION; PRODUCT BRANCHING RATIOS; DEPENDENT RATE CONSTANTS; LARGE (CO)-C-13 DEFICIT; STRATOSPHERIC OZONE; POLAR OZONE; HOLE CHEMISTRY; CL ATOMS; DEPLETION; VORTEX</t>
  </si>
  <si>
    <t>The maintenance of large concentrations of active chlorine in Antarctic spring allows strong chemical ozone destruction to occur. In the lower stratosphere (approximately 16-18km, 85-55hPa, 390-430K) in the core of the polar vortex, high levels of active chlorine are maintained, although rapid gas-phase production of HCl occurs. The maintenance is achieved through HCl null cycles in which the HCl production is balanced by immediate reactivation. The chemistry of the methyl peroxy radical (CH3O2) is essential for these HCl null cycles and thus for Antarctic chlorine and ozone loss chemistry in the lower stratosphere in the core of the polar vortex. The key reaction here is the reaction CH3O2 broken vertical bar ClO &gt;products; this reaction should not be neglected in simulations of polar ozone loss. Here we investigate the full chemistry of CH3O2 in box-model simulations representative for the conditions in the core of the polar vortex in the lower stratosphere. These simulations include the reaction CH3O2+Cl, the product methylhypochlorite (CH3OCl) of the reaction CH3O2+ClO, and the subsequent chemical decomposition of CH3OCl. We find that when the formation of CH3OCl is taken into account, it is important that also the main loss channels for CH3OCl, namely photolysis and reaction with Cl are considered. Provided that this is the case, there is only a moderate impact of the formation of CH3OCl in the reaction CH3O2+ClO on polar chlorine chemistry in our simulations. Simulated peak mixing ratios of CH3OCl (approximate to 0.25 ppb) occur at the time of the lowest ozone mixing ratios. Further, our model simulations indicate that the reaction CH3O2+Cl does not have a strong impact on polar chlorine chemistry. During the period of the lowest ozone concentrations in late September, enhanced values of CH3O2 are simulated and, as a consequence, also enhanced values of formaldehyde (about 100 ppt) and methanol (about 5 ppt).</t>
  </si>
  <si>
    <t>[Zafar, A. Mannan; Mueller, Rolf; Grooss, Jens-Uwe; Robrecht, Sabine; Vogel, Baerbel] Forschungszentrum Julich, Inst Energy &amp; Climate Res IEK 7, Julich, Germany; [Lehmann, Ralph] Helmholtz Ctr Polar &amp; Marine Res, Alfred Wegener Inst, Potsdam, Germany; [Zafar, A. Mannan] Univ Engn &amp; Technol, Inst Environm Engn &amp; Res, Lahore, Pakistan</t>
  </si>
  <si>
    <t>Helmholtz Association; Research Center Julich; Helmholtz Association; Alfred Wegener Institute, Helmholtz Centre for Polar &amp; Marine Research; University of Engineering &amp; Technology Lahore</t>
  </si>
  <si>
    <t>Müller, R (corresponding author), Forschungszentrum Julich, Inst Energy &amp; Climate Res IEK 7, Julich, Germany.</t>
  </si>
  <si>
    <t>ro.mueller@fz-juelich.de</t>
  </si>
  <si>
    <t>Zafar, Abdul Mannan/AAK-9918-2021; Grooß, Jens-Uwe/N-3305-2019; Vogel, Bärbel/A-9988-2013; Müller, Rolf/ABA-8213-2021</t>
  </si>
  <si>
    <t>Zafar, Abdul Mannan/0000-0002-3289-4315; Grooß, Jens-Uwe/0000-0002-9485-866X; Müller, Rolf/0000-0002-5024-9977; Vogel, Barbel/0000-0001-9763-3055</t>
  </si>
  <si>
    <t>European Community [603557]</t>
  </si>
  <si>
    <t>European Community</t>
  </si>
  <si>
    <t>Part of this work was funded by the European Community's Seventh Framework Programme (FP7/2007-2013) as a contribution to StratoClim (grant agreement no. 603557).</t>
  </si>
  <si>
    <t>1600-0889</t>
  </si>
  <si>
    <t>TELLUS B</t>
  </si>
  <si>
    <t>Tellus Ser. B-Chem. Phys. Meteorol.</t>
  </si>
  <si>
    <t>10.1080/16000889.2018.1507391</t>
  </si>
  <si>
    <t>GZ4JW</t>
  </si>
  <si>
    <t>WOS:000449362100001</t>
  </si>
  <si>
    <t>Rae, JWB; Burke, A; Robinson, LF; Adkins, JF; Chen, T; Cole, C; Greenop, R; Li, T; Littley, EFM; Nita, DC; Stewart, JA; Taylor, BJ</t>
  </si>
  <si>
    <t>Rae, J. W. B.; Burke, A.; Robinson, L. F.; Adkins, J. F.; Chen, T.; Cole, C.; Greenop, R.; Li, T.; Littley, E. F. M.; Nita, D. C.; Stewart, J. A.; Taylor, B. J.</t>
  </si>
  <si>
    <t>CO2 storage and release in the deep Southern Ocean on millennial to centennial timescales</t>
  </si>
  <si>
    <t>LAST ICE-AGE; ANTARCTIC SEA-ICE; CORAL DESMOPHYLLUM-DIANTHUS; ATMOSPHERIC CO2; BORON ISOTOPE; SCLERACTINIAN CORALS; MASS-SPECTROMETRY; SATURATION STATE; GLACIAL CYCLES; CLIMATE-CHANGE</t>
  </si>
  <si>
    <t>The cause of changes in atmospheric carbon dioxide (CO2) during the recent ice ages is yet to be fully explained. Most mechanisms for glacial-interglacial CO2 change have centred on carbon exchange with the deep ocean, owing to its large size and relatively rapid exchange with the atmosphere(1). The Southern Ocean is thought to have a key role in this exchange, as much of the deep ocean is ventilated to the atmosphere in this region(2). However, it is difficult to reconstruct changes in deep Southern Ocean carbon storage, so few direct tests of this hypothesis have been carried out. Here we present deep-sea coral boron isotope data that track the pH-and thus the CO2 chemistry-of the deep Southern Ocean over the past forty thousand years. At sites closest to the Antarctic continental margin, and most influenced by the deep southern waters that form the ocean's lower overturning cell, we find a close relationship between ocean pH and atmospheric CO2: during intervals of low CO2, ocean pH is low, reflecting enhanced ocean carbon storage; and during intervals of rising CO2, ocean pH rises, reflecting loss of carbon from the ocean to the atmosphere. Correspondingly, at shallower sites we find rapid (millennial-to centennial-scale) decreases in pH during abrupt increases in CO2, reflecting the rapid transfer of carbon from the deep ocean to the upper ocean and atmosphere. Our findings confirm the importance of the deep Southern Ocean in ice-age CO2 change, and show that deep-ocean CO2 release can occur as a dynamic feedback to rapid climate change on centennial timescales.</t>
  </si>
  <si>
    <t>[Rae, J. W. B.; Burke, A.; Cole, C.; Greenop, R.; Littley, E. F. M.; Nita, D. C.; Stewart, J. A.; Taylor, B. J.] Univ St Andrews, Sch Earth &amp; Environm Sci, St Andrews, Fife, Scotland; [Robinson, L. F.; Chen, T.; Li, T.; Stewart, J. A.] Univ Bristol, Sch Earth Sci, Bristol, Avon, England; [Adkins, J. F.] CALTECH, Div Geol &amp; Planetary Sci, Pasadena, CA 91125 USA; [Chen, T.; Li, T.] Nanjing Univ, Sch Earth Sci &amp; Engn, Nanjing, Jiangsu, Peoples R China; [Nita, D. C.] Babes Bolyai Univ, Fac Environm Sci &amp; Engn, Cluj Napoca, Romania</t>
  </si>
  <si>
    <t>University of St Andrews; University of Bristol; California Institute of Technology; Nanjing University; Babes Bolyai University from Cluj</t>
  </si>
  <si>
    <t>Rae, JWB (corresponding author), Univ St Andrews, Sch Earth &amp; Environm Sci, St Andrews, Fife, Scotland.</t>
  </si>
  <si>
    <t>jwbr@st-andrews.ac.uk</t>
  </si>
  <si>
    <t>Li, Tao/ITW-0434-2023; Nita, Dan/R-3303-2019; Nita, Dan C./N-8510-2018; Adkins, Jess/GYI-8778-2022; Rae, James/R-3812-2017</t>
  </si>
  <si>
    <t>Li, Tao/0000-0002-9975-152X; Nita, Dan/0000-0002-9492-0734; Cole, Catherine/0000-0003-2397-0520; Littley, Eloise/0000-0003-1442-7585; Burke, Andrea/0000-0002-3754-1498; Stewart, Joseph/0000-0003-3092-5058; Rae, James/0000-0003-3904-2526</t>
  </si>
  <si>
    <t>NERC Standard Grant [NE/N003861/1, NE/M004619/1]; NOAA Climate and Global Change VSP Fellowship; NERC Strategic Environmental Science Capital Grant; Marie Curie Career Integration Grant [CIG14-631752]; ERC; NSF [OCE-1503129]; NERC; NERC [NE/N003861/1, NE/M004619/1] Funding Source: UKRI</t>
  </si>
  <si>
    <t>NERC Standard Grant(UK Research &amp; Innovation (UKRI)Natural Environment Research Council (NERC)); NOAA Climate and Global Change VSP Fellowship(National Oceanic Atmospheric Admin (NOAA) - USA); NERC Strategic Environmental Science Capital Grant; Marie Curie Career Integration Grant(Marie Curie Actions); ERC(European Research Council (ERC)); NSF(National Science Foundation (NSF)); NERC(UK Research &amp; Innovation (UKRI)Natural Environment Research Council (NERC)); NERC(UK Research &amp; Innovation (UKRI)Natural Environment Research Council (NERC))</t>
  </si>
  <si>
    <t>This work was supported by NERC Standard Grant NE/N003861/1 to J.W.B.R. and L.F.R., an NOAA Climate and Global Change VSP Fellowship to J.W.B.R, NERC Standard Grant NE/M004619/1 to A.B. and J.W.B.R., a NERC Strategic Environmental Science Capital Grant to A.B. and J.W.B.R., Marie Curie Career Integration Grant CIG14-631752 to A.B., an ERC consolidator grant to L.F.R., NSF grant OCE-1503129 to J.F.A., and NERC studentships to B.T. and E.L.</t>
  </si>
  <si>
    <t>10.1038/s41586-018-0614-0</t>
  </si>
  <si>
    <t>GY1HQ</t>
  </si>
  <si>
    <t>WOS:000448277800054</t>
  </si>
  <si>
    <t>King, EC; De Rydt, J; Gudmundsson, GH</t>
  </si>
  <si>
    <t>King, Edward C.; De Rydt, Jan; Gudmundsson, G. Hilmar</t>
  </si>
  <si>
    <t>The internal structure of the Brunt Ice Shelf from ice-penetrating radar analysis and implications for ice shelf fracture</t>
  </si>
  <si>
    <t>ANTARCTIC PENINSULA; LARSEN; PROPAGATION; SURFACE; DISINTEGRATION; THICKNESS; STABILITY; PATTERNS; GLACIERS</t>
  </si>
  <si>
    <t>The rate and direction of rift propagation through ice shelves depend on both the stress field and the heterogeneity (or otherwise) of the physical properties of the ice. The Brunt Ice Shelf in Antarctica has recently developed new rifts, which are being actively monitored as they lengthen and interact with the internal structure of the ice shelf. Here we present the results of a ground-penetrating radar survey of the Brunt Ice Shelf aimed at understanding variations in the internal structure. We find that there are flow bands composed mostly of thick (ca. 250 m) meteoric ice interspersed with thinner (ca. 150 m) sections of ice shelf that have a large proportion of sea ice and seawater-saturated firn. Therefore the ice shelf is, in essence, a series of ice tongues cemented together with ice melange. The changes in structure are related both to the thickness and flow speed of ice at the grounding line and to subsequent processes of firn accumulation and brine infiltration as the ice shelf flows towards the calving front. It is shown that rifts propagating through the Brunt Ice Shelf preferentially skirt the edges of blocks of meteoric ice and slow their rate of propagation when forced by the stress field to break through them, in contrast to the situation on other ice shelves where rift propagation speeds up in meteoric ice.</t>
  </si>
  <si>
    <t>[King, Edward C.; De Rydt, Jan; Gudmundsson, G. Hilmar] British Antarctic Survey, Ice Dynam &amp; Palaeoclimate Team, Cambridge CB3 0ET, England; [De Rydt, Jan; Gudmundsson, G. Hilmar] Northumbria Univ, Dept Geog &amp; Earth Sci, Newcastle NE1 8ST, Tyne &amp; Wear, England</t>
  </si>
  <si>
    <t>UK Research &amp; Innovation (UKRI); Natural Environment Research Council (NERC); NERC British Antarctic Survey; Northumbria University</t>
  </si>
  <si>
    <t>King, EC (corresponding author), British Antarctic Survey, Ice Dynam &amp; Palaeoclimate Team, Cambridge CB3 0ET, England.</t>
  </si>
  <si>
    <t>ecki@bas.ac.uk</t>
  </si>
  <si>
    <t>Gudmundsson, Gudmundur Hilmar/AAU-5987-2020; De Rydt, Jan/H-5692-2018</t>
  </si>
  <si>
    <t>Gudmundsson, Gudmundur Hilmar/0000-0003-4236-5369; De Rydt, Jan/0000-0002-2978-8706</t>
  </si>
  <si>
    <t>Natural Environment Research Council, UK; NERC [NE/R016038/1, bas0100034] Funding Source: UKRI</t>
  </si>
  <si>
    <t>Natural Environment Research Council, UK(UK Research &amp; Innovation (UKRI)Natural Environment Research Council (NERC)); NERC(UK Research &amp; Innovation (UKRI)Natural Environment Research Council (NERC))</t>
  </si>
  <si>
    <t>The authors are grateful for the support provided by the station personnel of Halley VI Research Station. This work was part of the British Antarctic Survey programme Polar Science for Planet Earth funded by the Natural Environment Research Council, UK. The authors thank Adam Booth, Daniel McGrath and an anonymous referee for their useful comments for improving the paper.</t>
  </si>
  <si>
    <t>OCT 24</t>
  </si>
  <si>
    <t>10.5194/tc-12-3361-2018</t>
  </si>
  <si>
    <t>GY0ES</t>
  </si>
  <si>
    <t>WOS:000448186800001</t>
  </si>
  <si>
    <t>Schmitz, D; Putzke, J; de Albuquerque, MP; Schünemann, AL; Vieira, FCB; Victoria, FD; Pereira, AB</t>
  </si>
  <si>
    <t>Schmitz, Daniela; Putzke, Jair; de Albuquerque, Margeli Pereira; Schunemann, Adriano Luis; Beber Vieira, Frederico Costa; Victoria, Filipe de Carvalho; Pereira, Antonio Batista</t>
  </si>
  <si>
    <t>Description of plant communities on Half Moon Island, Antarctica</t>
  </si>
  <si>
    <t>Phytosociology; Antarctic plant distribution; bryophytes; lichens; plant community mapping</t>
  </si>
  <si>
    <t>KING-GEORGE-ISLAND; ADMIRALTY BAY; VEGETATION; DIVERSITY; NUTRIENTS; DESV.; RANGE</t>
  </si>
  <si>
    <t>During February-March of the austral summers of 2013/14 and 2014/2015, fieldwork was performed on Half Moon Island, South Shetland Archipelago, Antarctica, to evaluate the distribution and abundance of mosses and lichens, as well as to describe and map the plant communities there. The quadrat (20 x 20 cm) sampling method was employed in a phytosociological study that aimed to describe these communities. The area was mapped using an Astech Promark II (R) DGPS, yielding sub-metric precision after post-processing with software. The number of species totalled 38 bryophytes, 59 lichens, only one flowering plant (Deschampsia antarctica Desv.), and two macroscopic terrestrial algae. Five types of plant communities were identified on the island, as follows: (1) fruticose lichen and moss cushion, (2) moss carpet, (3) muscicolous lichen, (4) crustose lichen and (5) moss turf.</t>
  </si>
  <si>
    <t>[Schmitz, Daniela] Univ Fed Vicosa, Dept Biol Vegetal, Lab Ecol Evolut Plantas, Vicosa, MG, Brazil; [Putzke, Jair; de Albuquerque, Margeli Pereira; Schunemann, Adriano Luis; Beber Vieira, Frederico Costa; Victoria, Filipe de Carvalho; Pereira, Antonio Batista] Univ Fed Pampa, Nucleo Estudos Vegetacao Antartica, Ave Antonio Trilha, BR-97300000 Sao Gabriel, RS, Brazil</t>
  </si>
  <si>
    <t>Universidade Federal de Vicosa; Universidade Federal do Pampa</t>
  </si>
  <si>
    <t>Vieira, FCB (corresponding author), Univ Fed Pampa, Nucleo Estudos Vegetacao Antartica, Ave Antonio Trilha, BR-97300000 Sao Gabriel, RS, Brazil.</t>
  </si>
  <si>
    <t>filipevictoria@unipampa.edu.br</t>
  </si>
  <si>
    <t>Victoria, Filipe/F-6066-2013; Schünemann, Adriano Luis/AAN-1224-2020; Victoria, Filipe C/E-1890-2012; Pereira, Antonio/AAD-5703-2019; Putzke, Jair/P-9380-2019; Pereira, Antonio B/I-8201-2014; Schmitz, Daniela/AAY-8008-2020</t>
  </si>
  <si>
    <t>Victoria, Filipe/0000-0002-8580-1813; Schünemann, Adriano Luis/0000-0001-7227-7074; Pereira, Antonio B/0000-0003-0368-4594; Schmitz, Daniela/0000-0002-3162-2430</t>
  </si>
  <si>
    <t>Brazilian Antarctic Program through the National Council for Research and Development (CNPq) [574018/2008]; Research Foundation of the State of Rio de Janeiro (FAPERJ) [E-26/170.023/2008]; Ministry of Science, Technology and Innovation (MCTI); Interministerial Commission for Sea Resources (CIRM); Foundation for Research Support of Rio Grande do Sul State (FAPERGS)</t>
  </si>
  <si>
    <t>Brazilian Antarctic Program through the National Council for Research and Development (CNPq)(Conselho Nacional de Desenvolvimento Cientifico e Tecnologico (CNPQ)); Research Foundation of the State of Rio de Janeiro (FAPERJ)(Fundacao Carlos Chagas Filho de Amparo a Pesquisa do Estado do Rio De Janeiro (FAPERJ)); Ministry of Science, Technology and Innovation (MCTI); Interministerial Commission for Sea Resources (CIRM); Foundation for Research Support of Rio Grande do Sul State (FAPERGS)(Fundacao de Amparo a Ciencia e Tecnologia do Estado do Rio Grande do Sul (FAPERGS))</t>
  </si>
  <si>
    <t>This work was supported by the Brazilian Antarctic Program through the National Council for Research and Development (CNPq; process no. 574018/2008), the Research Foundation of the State of Rio de Janeiro (FAPERJ; process E-26/170.023/2008), the Ministry of Science, Technology and Innovation (MCTI), the Interministerial Commission for Sea Resources (CIRM), and the Foundation for Research Support of Rio Grande do Sul State (FAPERGS), from which the authors appreciate the financial and logistic support that was needed to carry out this work. We also would like to acknowledge the Argentine Camara Base crew, under the command of Capitan de Corbeta de Infanteria de Marina Hector Daniel Baez Mannino, and thank the Argentine Antarctic Program for the facilities arranged for us during our stay on Half Moon Island.</t>
  </si>
  <si>
    <t>10.1080/17518369.2018.1523663</t>
  </si>
  <si>
    <t>GY0DU</t>
  </si>
  <si>
    <t>WOS:000448183100001</t>
  </si>
  <si>
    <t>Ng, FSL; Gudmundsson, GH; King, EC</t>
  </si>
  <si>
    <t>Ng, Felix S. L.; Gudmundsson, G. Hilmar; King, Edward C.</t>
  </si>
  <si>
    <t>Differential Geometry of Ice Flow</t>
  </si>
  <si>
    <t>ice sheets; ice streams; flow direction; convergence; curvature; symmetry breaking; balance velocity; Antarctica</t>
  </si>
  <si>
    <t>CALCULATING BALANCE VELOCITIES; STRAIN-RATE; SURFACE; SHEET; THICKNESS; MODEL</t>
  </si>
  <si>
    <t>Flowlines on ice sheets and glaciers form complex patterns. To explore their role in ice routing and extend the language for studying such patterns, we develop a theory of flow convergence and curvature in plan view. These geometric quantities respectively equal the negative divergence of the vector field of ice-flow direction and the curl of this field. From the first of these two fundamental results, we show that flow in individual catchments of an ice sheet can converge (despite its overall spreading) because ice divides are loci of strong divergence, and that a sign bifurcation in convergence occurs during ice-sheet symmetry breaking (the transition from near-radial spreading to spreading with substantial azimuthal velocities) and during the formation of ice-stream tributary networks. We also uncover the topological control behind balance-flux distributions across ice masses. Notably, convergence participates in mass conservation along flowlines to amplify ice flux via a positive feedback; thus the convergence field governs the form of ice-stream networks simulated by balance-velocity models. The theory provides a roadmap for understanding the tower-shaped plot of flow speed versus convergence for the Antarctic Ice Sheet.</t>
  </si>
  <si>
    <t>[Ng, Felix S. L.] Univ Sheffield, Dept Geog, Sheffield, S Yorkshire, England; [Gudmundsson, G. Hilmar] Northumbria Univ, Dept Geog &amp; Environm Sci, Newcastle Upon Tyne, Tyne &amp; Wear, England; [King, Edward C.] British Antarctic Survey, Nat Environm Res Council, Cambridge, England</t>
  </si>
  <si>
    <t>University of Sheffield; Northumbria University; UK Research &amp; Innovation (UKRI); Natural Environment Research Council (NERC); NERC British Antarctic Survey</t>
  </si>
  <si>
    <t>Ng, FSL (corresponding author), Univ Sheffield, Dept Geog, Sheffield, S Yorkshire, England.</t>
  </si>
  <si>
    <t>f.ng@sheffield.ac.uk</t>
  </si>
  <si>
    <t>Gudmundsson, Gudmundur Hilmar/AAU-5987-2020</t>
  </si>
  <si>
    <t>Gudmundsson, Gudmundur Hilmar/0000-0003-4236-5369; Ng, Felix/0000-0001-6352-0351</t>
  </si>
  <si>
    <t>Leverhulme Trust [RF-2017-320]</t>
  </si>
  <si>
    <t>Leverhulme Trust(Leverhulme Trust)</t>
  </si>
  <si>
    <t>FN acknowledges the support of a Leverhulme Trust Research Fellowship in 2017-18 (no. RF-2017-320), which funded this study. We thank two reviewers and the editor for their helpful comments on our manuscript.</t>
  </si>
  <si>
    <t>OCT 23</t>
  </si>
  <si>
    <t>10.3389/feart.2018.00161</t>
  </si>
  <si>
    <t>GY1WM</t>
  </si>
  <si>
    <t>WOS:000448326300001</t>
  </si>
  <si>
    <t>Montgomery, L; Koenig, L; Alexander, P</t>
  </si>
  <si>
    <t>Montgomery, Lynn; Koenig, Lora; Alexander, Patrick</t>
  </si>
  <si>
    <t>The SUMup dataset: compiled measurements of surface mass balance components over ice sheets and sea ice with analysis over Greenland</t>
  </si>
  <si>
    <t>DRONNING MAUD-LAND; ANTARCTIC SNOW ACCUMULATION; FIRN-DENSIFICATION; MELTWATER STORAGE; ELEVATION CHANGE; BERKNER-ISLAND; AIRBORNE-RADAR; VARIABILITY; RATES; DEPTH</t>
  </si>
  <si>
    <t>Increasing atmospheric temperatures over ice cover affect surface processes, including melt, snowfall, and snow density. Here, we present the Surface Mass Balance and Snow on Sea Ice Working Group (SUMup) dataset, a standardized dataset of Arctic and Antarctic observations of surface mass balance components. The July 2018 SUMup dataset consists of three subdatasets, snow/firn density (https://doi.org/10.18739/A2JH3D23R), at least near-annually resolved snow accumulation on land ice (https://doi.org/10.18739/A2DR2P790), and snow depth on sea ice (https://doi.org/10.18739/A2WS8HK6X), to monitor change and improve estimates of surface mass balance. The measurements in this dataset were compiled from field notes, papers, technical reports, and digital files. SUMup is a compiled, community-based dataset that can be and has been used to evaluate modeling efforts and remote sensing retrievals. Active submission of new or past measurements is encouraged. Analysis of the dataset shows that Greenland Ice Sheet density measurements in the top 1 m do not show a strong relationship with annual temperature. At Summit Station, Greenland, accumulation and surface density measurements vary seasonally with lower values during summer months. The SUMup dataset is a dynamic, living dataset that will be updated and expanded for community use as new measurements are taken and new processes are discovered and quantified.</t>
  </si>
  <si>
    <t>[Montgomery, Lynn] Univ Colorado, Dept Atmospher &amp; Ocean Sci, Boulder, CO 80309 USA; [Koenig, Lora] Univ Colorado, Natl Snow &amp; Ice Data Ctr, Boulder, CO 80309 USA; [Alexander, Patrick] Columbia Univ, Lamont Doherty Earth Observ, Palisades, NY USA; [Alexander, Patrick] NASA, Goddard Inst Space Studies, 2880 Broadway, New York, NY 10025 USA</t>
  </si>
  <si>
    <t>University of Colorado System; University of Colorado Boulder; University of Colorado System; University of Colorado Boulder; Columbia University; National Aeronautics &amp; Space Administration (NASA); NASA Goddard Space Flight Center; Goddard Institute for Space Studies</t>
  </si>
  <si>
    <t>Montgomery, L (corresponding author), Univ Colorado, Dept Atmospher &amp; Ocean Sci, Boulder, CO 80309 USA.</t>
  </si>
  <si>
    <t>lynn.montgomery@colorado.edu</t>
  </si>
  <si>
    <t>KOENIG, LORA/0000-0002-6057-8483</t>
  </si>
  <si>
    <t>National Science Foundation [PLR 1603407]; University of Colorado Boulder Libraries Open Access Fund</t>
  </si>
  <si>
    <t>National Science Foundation(National Science Foundation (NSF)); University of Colorado Boulder Libraries Open Access Fund</t>
  </si>
  <si>
    <t>Lynn Montgomery and Lora Koenig acknowledge National Science Foundation grant PLR 1603407 for funding this work. We thank our two anonymous reviewers and our editor, Reinhard Drews, for providing thorough insight and commentary that helped to greatly improve the quality of the manuscript. Publication of this article was funded by the University of Colorado Boulder Libraries Open Access Fund.</t>
  </si>
  <si>
    <t>10.5194/essd-10-1959-2018</t>
  </si>
  <si>
    <t>GZ0CO</t>
  </si>
  <si>
    <t>WOS:000449024400001</t>
  </si>
  <si>
    <t>Trant, AJ; Jameson, RG; Hermanutz, L</t>
  </si>
  <si>
    <t>Trant, Andrew J.; Jameson, Ryan G.; Hermanutz, Luise</t>
  </si>
  <si>
    <t>Variation in reproductive potential across a multi-species treeline</t>
  </si>
  <si>
    <t>Treeline; reproductive bottleneck; seed limitation; upslope tree advance; Mealy Mountains; Labrador</t>
  </si>
  <si>
    <t>FIR ABIES-BALSAMEA; BLACK SPRUCE; CLIMATE-CHANGE; WHITE SPRUCE; BOREAL FOREST; LINE VEGETATION; NORTHERN LIMIT; NORWAY SPRUCE; PICEA-GLAUCA; SCOTS PINE</t>
  </si>
  <si>
    <t>Cone and seed production at the forest-tundra ecotone, or treeline, depend on species-specific tolerances to limiting abiotic and biotic factors. As range expansion via seed dispersal is needed to keep pace with climate change, reproductive limitations act as a bottleneck for treeline advance. The treeline in the Mealy Mountains, central Labrador, was comprised of four codominant species: black spruce (Picea mariana [Mill.] B.S.P.), white spruce (Picea glauca [Moench] Voss), eastern larch (Larix laricina [Du Roi] K. Koch), and balsam fir (Abies balsamea [L.] Mill.). Conifer stem surveys from three treeline zones (forest, forest-tundra transition, krummholz) were used to assess patterns of altitudinal distributions, tree densities, and cone production to provide insight into overall reproductive potential. The altitudinal limit of the spruce species was 39 m a.s.l. higher than the altitudinal limit of black spruce cone production. Black spruce had the highest densities of cone-bearing trees across treeline with eastern larch values being comparable in the forest-tundra transition zone, although overall cone production was low and highly variable in all species. Compared to the other treeline species, black spruce has the greatest reproductive potential for upslope advance.</t>
  </si>
  <si>
    <t>[Trant, Andrew J.] Univ Waterloo, Sch Environm Resources &amp; Sustainabil, Waterloo, ON N2L 3G1, Canada; [Jameson, Ryan G.] Discovery Ctr, Halifax, NS, Canada; [Trant, Andrew J.; Jameson, Ryan G.; Hermanutz, Luise] Mem Univ, Dept Biol, St John, NF, Canada</t>
  </si>
  <si>
    <t>University of Waterloo; Memorial University Newfoundland</t>
  </si>
  <si>
    <t>Trant, AJ (corresponding author), Univ Waterloo, Sch Environm Resources &amp; Sustainabil, Waterloo, ON N2L 3G1, Canada.</t>
  </si>
  <si>
    <t>atrant@uwaterloo.ca</t>
  </si>
  <si>
    <t>Hermanutz, Luise/0000-0003-0706-7067; Trant, Andrew/0000-0003-3030-530X; Jameson, Ryan/0000-0002-2006-0567</t>
  </si>
  <si>
    <t>Government of Canada Program for International Polar Year (IPY) under Project PPS Arctic Canada [IPY 2007-08]; Natural Sciences and Engineering Research Council (NSERC) [RGPIN-2018-05185]; Northern Scientific Training Program (NSTP); Arctic Institute of North America; Memorial University</t>
  </si>
  <si>
    <t>Government of Canada Program for International Polar Year (IPY) under Project PPS Arctic Canada; Natural Sciences and Engineering Research Council (NSERC)(Natural Sciences and Engineering Research Council of Canada (NSERC)); Northern Scientific Training Program (NSTP); Arctic Institute of North America; Memorial University</t>
  </si>
  <si>
    <t>The authors acknowledge funding from the Government of Canada Program for International Polar Year (IPY) for our work under Project PPS Arctic Canada as part of IPY 2007-08 and the Natural Sciences and Engineering Research Council (NSERC) Discovery Grant (RGPIN-2018-05185) to A. T. Funding for this study was provided to A. T. and R. J. by the Northern Scientific Training Program (NSTP), the Arctic Institute of North America, and Memorial University. We would like to thank S. Boudreau, C. Brown, B. Daigle, S. Mamet, P. Marino, and R. Savidge for technical advice and editorial suggestions. We would also like to thank B. Cranston, D. Hynes, K. Lewis, D. Myers, G. Samson, L. Siegwart Collier, and J. Wheeler for field and analytical help. Thanks also to two anonymous reviewers who demonstrated an extraordinary commitment to this manuscript. We extend our sincere gratitude to the Innu Nation, who allowed us to work on their traditional land.</t>
  </si>
  <si>
    <t>e1524191</t>
  </si>
  <si>
    <t>10.1080/15230430.2018.1524191</t>
  </si>
  <si>
    <t>GY8XD</t>
  </si>
  <si>
    <t>WOS:000448921700001</t>
  </si>
  <si>
    <t>Amoroso, RO; Pitcher, CR; Rijnsdorp, AD; McConnaughey, RA; Parma, AM; Suuronen, P; Eigaard, OR; Bastardie, F; Hintzen, NT; Althaus, F; Baird, SJ; Black, J; Buhl-Mortensen, L; Campbell, AB; Catarino, R; Collie, J; Cowan, JH; Durholtz, D; Engstrom, N; Fairweather, TP; Fock, HO; Ford, R; Gálvez, PA; Gerritsen, H; Góngora, ME; González, JA; Hiddink, JG; Hughes, KM; Intelmann, SS; Jenkins, C; Jonsson, P; Kainge, P; Kangas, M; Kathena, JN; Kavadas, S; Leslie, RW; Lewis, SG; Lundy, M; Makin, D; Martin, J; Mazor, T; Gonzalez-Mirelis, G; Newman, SJ; Papadopoulou, N; Posen, PE; Rochester, W; Russo, T; Sala, A; Semmens, JM; Silva, C; Tsolos, A; Vanelslander, B; Wakefield, CB; Wood, BA; Hilborn, R; Kaiser, MJ; Jennings, S</t>
  </si>
  <si>
    <t>Amoroso, Ricardo O.; Pitcher, C. Roland; Rijnsdorp, Adriaan D.; McConnaughey, Robert A.; Parma, Ana M.; Suuronen, Petri; Eigaard, Ole R.; Bastardie, Francois; Hintzen, Niels T.; Althaus, Franziska; Baird, Susan Jane; Black, Jenny; Buhl-Mortensen, Lene; Campbell, Alexander B.; Catarino, Rui; Collie, Jeremy; Cowan, James H., Jr.; Durholtz, Deon; Engstrom, Nadia; Fairweather, Tracey P.; Fock, Heino O.; Ford, Richard; Galvez, Patricio A.; Gerritsen, Hans; Gongora, Maria Eva; Gonzalez, Jessica A.; Hiddink, Jan G.; Hughes, Kathryn M.; Intelmann, Steven S.; Jenkins, Chris; Jonsson, Patrik; Kainge, Paulus; Kangas, Mervi; Kathena, Johannes N.; Kavadas, Stefanos; Leslie, Rob W.; Lewis, Steve G.; Lundy, Mathieu; Makin, David; Martin, Julie; Mazor, Tessa; Gonzalez-Mirelis, Genoveva; Newman, Stephen J.; Papadopoulou, Nadia; Posen, Paulette E.; Rochester, Wayne; Russo, Tommaso; Sala, Antonello; Semmens, Jayson M.; Silva, Cristina; Tsolos, Angelo; Vanelslander, Bart; Wakefield, Corey B.; Wood, Brent A.; Hilborn, Ray; Kaiser, Michel J.; Jennings, Simon</t>
  </si>
  <si>
    <t>Bottom trawl fishing footprints on the world's continental shelves</t>
  </si>
  <si>
    <t>fisheries; effort; footprint; habitat; seabed</t>
  </si>
  <si>
    <t>MONITORING-SYSTEM VMS; NORTH-SEA; GLOBAL ANALYSIS; IMPACT; DISTURBANCE; FISHERIES; HABITATS; PATTERNS; MANAGEMENT; PRESSURE</t>
  </si>
  <si>
    <t>Bottom trawlers land around 19 million tons of fish and invertebrates annually, almost one-quarter of wild marine landings. The extent of bottom trawling footprint (seabed area trawled at least once in a specified region and time period) is often contested but poorly described. We quantify footprints using high-resolution satellite vessel monitoring system (VMS) and logbook data on 24 continental shelves and slopes to 1,000-m depth over at least. 2 years. Trawling footprint varied markedly among regions: from &lt;10% of seabed area in Australian and New Zealand waters, the Aleutian Islands, East Bering Sea, South Chile, and Gulf of Alaska to &gt;50% in some European seas. Overall, 14% of the 7.8 million-km(2) study area was trawled, and 86% was not trawled. Trawling activity was aggregated; the most intensively trawled areas accounting for 90% of activity comprised 77% of footprint on average. Regional swept area ratio (SAR; ratio of total swept area trawled annually to total area of region, a metric of trawling intensity) and footprint area were related, providing an approach to estimate regional trawling footprints when high-resolution spatial data are unavailable. If SAR was &lt;= 0.1, as in 8 of 24 regions, there was &gt;95% probability that &gt;90% of seabed was not trawled. If SAR was 7.9, equal to the highest. SAR recorded, there was &gt;95% probability that &gt;70% of seabed was trawled. Footprints were smaller and SAR was &lt;= 0.25 in regions where fishing rates consistently met international sustainability benchmarks for fish stocks, implying collateral environmental benefits from sustainable fishing.</t>
  </si>
  <si>
    <t>[Amoroso, Ricardo O.; Hilborn, Ray] Univ Washington, Sch Aquat &amp; Fishery Sci, Seattle, WA 98195 USA; [Pitcher, C. Roland; Mazor, Tessa; Rochester, Wayne] Commonwealth Sci &amp; Ind Res Org CSIRO Oceans &amp; Atm, Brisbane, Qld 4001, Australia; [Rijnsdorp, Adriaan D.; Hintzen, Niels T.] Wageningen UR, Wageningen Marine Res, NL-1970 AB Ijmuiden, Netherlands; [McConnaughey, Robert A.; Intelmann, Steven S.] NOAA, Alaska Fisheries Sci Ctr, Natl Marine Fisheries Serv, Seattle, WA 98115 USA; [Parma, Ana M.] Consejo Nacl Invest Cient &amp; Tecn, Ctr Nacl Patagon, RA-9120 Puerto Madryn, Argentina; [Suuronen, Petri] Food &amp; Agr Org United Nations, I-00153 Rome, Italy; [Suuronen, Petri] Luonnonvarakeskus Nat Resources Inst Finland, Helsinki 00790, Finland; [Eigaard, Ole R.; Bastardie, Francois] Tech Univ Denmark, Natl Inst Aquat Resources, DK-2800 Lyngby, Denmark; [Althaus, Franziska] CSIRO Oceans &amp; Atmosphere, Hobart, Tas 7001, Australia; [Baird, Susan Jane; Wood, Brent A.] Natl Inst Water &amp; Atmospher Res, Wellington 6021, New Zealand; [Black, Jenny] GNS Sci, Lower Hutt 5040, New Zealand; [Buhl-Mortensen, Lene; Gonzalez-Mirelis, Genoveva] Inst Marine Res, N-5817 Bergen, Norway; [Campbell, Alexander B.] Univ Queensland, Sch Math &amp; Phys, Brisbane, Qld 4072, Australia; [Catarino, Rui] Marine Scotland Sci, Marine Lab, Aberdeen AB11 9DB, AB, Scotland; [Catarino, Rui; Jennings, Simon] Int Council Explorat Sea, DK-1553 Copenhagen V, Denmark; [Collie, Jeremy] Univ Rhode Isl, Grad Sch Oceanog, Narragansett, RI 02882 USA; [Cowan, James H., Jr.] Louisiana State Univ, Coll Coast &amp; Environm, Baton Rouge, LA 70803 USA; [Durholtz, Deon; Fairweather, Tracey P.; Leslie, Rob W.] Dept Agr Forestry &amp; Fisheries Republ South Africa, Fisheries Management, Offshore Resources, ZA-8000 Cape Town, South Africa; [Engstrom, Nadia] Queensland Dept Agr Fisheries &amp; Forestry, Brisbane, Qld 4001, Australia; [Fock, Heino O.] Thunen Inst, D-22767 Hamburg, Germany; [Ford, Richard] Minist Primary Ind, Wellington 6140, New Zealand; [Galvez, Patricio A.; Gonzalez, Jessica A.] Inst Fomento Pesquero, Blanco 839, Valparaiso, Region Valparai, Chile; [Gerritsen, Hans] Marine Inst, Oranmore H91 R673, Ireland; [Gongora, Maria Eva] Univ Nacl Patagonia San Juan Bosco, Inst Invest Hidrobiol, RA-9100 Trelew, Chubut, Argentina; [Hiddink, Jan G.; Hughes, Kathryn M.; Kaiser, Michel J.] Bangor Univ, Sch Ocean Sci, Anglesey LL59 5AB, Wales; [Jenkins, Chris] Univ Colorado, Inst Arctic &amp; Alpine Res, Boulder, CO 80309 USA; [Jonsson, Patrik] Swedish Univ Agr Sci, Dept Aquat Resources, S-45330 Lysekil, Sweden; [Kainge, Paulus; Kathena, Johannes N.] Minist Fisheries &amp; Marine Resources, Natl Marine Informat &amp; Res Ctr, Swakopmund 22001, Namibia; [Kangas, Mervi; Newman, Stephen J.; Wakefield, Corey B.] Govt Western Australia, Western Australian Fisheries &amp; Marine Res Labs, Dept Primary Ind &amp; Reg Dev, North Beach, WA 6920, Australia; [Kavadas, Stefanos] Hellen Ctr Marine Res, Inst Marine Biol Resources &amp; Inland Waters, Athens 19013, Greece; [Lewis, Steve G.] NOAA, Fisheries Natl Marine Fisheries Serv, Juneau, AK 99802 USA; [Lundy, Mathieu] Agrifood &amp; Biosci Inst, Belfast BT9 5PX, Antrim, North Ireland; [Makin, David] New South Wales Dept Primary Ind, Commercial Fisheries &amp; Aquaculture, Coffs Harbour, NSW 2450, Australia; [Martin, Julie] Northern Terr Dept Primary Ind &amp; Fisheries, Darwin, NT 0801, Australia; [Papadopoulou, Nadia] Hellen Ctr Marine Res, Inst Marine Biol Resources &amp; Inland Waters, Iraklion 71003, Crete, Greece; [Posen, Paulette E.; Jennings, Simon] Ctr Environm Fisheries &amp; Aquaculture Sci, Lowestoft NR33 0HT, Suffolk, England; [Russo, Tommaso] Univ Roma Tor Vergata, Dept Biol, Lab Expt Ecol &amp; Aquaculture, I-00133 Rome, Italy; [Sala, Antonello] CNR, Ist Sci Marine, I-160125 Ancona, Italy; [Semmens, Jayson M.] Univ Tasmania, Inst Marine &amp; Antarctic Studies, Hobart, Tas 7001, Australia; [Silva, Cristina] Inst Portugues Mar &amp; Atmosfera, Dept Mare &amp; Recursos Marinhos, P-1495165 Lisbon, Portugal; [Tsolos, Angelo] South Australian Res &amp; Dev Inst, Henley Beach, SA 5022, Australia; [Vanelslander, Bart] Inst Agr &amp; Fisheries Res, Anim Sci Unit Fisheries &amp; Aquat Prod, B-8400 Oostende, Belgium; [Kaiser, Michel J.] Marine Stewardship Council, London EC1A 2DH, England; [Jennings, Simon] Univ East Anglia, Sch Environm Sci, Norwich NR4 7TJ, Norfolk, England</t>
  </si>
  <si>
    <t>University of Washington; University of Washington Seattle; Commonwealth Scientific &amp; Industrial Research Organisation (CSIRO); Wageningen University &amp; Research; National Oceanic Atmospheric Admin (NOAA) - USA; Consejo Nacional de Investigaciones Cientificas y Tecnicas (CONICET); Centro Nacional Patagonico (CENPAT); Food &amp; Agriculture Organization of the United Nations (FAO); Natural Resources Institute Finland (Luke); Technical University of Denmark; Commonwealth Scientific &amp; Industrial Research Organisation (CSIRO); National Institute of Water &amp; Atmospheric Research (NIWA) - New Zealand; GNS Science - New Zealand; Institute of Marine Research - Norway; University of Queensland; Marine Scotland Science (MSS); University of Rhode Island; Louisiana State University System; Louisiana State University; Queensland Department of Agriculture &amp; Fisheries; Johann Heinrich von Thunen Institute; Instituto de Fomento Pesquero (Valparaiso); Marine Institute Ireland; Universidad Nacional de la Patagonia San Juan Bosco; Bangor University; University of Colorado System; University of Colorado Boulder; Swedish University of Agricultural Sciences; Western Australian Fisheries &amp; Marine Research Laboratories; Government of Western Australia; Hellenic Centre for Marine Research; National Oceanic Atmospheric Admin (NOAA) - USA; Agri-Food &amp; Biosciences Institute; NSW Department of Primary Industries; Hellenic Centre for Marine Research; Centre for Environment Fisheries &amp; Aquaculture Science; University of Rome Tor Vergata; Consiglio Nazionale delle Ricerche (CNR); Istituto di Scienze Marine (ISMAR-CNR); University of Tasmania; Instituto Portugues do Mar e da Atmosfera; South Australian Research &amp; Development Institute (SARDI); Institute For Agricultural &amp; Fisheries Research; University of East Anglia</t>
  </si>
  <si>
    <t>Amoroso, RO (corresponding author), Univ Washington, Sch Aquat &amp; Fishery Sci, Seattle, WA 98195 USA.</t>
  </si>
  <si>
    <t>ramoroso@u.washington.edu</t>
  </si>
  <si>
    <t>Mazor, Tessa/G-2017-2012; Rijnsdorp, Adriaan/A-4217-2008; Russo, Tommaso/C-6157-2014; Hintzen, Niels/AFU-6705-2022; Hintzen, Niels/IQW-6670-2023; Vanelslander, Bart/GZG-2605-2022; Kaiser, Michel J/M-8543-2013; Sala, Antonello/B-8517-2016; Kathena, Johannes Nduvudi/JXO-5203-2024; Buhl-Mortensen, Lene/AAP-9202-2020; Rochester, Wayne/K-1569-2018; Newman, Stephen/C-4507-2016; Althaus, Franziska/E-4660-2017; Hiddink, Jan Geert/C-1238-2009</t>
  </si>
  <si>
    <t>Mazor, Tessa/0000-0001-7307-5693; Russo, Tommaso/0000-0003-4047-959X; Hintzen, Niels/0000-0002-6973-9618; Sala, Antonello/0000-0001-7066-1152; Buhl-Mortensen, Lene/0000-0003-0530-7119; Semmens, Jayson/0000-0003-1742-6692; Papadopoulou, Nadia/0000-0003-4767-9949; Rochester, Wayne/0000-0002-7315-9341; jenkins, chris/0000-0002-6336-3373; Pitcher, Clifford/0000-0003-2075-4347; Kavadas, Stefanos/0000-0003-3473-9084; Bastardie, Francois/0000-0002-2669-6179; Kaiser, Michel Josef/0000-0001-8782-3621; Eigaard, Ole Ritzau/0000-0003-4213-2397; Newman, Stephen/0000-0002-5324-5568; Althaus, Franziska/0000-0002-5336-4612; Fairweather, Tracey/0000-0002-4251-868X; Hiddink, Jan Geert/0000-0001-7114-830X; Rijnsdorp, Adriaan D/0000-0003-0785-9662; Vanelslander, Bart/0000-0003-2991-8459; Silva, Cristina/0000-0002-0280-2213</t>
  </si>
  <si>
    <t>David and Lucile Packard Foundation; Walton Family Foundation; Alaska Seafood Cooperative; American Seafoods Group US; Blumar Seafoods Denmark; Clearwater Seafoods Inc.; Espersen Group; Glacier Fish Company LLC US; Gortons Seafood; Independent Fisheries Limited N.Z.; Nippon Suisan (USA), Inc.; Pesca Chile S.A.; Pacific Andes International Holdings, Ltd.; San Arawa, S.A.; Sanford Ltd. N.Z.; Sealord Group Ltd. N.Z.; South African Trawling Association; Trident Seafoods; Food and Agriculture Organisation of the United Nations; European Union [BENTHIS EU-FP7 312088]; Instituto Portugues do Mar e da Atmosfera, Portugal; International Council for the Exploration of the Sea Science Fund; Commonwealth Scientific and Industrial Research Organisation; National Oceanic and Atmospheric Administration; New Zealand Ministry for Primary Industries [BEN2012/01, DAE2010/04D]; Institute for Marine and Antarctic Studies, University of Tasmania; Department of Primary Industries, Parks, Water and Environment, Tasmania, Australia; UK Department of Environment, Food and Rural Affairs [MF1225]</t>
  </si>
  <si>
    <t>David and Lucile Packard Foundation(The David &amp; Lucile Packard Foundation); Walton Family Foundation; Alaska Seafood Cooperative; American Seafoods Group US; Blumar Seafoods Denmark; Clearwater Seafoods Inc.; Espersen Group; Glacier Fish Company LLC US; Gortons Seafood; Independent Fisheries Limited N.Z.; Nippon Suisan (USA), Inc.; Pesca Chile S.A.; Pacific Andes International Holdings, Ltd.; San Arawa, S.A.; Sanford Ltd. N.Z.; Sealord Group Ltd. N.Z.; South African Trawling Association; Trident Seafoods; Food and Agriculture Organisation of the United Nations; European Union(European Union (EU)); Instituto Portugues do Mar e da Atmosfera, Portugal; International Council for the Exploration of the Sea Science Fund; Commonwealth Scientific and Industrial Research Organisation(Commonwealth Scientific &amp; Industrial Research Organisation (CSIRO)); National Oceanic and Atmospheric Administration(National Oceanic Atmospheric Admin (NOAA) - USA); New Zealand Ministry for Primary Industries; Institute for Marine and Antarctic Studies, University of Tasmania; Department of Primary Industries, Parks, Water and Environment, Tasmania, Australia; UK Department of Environment, Food and Rural Affairs(Department for Environment, Food &amp; Rural Affairs (DEFRA))</t>
  </si>
  <si>
    <t>Funding for meetings of the study group and salary support for R.O.A. were provided by the following: David and Lucile Packard Foundation; the Walton Family Foundation; the Alaska Seafood Cooperative; American Seafoods Group US; Blumar Seafoods Denmark; Clearwater Seafoods Inc.; Espersen Group; Glacier Fish Company LLC US; Gortons Seafood; Independent Fisheries Limited N.Z.; Nippon Suisan (USA), Inc.; Pesca Chile S.A.; Pacific Andes International Holdings, Ltd.; San Arawa, S.A.; Sanford Ltd. N.Z.; Sealord Group Ltd. N.Z.; South African Trawling Association; Trident Seafoods; and the Food and Agriculture Organisation of the United Nations. Additional funding to individual authors was provided by European Union Project BENTHIS EU-FP7 312088 (to A.D.R., O.R.E., F.B., N.T.H., L.B.-M., R.C., H.O.F., H.G., J.G.H., P.J., S.K., M.L., G.G.-M., N.P., P.E.P., T.R., A.S., B.V., and M.J.K.); the Instituto Portugues do Mar e da Atmosfera, Portugal (C.S.); the International Council for the Exploration of the Sea Science Fund (R.O.A. and K.M.H.); the Commonwealth Scientific and Industrial Research Organisation (C.R.P. and T.M.); the National Oceanic and Atmospheric Administration (R.A.M.); New Zealand Ministry for Primary Industries Projects BEN2012/01 and DAE2010/04D (to S.J.B. and R.F.); the Institute for Marine and Antarctic Studies, University of Tasmania and the Department of Primary Industries, Parks, Water and Environment, Tasmania, Australia (J.M.S.); and UK Department of Environment, Food and Rural Affairs Project MF1225 (to S.J.).</t>
  </si>
  <si>
    <t>E10275</t>
  </si>
  <si>
    <t>E10282</t>
  </si>
  <si>
    <t>10.1073/pnas.1802379115</t>
  </si>
  <si>
    <t>GX8MQ</t>
  </si>
  <si>
    <t>hybrid, Green Published, Green Submitted</t>
  </si>
  <si>
    <t>WOS:000448040500030</t>
  </si>
  <si>
    <t>McKay, R; Exon, N; Müller, D; Gohl, K; Gurnis, M; Shevenell, A; Henrys, S; Inagaki, F; Pandey, D; Whiteside, J; van de Flierdt, T; Naish, T; Heuer, V; Morono, Y; Coffin, M; Godard, M; Wallace, L; Kodaira, S; Bijl, P; Collot, J; Dickens, G; Dugan, B; Dunlea, AG; Hackney, R; Ikehara, M; Jutzeler, M; McNeill, L; Naik, S; Noble, T; Opdyke, B; Pecher, I; Stott, L; Uenzelmann-Neben, G; Vadakkeykath, Y; Wortmann, UG</t>
  </si>
  <si>
    <t>McKay, Robert; Exon, Neville; Mueller, Dietmar; Gohl, Karsten; Gurnis, Michael; Shevenell, Amelia; Henrys, Stuart; Inagaki, Fumio; Pandey, Dhananjai; Whiteside, Jessica; van de Flierdt, Tina; Naish, Tim; Heuer, Verena; Morono, Yuki; Coffin, Millard; Godard, Marguerite; Wallace, Laura; Kodaira, Shuichi; Bijl, Peter; Collot, Julien; Dickens, Gerald; Dugan, Brandon; Dunlea, Ann G.; Hackney, Ron; Ikehara, Minoru; Jutzeler, Martin; McNeill, Lisa; Naik, Sushant; Noble, Taryn; Opdyke, Bradley; Pecher, Ingo; Stott, Lowell; Uenzelmann-Neben, Gabriele; Vadakkeykath, Yatheesh; Wortmann, Ulrich G.</t>
  </si>
  <si>
    <t>Developing community-based scientific priorities and new drilling proposals in the southern Indian and southwestern Pacific oceans</t>
  </si>
  <si>
    <t>SCIENTIFIC DRILLING</t>
  </si>
  <si>
    <t>An International Ocean Discovery Program (IODP) workshop was held at Sydney University, Australia, from 13 to 16 June 2017 and was attended by 97 scientists from 12 countries. The aim of the workshop was to investigate future drilling opportunities in the eastern Indian Ocean, southwestern Pacific Ocean, and the Indian and Pacific sectors of the Southern Ocean. The overlying regional sedimentary strata are underexplored relative to their Northern Hemisphere counterparts, and thus the role of the Southern Hemisphere in past global environmental change is poorly constrained. A total of 23 proposal ideas were discussed, with similar to 12 of these deemed mature enough for active proposal development or awaiting scheduled site survey cruises. Of the remaining 11 proposals, key regions were identified where fundamental hypotheses are testable by drilling, but either site surveys are required or hypotheses need further development. Refinements are anticipated based upon regional IODP drilling in 2017/2018, analysis of recently collected site survey data, and the development of site survey proposals. We hope and expect that this workshop will lead to a new phase of scientific ocean drilling in the Australasian region in the early 2020s.</t>
  </si>
  <si>
    <t>[McKay, Robert; Naish, Tim] Victoria Univ Wellington, Antarctic Res Ctr, Wellington 6140, New Zealand; [Exon, Neville; Opdyke, Bradley] Australian Natl Univ, Res Sch Earth Sci, Canberra, ACT 0200, Australia; [Mueller, Dietmar] Univ Sydney, Sch Geosci, Sydney, NSW 2006, Australia; [Gohl, Karsten; Uenzelmann-Neben, Gabriele] Helmholtz Ctr Polar &amp; Marine Res, Alfred Wegener Inst, D-27568 Bremerhaven, Germany; [Gurnis, Michael] CALTECH, Pasadena, CA 91125 USA; [Shevenell, Amelia] Univ S Florida, Coll Marine Sci, St Petersburg, FL 33701 USA; [Henrys, Stuart; Wallace, Laura] GNS Sci, Lower Hutt 5040, New Zealand; [Inagaki, Fumio; Kodaira, Shuichi] Japan Agcy Marine Earth Sci &amp; Technol JAMSTEC, Yokohama, Kanagawa 2360001, Japan; [Inagaki, Fumio; Morono, Yuki] JAMSTEC, Kochi Inst Core Sample Res, Nankoku, Kochi 7838502, Japan; [Pandey, Dhananjai] Natl Ctr Antarctic &amp; Ocean Res, Vasco Da Gama 403804, Goa, India; [Whiteside, Jessica; McNeill, Lisa] Univ Southampton, Natl Oceanog Ctr, Southampton SO14 3ZH, Hants, England; [van de Flierdt, Tina] Imperial Coll London, Dept Earth Sci &amp; Engn, London SW7 2AZ, England; [Heuer, Verena] Univ Bremen, MARUM Ctr Marine Environm Sci, Organ Geochem Grp, D-28359 Bremen, Germany; [Coffin, Millard; Noble, Taryn] Univ Tasmania, IMAS, Hobart, Tas 7001, Australia; [Godard, Marguerite] Univ Montpellier, CNRS, Geosci Montpellier, Montpellier, France; [Bijl, Peter] Univ Utrecht, Dept Earth Sci, Utrecht, Netherlands; [Collot, Julien] Serv Geol Nouvelle Caledonie, Noumea, New Caledonia; [Dickens, Gerald] Rice Univ, Dept Earth Sci, Houston, TX 77005 USA; [Dugan, Brandon] Colorado Sch Mines, Dept Geophys, Golden, CO 80401 USA; [Dunlea, Ann G.] Woods Hole Oceanog Inst, Dept Geol &amp; Geophys, Woods Hole, MA 02543 USA; [Hackney, Ron] Geosci Australia, GPO Box 378, Canberra, ACT 2609, Australia; [Ikehara, Minoru] Kochi Univ, Ctr Adv Marine Core Res, Nankoku, Kochi, Japan; [Jutzeler, Martin] Univ Tasmania, Sch Nat Sci, Hobart, Tas 7001, Australia; [Jutzeler, Martin] Univ Tasmania, CODES, Hobart, Tas 7001, Australia; [Naik, Sushant; Vadakkeykath, Yatheesh] CSIR, Natl Inst Oceanog, Panaji 403004, Goa, India; [Pecher, Ingo] Univ Auckland, Sch Environm, Private Bag 92019, Auckland 1142, New Zealand; [Stott, Lowell] Univ Southern Calif, Dept Earth Sci, Los Angeles, CA 90089 USA; [Wortmann, Ulrich G.] Univ Toronto, Dept Earth Sci, 22 Russell St, Toronto, ON M5S 3B1, Canada</t>
  </si>
  <si>
    <t>Victoria University Wellington; Australian National University; University of Sydney; Helmholtz Association; Alfred Wegener Institute, Helmholtz Centre for Polar &amp; Marine Research; California Institute of Technology; State University System of Florida; University of South Florida; GNS Science - New Zealand; Japan Agency for Marine-Earth Science &amp; Technology (JAMSTEC); Japan Agency for Marine-Earth Science &amp; Technology (JAMSTEC); Ministry of Earth Sciences (MoES) - India; National Centre for Polar and Ocean Research (NCPOR); NERC National Oceanography Centre; University of Southampton; Imperial College London; University of Bremen; University of Tasmania; Universite de Montpellier; Centre National de la Recherche Scientifique (CNRS); Utrecht University; Rice University; Colorado School of Mines; Woods Hole Oceanographic Institution; Geoscience Australia; Kochi University; University of Tasmania; University of Tasmania; Council of Scientific &amp; Industrial Research (CSIR) - India; CSIR - National Institute of Oceanography (NIO); University of Auckland; University of Southern California; University of Toronto</t>
  </si>
  <si>
    <t>McKay, R (corresponding author), Victoria Univ Wellington, Antarctic Res Ctr, Wellington 6140, New Zealand.</t>
  </si>
  <si>
    <t>robert.mckay@vuw.ac.nz</t>
  </si>
  <si>
    <t>Coffin, Millard F/H-4619-2011; Heuer, Verena/HRC-0477-2023; Pandey, Dhananjai/S-3843-2019; Müller, Dietmar/L-1200-2019; Pecher, Ingo/D-9379-2012; Inagaki, Fumio/AAI-1156-2019; Kodaira, Shuichi/G-8746-2016; Vadakkeyakath, Yatheesh/C-3067-2009; Uenzelmann-Neben, Gabriele/AAI-8618-2020; Shevenell, Amelia E/C-2757-2015; Hackney, Ron/AAC-8104-2022; Wallace, Laura/AAR-1862-2021; Godard, Marguerite/A-7127-2008; Wortmann, Ulrich Georg/AGN-5440-2022; Henrys, Stuart/ABD-7378-2020; Jutzeler, Martin/D-2090-2012; Collot, Julien/S-4917-2018</t>
  </si>
  <si>
    <t>Coffin, Millard F/0000-0001-9960-0038; Heuer, Verena/0000-0002-1856-116X; Pandey, Dhananjai/0000-0001-6899-8995; Müller, Dietmar/0000-0002-3334-5764; Pecher, Ingo/0000-0001-7397-5069; Inagaki, Fumio/0000-0003-2887-6525; Uenzelmann-Neben, Gabriele/0000-0002-0115-5923; Hackney, Ron/0000-0001-5306-2713; Godard, Marguerite/0000-0003-3097-5135; Wortmann, Ulrich Georg/0000-0001-7854-9173; Henrys, Stuart/0000-0002-7164-5274; Wallace, Laura/0000-0003-2070-0891; Dunlea, Ann/0000-0003-1251-1441; Dickens, Gerald/0000-0003-2869-4860; Gohl, Karsten/0000-0002-9558-2116; Jutzeler, Martin/0000-0002-3720-6315; Naish, Tim/0000-0002-1185-9932; Morono, Yuki/0000-0001-8928-4254; McNeill, Lisa/0000-0002-8689-5882; Bijl, Peter/0000-0002-1710-4012; Vadakkeyakath, Yatheesh/0000-0002-4379-3536; Ikehara, Minoru/0000-0002-2695-4713; Collot, Julien/0000-0002-2043-2535; Noble, Taryn/0000-0002-5708-751X; McKay, Robert/0000-0002-5602-6985</t>
  </si>
  <si>
    <t>Australian and New Zealand IODP Consortium (ANZIC); US Science Support Program (USSSP); Magellan-Plus Workshop Program of the European Consortium for Ocean Research Drilling (ECORD); Japan Drilling Earth Consortium (J-DESC); Japan Agency for Marine-Earth Science and Technology (JAMSTEC), IODP-India; NERC [NE/L004607/1, NE/P019080/1, NE/R018219/1, NE/H025162/1, NE/H014144/1, NE/I006257/1, NE/N001141/1] Funding Source: UKRI</t>
  </si>
  <si>
    <t>Australian and New Zealand IODP Consortium (ANZIC); US Science Support Program (USSSP); Magellan-Plus Workshop Program of the European Consortium for Ocean Research Drilling (ECORD); Japan Drilling Earth Consortium (J-DESC); Japan Agency for Marine-Earth Science and Technology (JAMSTEC), IODP-India; NERC(UK Research &amp; Innovation (UKRI)Natural Environment Research Council (NERC))</t>
  </si>
  <si>
    <t>The organizers gratefully acknowledge generous and critically important funding for participants' travel to the workshop. Funding came from the Australian and New Zealand IODP Consortium (ANZIC), the US Science Support Program (USSSP), the Magellan-Plus Workshop Program of the European Consortium for Ocean Research Drilling (ECORD), the Japan Drilling Earth Consortium (J-DESC), the Japan Agency for Marine-Earth Science and Technology (JAMSTEC), IODP-India, and the home institutions of numerous scientists. The University of Sydney assisted us in providing facilities for the workshop.</t>
  </si>
  <si>
    <t>1816-8957</t>
  </si>
  <si>
    <t>1816-3459</t>
  </si>
  <si>
    <t>SCI DRILL</t>
  </si>
  <si>
    <t>Sci. Drill.</t>
  </si>
  <si>
    <t>OCT 22</t>
  </si>
  <si>
    <t>10.5194/sd-24-61-2018</t>
  </si>
  <si>
    <t>GX6AP</t>
  </si>
  <si>
    <t>WOS:000447838900005</t>
  </si>
  <si>
    <t>Levy, LB; Kelly, MA; Applegate, PA; Howley, JA; Virginia, RA</t>
  </si>
  <si>
    <t>Levy, L. B.; Kelly, M. A.; Applegate, P. A.; Howley, J. A.; Virginia, R. A.</t>
  </si>
  <si>
    <t>Middle to late Holocene chronology of the western margin of the Greenland Ice Sheet: A comparison with Holocene temperature and precipitation records (vol 50, S100004, 2018)</t>
  </si>
  <si>
    <t>e1535123</t>
  </si>
  <si>
    <t>10.1080/15230430.2018.1535123</t>
  </si>
  <si>
    <t>GY8WZ</t>
  </si>
  <si>
    <t>WOS:000448921300001</t>
  </si>
  <si>
    <t>Levy, RH; Dunbar, GB; Vandergoes, MJ; Howarth, JD; Kingan, T; Pyne, AR; Brotherston, G; Clarke, M; Dagg, B; Hill, M; Kenton, E; Little, S; Mandeno, D; Moy, C; Muldoon, P; Doyle, P; Raines, C; Rutland, P; Strong, D; Terezow, M; Cochrane, L; Cossu, R; Fitzsimons, S; Florindo, F; Forrest, AL; Gorman, AR; Kaufman, DS; Lee, MK; Li, X; Lurcock, P; McKay, N; Nelson, F; Purdie, J; Roop, HA; Schladow, SG; Sood, A; Upton, P; Walker, SL; Wilson, GS</t>
  </si>
  <si>
    <t>Levy, Richard H.; Dunbar, Gavin B.; Vandergoes, Marcus J.; Howarth, Jamie D.; Kingan, Tony; Pyne, Alex R.; Brotherston, Grant; Clarke, Michael; Dagg, Bob; Hill, Matthew; Kenton, Evan; Little, Steve; Mandeno, Darcy; Moy, Chris; Muldoon, Philip; Doyle, Patrick; Raines, Conrad; Rutland, Peter; Strong, Delia; Terezow, Marianna; Cochrane, Leise; Cossu, Remo; Fitzsimons, Sean; Florindo, Fabio; Forrest, Alexander L.; Gorman, Andrew R.; Kaufman, Darrell S.; Lee, Min Kyung; Li, Xun; Lurcock, Pontus; McKay, Nicholas; Nelson, Faye; Purdie, Jennifer; Roop, Heidi A.; Schladow, S. Geoffrey; Sood, Abha; Upton, Phaedra; Walker, Sharon L.; Wilson, Gary S.</t>
  </si>
  <si>
    <t>A high-resolution climate record spanning the past 17 000 years recovered from Lake Ohau, South Island, New Zealand</t>
  </si>
  <si>
    <t>LAST GLACIAL MAXIMUM; ALPS; PRECIPITATION; VARIABILITY; CIRCULATION; SEDIMENTS</t>
  </si>
  <si>
    <t>A new annually resolved sedimentary record of Southern Hemisphere mid-latitude hydroclimate was recovered from Lake Ohau, South Island, New Zealand, in March 2016. The Lake Ohau Climate History (LOCH) project acquired cores from two sites (LOCH-1 and -2) that preserve sequences of laminated mud that accumulated since the lake formed similar to 17 000 years ago. Cores were recovered using a purpose-built barge and drilling system designed to recover soft sediment from thick sedimentary sequences in lake systems up to 150m deep. This system can be transported in two to three 40 ft long shipping containers and is suitable for use in a range of geographic locations. A comprehensive suite of data has been collected from the sedimentary sequence using state-of-the-art analytical equipment and techniques. These new observations of past environmental variability augment the historical instrumental record and are currently being integrated with regional climate and hydrological modelling studies to explore causes of variability in extreme/flood events over the past several millennia.</t>
  </si>
  <si>
    <t>[Levy, Richard H.; Vandergoes, Marcus J.; Strong, Delia; Terezow, Marianna; Li, Xun; Upton, Phaedra] GNS Sci, Lower Hutt 5040, New Zealand; [Dunbar, Gavin B.; Pyne, Alex R.; Mandeno, Darcy] Victoria Univ Wellington, Antarctic Res Ctr, Wellington 6140, New Zealand; [Howarth, Jamie D.; Cochrane, Leise] Victoria Univ Wellington, Sch Geol Environm &amp; Earth Sci, Wellington 6140, New Zealand; [Kingan, Tony; Brotherston, Grant; Clarke, Michael; Muldoon, Philip; Doyle, Patrick; Raines, Conrad; Rutland, Peter] Webster Drilling &amp; Explorat Ltd, Porirua 5240, New Zealand; [Dagg, Bob; Kenton, Evan; Little, Steve; Nelson, Faye; Wilson, Gary S.] Univ Otago, Dept Marine Sci, Dunedin 9054, New Zealand; [Dagg, Bob; Moy, Chris; Gorman, Andrew R.; Nelson, Faye] Univ Otago, Dept Geol, Dunedin 9054, New Zealand; [Hill, Matthew] 39 Marine Parade, Dunedin, New Zealand; [Cossu, Remo] Univ Queensland, Sch Civil Engn, St Lucia, Qld 4072, Australia; [Fitzsimons, Sean] Univ Otago, Dept Geog, Dunedin 9054, New Zealand; [Florindo, Fabio; Lurcock, Pontus] INGV, I-00143 Rome, Italy; [Forrest, Alexander L.; Schladow, S. Geoffrey] Univ Calif Davis, Dept Civil &amp; Environm Engn, Davis, CA 95616 USA; [Kaufman, Darrell S.; McKay, Nicholas] No Arizona Univ, Sch Earth Sci &amp; Environm Sustainabil, Flagstaff, AZ 86011 USA; [Lee, Min Kyung] Korea Polar Res Inst, Incheon 21990, South Korea; [Purdie, Jennifer] Meridian Energy, Twizel 7901, New Zealand; [Roop, Heidi A.] Univ Washington, Climate Impacts Grp, Seattle, WA 98105 USA; [Sood, Abha] Natl Inst Water &amp; Atmosphere, Wellington 6021, New Zealand; [Walker, Sharon L.] NOAA, Pacific Marine Environm Lab, 7600 Sand Point Way Ne, Seattle, WA 98115 USA</t>
  </si>
  <si>
    <t>GNS Science - New Zealand; Victoria University Wellington; Victoria University Wellington; University of Otago; University of Otago; University of Queensland; University of Otago; Istituto Nazionale Geofisica e Vulcanologia (INGV); University of California System; University of California Davis; Northern Arizona University; Korea Polar Research Institute (KOPRI); University of Washington; University of Washington Seattle; National Institute of Water &amp; Atmospheric Research (NIWA) - New Zealand; National Oceanic Atmospheric Admin (NOAA) - USA</t>
  </si>
  <si>
    <t>Levy, RH (corresponding author), GNS Sci, Lower Hutt 5040, New Zealand.</t>
  </si>
  <si>
    <t>r.levy@gns.cri.nz</t>
  </si>
  <si>
    <t>Florindo, Fabio/F-4119-2010; Cossu, Remo/C-6085-2016; Forrest, Alexander L/C-3765-2014; Kaufman, Darrell S/A-2471-2008; Florindo, Fabio/M-1459-2019; Levy, Richard H/E-2477-2011; Florindo, Fabio/AAU-2548-2021; McKay, Nicholas Paul/JYQ-5440-2024; Gorman, Andrew R/B-9674-2008; Wilson, Gary S/B-3803-2010; Lurcock, Pontus/M-1470-2014</t>
  </si>
  <si>
    <t>Florindo, Fabio/0000-0002-6058-9748; Cossu, Remo/0000-0002-1712-6692; Florindo, Fabio/0000-0002-6058-9748; Lurcock, Pontus/0000-0001-6994-071X; Levy, Richard/0000-0002-8783-0167; Nelson, Faye Elizabeth/0000-0001-6241-0628; Wilson, Gary/0000-0003-0025-3641; McKay, Nicholas/0000-0003-3598-5113; Sood, Abha/0000-0002-0231-5757; Howarth, Jamie/0000-0003-4365-0292</t>
  </si>
  <si>
    <t>Government of New Zealand [C05X1702]; Italian Project of Strategic Interest NextData PNR 2011-2013; Marsden Fund [GNS1302]</t>
  </si>
  <si>
    <t>Government of New Zealand; Italian Project of Strategic Interest NextData PNR 2011-2013; Marsden Fund(Royal Society of New ZealandMarsden Fund (NZ))</t>
  </si>
  <si>
    <t>This research was supported by public research funding from the Government of New Zealand via contract C05X1702 to GNS Science and a Marsden Fund award GNS1302, and by the Italian Project of Strategic Interest NextData PNR 2011-2013. This is PMEL contribution number 4770. We are grateful to the communities of Twizel and McKenzie Basin, Mark Allen, Chris Lynch and staff at Meridian Energy Ltd, Chris and Ray Spiers, the team at Radiographic Supplies, Liko and Simon Inkersell (Lake Ohau Station), and Dean Madden (New Zealand Inland Coastguard). We also thank the three reviewers who helped improve this paper with their comments and suggestions.</t>
  </si>
  <si>
    <t>10.5194/sd-24-41-2018</t>
  </si>
  <si>
    <t>WOS:000447838900003</t>
  </si>
  <si>
    <t>Zentek, R; Kohnemann, SHE; Heinemann, G</t>
  </si>
  <si>
    <t>Zentek, Rolf; Kohnemann, Svenja H. E.; Heinemann, Guenther</t>
  </si>
  <si>
    <t>Analysis of the performance of a ship-borne scanning wind lidar in the Arctic and Antarctic</t>
  </si>
  <si>
    <t>SUMMER CLOUD-OCEAN; LOW-LEVEL JET; DOPPLER LIDAR; BOUNDARY-LAYER; PROFILES; ENERGY; SYSTEM</t>
  </si>
  <si>
    <t>In the present study a non-motion-stabilized scanning Doppler lidar was operated on board of RV Polarstern in the Arctic (June 2014) and Antarctic (December 2015-January 2016). This is the first time that such a system measured on an icebreaker in the Antarctic. A method for a motion correction of the data in the post-processing is presented. The wind calculation is based on vertical azimuth display (VAD) scans with eight directions that pass a quality control. Additionally a method for an empirical signal-to-noise ratio (SNR) threshold is presented, which can be calculated for individual measurement set-ups. Lidar wind profiles are compared to total of about 120 radiosonde profiles and also to wind measurements of the ship. The performance of the lidar measurements in comparison with radio soundings generally shows small root mean square deviation (bias) for wind speed of around 1 m s(-1) (0.1 m s(-1)) and for wind direction of around 10 degrees (1 degrees). The post-processing of the non-motion-stabilized data shows a comparably high quality to studies with motion-stabilized systems. Two case studies show that a flexible change in SNR threshold can be beneficial for special situations. Further the studies reveal that short-lived low-level jets in the atmospheric boundary layer can be captured by lidar measurements with a high temporal resolution in contrast to routine radio soundings. The present study shows that a non-motion-stabilized Doppler lidar can be operated successfully on an icebreaker. It presents a processing chain including quality control tests and error quantification, which is useful for further measurement campaigns.</t>
  </si>
  <si>
    <t>[Zentek, Rolf; Kohnemann, Svenja H. E.; Heinemann, Guenther] Univ Trier, Dept Environm Meteorol, Trier, Germany</t>
  </si>
  <si>
    <t>Universitat Trier</t>
  </si>
  <si>
    <t>Zentek, R (corresponding author), Univ Trier, Dept Environm Meteorol, Trier, Germany.</t>
  </si>
  <si>
    <t>zentek@uni-trier.de</t>
  </si>
  <si>
    <t>Zentek, Rolf/0000-0003-3249-8635</t>
  </si>
  <si>
    <t>Alfred Wegener Institute [AWI_PS85_01, AWI_PS96_03]; Federal Ministry of Education and Research (Bundesministerium fur Bildung und Forschung-BMBF) [03G0833D]; DFG (Deutsche Forschungsgemeinschaft) [SPP 1158, HE 2740/19]; Universitat Trier; German Research Foundation (DFG)</t>
  </si>
  <si>
    <t>Alfred Wegener Institute; Federal Ministry of Education and Research (Bundesministerium fur Bildung und Forschung-BMBF)(Federal Ministry of Education &amp; Research (BMBF)); DFG (Deutsche Forschungsgemeinschaft)(German Research Foundation (DFG)); Universitat Trier; German Research Foundation (DFG)(German Research Foundation (DFG))</t>
  </si>
  <si>
    <t>The measurements were performed during the two Polarstern cruises PS85 and PS96 funded by the Alfred Wegener Institute under Polarstern grants AWI_PS85_01 and AWI_PS96_03. The research was funded by the Federal Ministry of Education and Research (Bundesministerium fur Bildung und Forschung-BMBF) as part of the project Laptev-Sea Transdrift under grant 03G0833D and by the SPP 1158 Antarctic research of the DFG (Deutsche Forschungsgemeinschaft) under grant HE 2740/19.; The publication was funded by the Open Access Fund of Universitat Trier and the German Research Foundation (DFG) within the Open Access Publishing funding programme.</t>
  </si>
  <si>
    <t>OCT 19</t>
  </si>
  <si>
    <t>10.5194/amt-11-5781-2018</t>
  </si>
  <si>
    <t>GX5IO</t>
  </si>
  <si>
    <t>WOS:000447779200002</t>
  </si>
  <si>
    <t>Gorham, PW; Rotter, B; Allison, P; Banerjee, O; Batten, L; Beatty, JJ; Bechtol, K; Belov, K; Besson, DZ; Binns, WR; Bugaev, V; Cao, P; Chen, CC; Chen, CH; Chen, P; Clem, JM; Connolly, A; Cremonesi, L; Dailey, B; Deaconu, C; Dowkontt, PF; Fox, BD; Gordon, JWH; Hast, C; Hill, B; Hughes, K; Huang, JJ; Hupe, R; Israel, MH; Javaid, A; Lam, J; Liewer, KM; Lin, SY; Liu, TC; Ludwig, A; Macchiarulo, L; Matsuno, S; Miki, C; Mulrey, K; Nam, J; Naudet, CJ; Nichol, RJ; Novikov, A; Oberla, E; Olmedo, M; Prechelt, R; Prohira, S; Rauch, BF; Roberts, JM; Romero-Wolf, A; Russell, JW; Saltzberg, D; Seckel, D; Schoorlemmer, H; Shiao, J; Stafford, S; Stockham, J; Stockham, M; Strutt, B; Varner, GS; Vieregg, AG; Wang, SH; Wissel, SA</t>
  </si>
  <si>
    <t>Gorham, P. W.; Rotter, B.; Allison, P.; Banerjee, O.; Batten, L.; Beatty, J. J.; Bechtol, K.; Belov, K.; Besson, D. Z.; Binns, W. R.; Bugaev, V.; Cao, P.; Chen, C. C.; Chen, C. H.; Chen, P.; Clem, J. M.; Connolly, A.; Cremonesi, L.; Dailey, B.; Deaconu, C.; Dowkontt, P. F.; Fox, B. D.; Gordon, J. W. H.; Hast, C.; Hill, B.; Hughes, K.; Huang, J. J.; Hupe, R.; Israel, M. H.; Javaid, A.; Lam, J.; Liewer, K. M.; Lin, S. Y.; Liu, T. C.; Ludwig, A.; Macchiarulo, L.; Matsuno, S.; Miki, C.; Mulrey, K.; Nam, J.; Naudet, C. J.; Nichol, R. J.; Novikov, A.; Oberla, E.; Olmedo, M.; Prechelt, R.; Prohira, S.; Rauch, B. F.; Roberts, J. M.; Romero-Wolf, A.; Russell, J. W.; Saltzberg, D.; Seckel, D.; Schoorlemmer, H.; Shiao, J.; Stafford, S.; Stockham, J.; Stockham, M.; Strutt, B.; Varner, G. S.; Vieregg, A. G.; Wang, S. H.; Wissel, S. A.</t>
  </si>
  <si>
    <t>Observation of an Unusual Upward-Going Cosmic-Ray-like Event in the Third Flight of ANITA</t>
  </si>
  <si>
    <t>ENERGY; EMISSION; SHOWERS; AIR</t>
  </si>
  <si>
    <t>We report on an upward traveling, radio-detected cosmic-ray-like impulsive event with characteristics closely matching an extensive air shower. This event, observed in the third flight of the Antarctic Impulsive Transient Antenna (ANITA), a NASA-sponsored long-duration balloon payload, is consistent with a similar event reported in a previous flight. These events could be produced by the atmospheric decay of an upward-propagating tau lepton produced by v(tau) interaction, although their relatively steep arrival angles create tension with the standard model neutrino cross section. Each of the two events have a posteriori background estimates of less than or similar to 10(-2) events. If these are generated by tau-lepton decay, then either the charged-current v(tau) cross section is suppressed at EeV energies, or the events arise at moments when the peak flux of a transient neutrino source was much larger than the typical expected cosmogenic background neutrinos.</t>
  </si>
  <si>
    <t>[Gorham, P. W.; Rotter, B.; Fox, B. D.; Hill, B.; Macchiarulo, L.; Matsuno, S.; Miki, C.; Olmedo, M.; Prechelt, R.; Roberts, J. M.; Russell, J. W.; Schoorlemmer, H.; Varner, G. S.] Univ Hawaii Manoa, Dept Phys &amp; Astron, Honolulu, HI 96822 USA; [Allison, P.; Banerjee, O.; Beatty, J. J.; Connolly, A.; Dailey, B.; Gordon, J. W. H.; Hughes, K.; Hupe, R.; Stafford, S.] Ohio State Univ, Dept Phys, Ctr Cosmol &amp; AstroParticle Phys, 174 W 18th Ave, Columbus, OH 43210 USA; [Batten, L.; Cremonesi, L.; Nichol, R. J.] UCL, Dept Phys &amp; Astron, London WC1E 6BT, England; [Bechtol, K.; Deaconu, C.; Ludwig, A.; Oberla, E.; Vieregg, A. G.] Univ Chicago, Enrico Fermi Inst, Dept Phys, Kavli Inst Cosmol Phys, Chicago, IL 60637 USA; [Belov, K.; Liewer, K. M.; Naudet, C. J.; Romero-Wolf, A.] Jet Prop Lab, Pasadena, CA 91109 USA; [Besson, D. Z.; Novikov, A.; Prohira, S.; Stockham, J.; Stockham, M.] Univ Kansas, Dept Phys &amp; Astron, Lawrence, KS 66045 USA; [Besson, D. Z.; Novikov, A.] Natl Res Nucl Univ, MEPhI Moscow Engn Phys Inst, Kashirskoe Shosse 31, Moscow 115409, Russia; [Binns, W. R.; Bugaev, V.; Dowkontt, P. F.; Israel, M. H.; Rauch, B. F.] Washington Univ, Dept Phys, St Louis, MO 63130 USA; [Binns, W. R.; Bugaev, V.; Dowkontt, P. F.; Israel, M. H.; Rauch, B. F.] Washington Univ, McDonnell Ctr Space Sci, St Louis, MO 63130 USA; [Cao, P.; Clem, J. M.; Javaid, A.; Mulrey, K.; Seckel, D.] Univ Delaware, Dept Phys, Newark, DE 19716 USA; [Chen, C. C.; Chen, C. H.; Chen, P.; Huang, J. J.; Lin, S. Y.; Liu, T. C.; Nam, J.; Shiao, J.; Wang, S. H.] Natl Taiwan Univ, Grad Inst Astrophys, Dept Phys, Taipei 10617, Taiwan; [Chen, C. C.; Chen, C. H.; Chen, P.; Huang, J. J.; Lin, S. Y.; Liu, T. C.; Nam, J.; Shiao, J.; Wang, S. H.] Natl Taiwan Univ, Leung Ctr Cosmol &amp; Particle Astrophys, Taipei 10617, Taiwan; [Hast, C.] SLAC Natl Accelerator Lab, Menlo Pk, CA 94025 USA; [Lam, J.; Saltzberg, D.; Strutt, B.] Univ Calif Los Angeles, Dept Phys &amp; Astron, Los Angeles, CA 90095 USA; [Wissel, S. A.] Calif Polytech State Univ San Luis Obispo, Dept Phys, San Luis Obispo, CA 93407 USA</t>
  </si>
  <si>
    <t>University of Hawaii System; University of Hawaii Manoa; University System of Ohio; Ohio State University; University of London; University College London; University of Chicago; National Aeronautics &amp; Space Administration (NASA); NASA Jet Propulsion Laboratory (JPL); University of Kansas; National Research Nuclear University MEPhI (Moscow Engineering Physics Institute); Washington University (WUSTL); Washington University (WUSTL); University of Delaware; National Taiwan University; National Taiwan University; Stanford University; United States Department of Energy (DOE); SLAC National Accelerator Laboratory; University of California System; University of California Los Angeles; California State University System; California Polytechnic State University San Luis Obispo</t>
  </si>
  <si>
    <t>Gorham, PW (corresponding author), Univ Hawaii Manoa, Dept Phys &amp; Astron, Honolulu, HI 96822 USA.</t>
  </si>
  <si>
    <t>Beatty, James/D-9310-2011; Huang, Jian Jang/L-9953-2016; Novikov, Alexander S/L-7538-2016; Belov, Konstantin V/D-2520-2013; Chen, Pisin/IAO-8769-2023; Nichol, Ryan/C-1645-2008</t>
  </si>
  <si>
    <t>Beatty, James/0000-0003-0481-4952; Belov, Konstantin V/0000-0002-8861-110X; Chen, Pisin/0000-0001-5251-7210; Nichol, Ryan/0000-0003-0557-0443; Novikov, Alexander/0000-0002-1086-7252; Macchiarulo, Luca/0009-0004-1141-0344; Allison, Patrick/0000-0001-8141-2653; Cremonesi, Linda/0000-0003-0711-1056; Gorham, Peter/0000-0002-0923-9363; Mulrey, Katharine/0000-0001-8026-8020; Wissel, Stephanie/0000-0003-0569-6978; Deaconu, Cosmin/0000-0002-4953-6397; Hughes, Kaeli/0000-0002-4551-9581; Romero-Wolf, Andrew/0000-0002-4992-4162; Ludwig, Andrew/0000-0001-9038-4375; Rotter, Bjorn/0000-0002-7896-8236</t>
  </si>
  <si>
    <t>NASA; US Dept of Energy, High Energy Physics Division; Kavli Institute for Cosmological Physics at the University of Chicago; National Science Foundation through CAREER Grant [1255557]; Cosmology and Astroparticle Student and Postdoc Exchange Network (CASPEN); Leverhulme Trust; Taiwan's Ministry of Science and Technology (MOST) under its Vanguard Program [106-2119-M-002-011]; STFC [PP/E006876/1, ST/N000285/1] Funding Source: UKRI; Direct For Mathematical &amp; Physical Scien; Division Of Physics [1255557] Funding Source: National Science Foundation</t>
  </si>
  <si>
    <t>NASA(National Aeronautics &amp; Space Administration (NASA)); US Dept of Energy, High Energy Physics Division; Kavli Institute for Cosmological Physics at the University of Chicago(University of Chicago); National Science Foundation through CAREER Grant; Cosmology and Astroparticle Student and Postdoc Exchange Network (CASPEN); Leverhulme Trust(Leverhulme Trust); Taiwan's Ministry of Science and Technology (MOST) under its Vanguard Program; STFC(UK Research &amp; Innovation (UKRI)Science &amp; Technology Facilities Council (STFC)); Direct For Mathematical &amp; Physical Scien; Division Of Physics(National Science Foundation (NSF)NSF - Directorate for Mathematical &amp; Physical Sciences (MPS))</t>
  </si>
  <si>
    <t>We thank NASA for their generous support of ANITA, and the Columbia Scientific Balloon Facility for their excellent field support, and the National Science Foundation for their Antarctic operations support. This work was also supported in part by the US Dept of Energy, High Energy Physics Division. This work was supported by the Kavli Institute for Cosmological Physics at the University of Chicago. Computing resources were provided by the University of Chicago Research Computing Center and the Ohio Supercomputing Center at The Ohio State University. A. C. would like to thank the National Science Foundation for their support through CAREER Grant No. 1255557. O. B. and L. C.'s work was also supported by collaborative visits funded by the Cosmology and Astroparticle Student and Postdoc Exchange Network (CASPEN). The University College London group was also supported by the Leverhulme Trust. The Taiwan team is supported by Taiwan's Ministry of Science and Technology (MOST) under its Vanguard Program 106-2119-M-002-011.</t>
  </si>
  <si>
    <t>OCT 18</t>
  </si>
  <si>
    <t>10.1103/PhysRevLett.121.161102</t>
  </si>
  <si>
    <t>GX3MG</t>
  </si>
  <si>
    <t>Green Submitted, hybrid, Green Published</t>
  </si>
  <si>
    <t>WOS:000447627600002</t>
  </si>
  <si>
    <t>von Albedyll, L; Machguth, H; Nussbaumer, SU; Zemp, M</t>
  </si>
  <si>
    <t>von Albedyll, Luisa; Machguth, Horst; Nussbaumer, Samuel U.; Zemp, Michael</t>
  </si>
  <si>
    <t>Elevation changes of the Holm Land Ice Cap, northeast Greenland, from 1978 to 2012-2015, derived from high-resolution digital elevation models</t>
  </si>
  <si>
    <t>glacier elevation change; digital elevation models; ArcticDEM; TanDEM-X; northeast Greenland</t>
  </si>
  <si>
    <t>MASS-BALANCE; TANDEM-X; VOLUME CHANGE; GLACIERS; DECADES; RADAR; SURGE; AREA</t>
  </si>
  <si>
    <t>Greenland's peripheral glaciers and ice caps are key indicators of climate change in the Arctic, but quantitative observational data of their recent evolution are sparse. Three recently released high-resolution digital elevation models (DEMs)-AeroDEM (based on images from 1978 to 1987), ArcticDEM (2012-2015), and TanDEM-X (2010-2014)-provide the possibility to calculate elevation changes spanning almost four decades along the margins of the Greenland Ice Sheet. This study explores the potential of these DEMs by calculating elevation changes for the Holm Land Ice Cap (865 km(2)), northeast Greenland. Co-registration indicated no significant shifts between the DEMs but we encountered localized vertical offsets in AeroDEM. The data quality of ArcticDEM and TanDEM-X is high, but AeroDEM suffers from 19 percent low-quality data, which were treated as data voids. Applying two approaches to fill the data voids in the difference grid between ArcticDEM and AeroDEM, mean surface-elevation change over the Holm Land Ice Cap and a period of approximately 35 y is in the range of -8.30 +/- 0.30 m. Comparing ArcticDEM and TanDEM-X reveals a glacier elevation difference of 2.54 m, which may be partly related to the different retrieval techniques (optical and SAR). Overall, the DEMs have good potential for large-scale and long-term assessment of geodetic glacier mass balance.</t>
  </si>
  <si>
    <t>[von Albedyll, Luisa; Machguth, Horst; Nussbaumer, Samuel U.; Zemp, Michael] Univ Zurich, Dept Geog, Zurich, Switzerland; [von Albedyll, Luisa] Univ Bremen, Inst Environm Phys, Bremen, Germany; [Machguth, Horst; Nussbaumer, Samuel U.] Univ Fribourg, Dept Geosci, Fribourg, Switzerland</t>
  </si>
  <si>
    <t>University of Zurich; University of Bremen; University of Fribourg</t>
  </si>
  <si>
    <t>von Albedyll, L (corresponding author), Univ Bremen, IUP, Otto Hahn Allee 1, D-28359 Bremen, Germany.</t>
  </si>
  <si>
    <t>luvonalb@uni-bremen.de</t>
  </si>
  <si>
    <t>von Albedyll, Luisa/ABA-7142-2020</t>
  </si>
  <si>
    <t>Zemp, Michael/0000-0003-2391-7877; von Albedyll, Luisa/0000-0002-6768-0368; Machguth, Horst/0000-0001-5924-0998; Nussbaumer, Samuel/0000-0002-5314-5815</t>
  </si>
  <si>
    <t>ESA project Glaciers_cci [40000109873/14/I-NB]; Swiss GCOS Office at the Federal Office of Meteorology and Climatology MeteoSwiss</t>
  </si>
  <si>
    <t>ESA project Glaciers_cci; Swiss GCOS Office at the Federal Office of Meteorology and Climatology MeteoSwiss</t>
  </si>
  <si>
    <t>This study is supported by the ESA project Glaciers_cci (40000109873/14/I-NB) and the Swiss GCOS Office at the Federal Office of Meteorology and Climatology MeteoSwiss.</t>
  </si>
  <si>
    <t>OCT 17</t>
  </si>
  <si>
    <t>e1523638</t>
  </si>
  <si>
    <t>10.1080/15230430.2018.1523638</t>
  </si>
  <si>
    <t>GY8WW</t>
  </si>
  <si>
    <t>WOS:000448920900001</t>
  </si>
  <si>
    <t>Kendrick, AK; Schroeder, DM; Chu, W; Young, TJ; Christoffersen, P; Todd, J; Doyle, SH; Box, JE; Hubbard, A; Hubbard, B; Brennan, PV; Nicholls, KW; Lok, LB</t>
  </si>
  <si>
    <t>Kendrick, A. K.; Schroeder, D. M.; Chu, W.; Young, T. J.; Christoffersen, P.; Todd, J.; Doyle, S. H.; Box, J. E.; Hubbard, A.; Hubbard, B.; Brennan, P. V.; Nicholls, K. W.; Lok, L. B.</t>
  </si>
  <si>
    <t>Surface Meltwater Impounded by Seasonal Englacial Storage in West Greenland</t>
  </si>
  <si>
    <t>PHASE-SENSITIVE RADAR; ICE-SHEET; FLOW; VARIABILITY; GLACIER; ACCELERATION; ATTENUATION; GEOMETRY; DRAINAGE; STREAMS</t>
  </si>
  <si>
    <t>The delivery of surface meltwater through englacial drainage systems to the bed of the Greenland Ice Sheet modulates ice flow through basal lubrication. Recent studies in Southeast Greenland have identified a perennial firn aquifer; however, there are few observations quantifying the input or residence time of water within the englacial system and it remains unknown whether water can be stored within solid ice. Using hourly stationary radar measurements, we present observations of englacial and episodic subglacial water in the ablation zone of Store Glacier in West Greenland. We find significant storage of meltwater in solid ice damaged by crevasses extending down to 48 m below the ice surface during the summer, which is released or refrozen during winter. This is a significant hydrological component newly observed in the ablation zone of Greenland that could delay the delivery of meltwater to the bed, changing the ice dynamic response to surface meltwater. Plain Language Summary Surface meltwater can drastically modify how glaciers flow. Depending on how and when it is delivered, meltwater can cause variable motion by modulating friction at the ice sheet base. Englacial water can control this behavior by either preventing water from reaching the bed or by delaying its release. In this paper, we present detailed observations of water storage within and at the bed of Store Glacier in West Greenland using hourly stationary ice penetrating radar measurements. In contrast to the previously discovered firn aquifer in high-accumulation regions, at Store Glacier englacial water is present within a region of solid, damaged ice and persists until winter. This type of water storage has not been previously observed in solid ice and could explain some of the complex flow behavior of some Greenland glaciers.</t>
  </si>
  <si>
    <t>[Kendrick, A. K.; Schroeder, D. M.; Chu, W.] Stanford Univ, Dept Geophys, Sch Earth Energy &amp; Environm Sci, Stanford, CA 94305 USA; [Schroeder, D. M.] Stanford Univ, Dept Elect Engn, Sch Engn, Stanford, CA 94305 USA; [Young, T. J.; Christoffersen, P.; Todd, J.] Univ Cambridge, Scott Polar Res Inst, Cambridge, England; [Young, T. J.; Nicholls, K. W.] British Antarctic Survey, Cambridge, England; [Todd, J.] Univ St Andrews, Dept Geog &amp; Sustainable Dev, St Andrews, Fife, Scotland; [Doyle, S. H.; Hubbard, A.; Hubbard, B.] Aberystwyth Univ, Ctr Glaciol, Dept Geog &amp; Earth Sci, Aberystwyth, Ceredigion, Wales; [Box, J. E.] Geol Survey Denmark &amp; Greenland, Glaciol &amp; Climate, Copenhagen, Denmark; [Hubbard, A.] Univ Tromso, Dept Geol, Ctr Arctic Gas Hydrate Environm &amp; Climate, Tromso, Norway; [Brennan, P. V.; Lok, L. B.] UCL, Dept Elect &amp; Elect Engn, London, England</t>
  </si>
  <si>
    <t>Stanford University; Stanford University; University of Cambridge; UK Research &amp; Innovation (UKRI); Natural Environment Research Council (NERC); NERC British Antarctic Survey; University of St Andrews; Aberystwyth University; Geological Survey Of Denmark &amp; Greenland; UiT The Arctic University of Tromso; University of London; University College London</t>
  </si>
  <si>
    <t>Kendrick, AK (corresponding author), Stanford Univ, Dept Geophys, Sch Earth Energy &amp; Environm Sci, Stanford, CA 94305 USA.</t>
  </si>
  <si>
    <t>alexkend@stanford.edu</t>
  </si>
  <si>
    <t>Box, Jason E/AAE-1654-2019; Box, Jason/H-5770-2013; Christoffersen, Poul/W-3708-2019; Hubbard, Alun/R-5085-2017</t>
  </si>
  <si>
    <t>Box, Jason E/0000-0003-0052-8705; Box, Jason/0000-0003-0052-8705; Christoffersen, Poul/0000-0003-2643-8724; Hubbard, Bryn/0000-0002-3565-3875; Schroeder, Dustin/0000-0003-1916-3929; Doyle, Samuel/0000-0002-0853-431X; Kendrick, Alexander/0000-0002-0472-2575; Chu, Winnie/0000-0002-8107-7450; Todd, Joe/0000-0003-3183-043X; Lok, Lai Bun/0000-0002-0033-9173; Hubbard, Alun/0000-0002-0503-3915; Young, Tun Jan/0000-0001-5865-3459</t>
  </si>
  <si>
    <t>NASA Cryospheric Sciences Program; University of Cambridge Fieldwork Funds; UK Natural Environmental Research Council (NERC) [NE/K006126]; NERC [NE/K005871/1]; Research Council of Norway through its Centres of Excellence [223259]; University Research Fellowship from The Royal Society; Polar Geospatial Center under NSF-OPP [1043681, 1559691, 1542736]; NERC [bas0100033, NE/K006126/1, NE/K005871/1, NE/J013544/1] Funding Source: UKRI</t>
  </si>
  <si>
    <t>NASA Cryospheric Sciences Program(National Aeronautics &amp; Space Administration (NASA)); University of Cambridge Fieldwork Funds; UK Natural Environmental Research Council (NERC)(UK Research &amp; Innovation (UKRI)Natural Environment Research Council (NERC)); NERC(UK Research &amp; Innovation (UKRI)Natural Environment Research Council (NERC)); Research Council of Norway through its Centres of Excellence(Research Council of Norway); University Research Fellowship from The Royal Society(Royal Society); Polar Geospatial Center under NSF-OPP; NERC(UK Research &amp; Innovation (UKRI)Natural Environment Research Council (NERC))</t>
  </si>
  <si>
    <t>D. M. S. and W. C. were partially supported by a grant from the NASA Cryospheric Sciences Program. Collection of the ApRES data was supported by the University of Cambridge Fieldwork Funds and by the UK Natural Environmental Research Council (NERC) grant NE/K006126, awarded to T. J. Y. and P. C., respectively. S. H. D. was funded by NERC grant NE/K005871/1. A. H. acknowledges a professorial fellowship funded by the Research Council of Norway through its Centres of Excellence (grant 223259). L. B. L. is supported by a University Research Fellowship from The Royal Society. Geospatial support for this work provided by the Polar Geospatial Center under NSF-OPP awards 1043681 and 1559691. DEMs were provided by the Polar Geospatial Center under NSF OPP awards 1043681, 1559691, and 1542736. Landsat-8 image courtesy of the U.S. Geological Survey. We thank Joe Todd and Marion Bougamont for assistance in choosing the field site, the crew of SV Gambo for logistical support, Ann Andreasen and the Uummannaq Polar Institute for local support, and Coen Hofstede for assistance in the field. We also thank two anonymous reviewers for their constructive comments. The code used to estimate water storage is available for download from https://www.doi.org/10.5281/zenodo.1323920.The internal layer power and AWS data used are available from https://www.doi.org/10.6084/m9.figshare.7104368.Modeled crevasse depth is available from http://doi.org/chg7.RACMO2.3p2 data are available without conditions from Noel et al., 2018.</t>
  </si>
  <si>
    <t>OCT 16</t>
  </si>
  <si>
    <t>10.1029/2018GL079787</t>
  </si>
  <si>
    <t>GY5XJ</t>
  </si>
  <si>
    <t>WOS:000448656800051</t>
  </si>
  <si>
    <t>Ganeshan, M; Yang, YK</t>
  </si>
  <si>
    <t>Ganeshan, Manisha; Yang, Yuekui</t>
  </si>
  <si>
    <t>A Regional Analysis of Factors Affecting the Antarctic Boundary Layer During the Concordiasi Campaign</t>
  </si>
  <si>
    <t>DOME-C; INVERSIONS; PLATEAU; CLIMATE; HEIGHT; SITE</t>
  </si>
  <si>
    <t>This study explores the regional variability in factors affecting the atmospheric boundary layer over continental Antarctica using high-resolution dropsonde observations from the Concordiasi campaign in the austral spring of 2010. Analyses show that although the surface-based inversion remains the dominant feature, well-mixed boundary layers, some with convective features, are observed with an occurrence frequency of 33% and 18% in West and East Antarctica, respectively. The boundary layer mixing is dominated by mechanical instability albeit with regional flavors caused by topographically forced winds, shortwave radiation, and air mass influences. In East Antarctica, the downsloping wind regime is prevalent, and related katabatic effects are strongest over high elevation slopes where the wind-induced turbulence is the primary cause of surface-based inversion erosion and boundary layer mixing. Previous studies over Dome C have demonstrated the significance of shortwave radiation for mixed layer development during the peak of summer. While such an effect is not dominant during spring, solar forcing may contribute to turbulent mixing in high latitude regions. Finally, well-mixed boundary layers are most frequently observed in the moist tongue region of West Antarctica, highlighting the importance of dynamical systems for boundary layer mixing.</t>
  </si>
  <si>
    <t>[Ganeshan, Manisha] USRA, Goddard Earth Sci Technol &amp; Res Studies &amp; Invest, Greenbelt, MD 21046 USA; [Ganeshan, Manisha; Yang, Yuekui] NASA, Goddard Space Flight Ctr, Greenbelt, MD 20771 USA</t>
  </si>
  <si>
    <t>Ganeshan, M (corresponding author), USRA, Goddard Earth Sci Technol &amp; Res Studies &amp; Invest, Greenbelt, MD 21046 USA.;Ganeshan, M (corresponding author), NASA, Goddard Space Flight Ctr, Greenbelt, MD 20771 USA.</t>
  </si>
  <si>
    <t>mganeshan@usra.edu</t>
  </si>
  <si>
    <t>Yang, Yuekui/B-4326-2015</t>
  </si>
  <si>
    <t>Yang, Yuekui/0000-0002-1630-272X; Ganeshan, Manisha/0000-0001-7824-9111</t>
  </si>
  <si>
    <t>NASA CloudSat/CALIPSO Science Team Recompete program; NASA ICESat-2 Science Definition Team program</t>
  </si>
  <si>
    <t>This research was supported by the NASA CloudSat/CALIPSO Science Team Recompete program managed by David Considine and the NASA ICESat-2 Science Definition Team program managed by Thomas Wagner. The data used are listed in the references, and may be found at https://www.eol.ucar.edu/field_projects/concordiasi. The authors would like to thank Dominique Puech for helping with the data. The authors would like to thank the anonymous Reviewers for their valuable feedback.</t>
  </si>
  <si>
    <t>10.1029/2018JD028629</t>
  </si>
  <si>
    <t>GY2LR</t>
  </si>
  <si>
    <t>WOS:000448374800002</t>
  </si>
  <si>
    <t>Olivetti, V; Rossetti, F; Balestrieri, ML; Pace, D; Cornamusini, G; Talarico, F</t>
  </si>
  <si>
    <t>Olivetti, Valerio; Rossetti, Federico; Balestrieri, Maria Laura; Pace, Donato; Cornamusini, Gianluca; Talarico, Franco</t>
  </si>
  <si>
    <t>Variability in uplift, exhumation and crustal deformation along the Transantarctic Mountains front in southern Victoria Land, Antarctica</t>
  </si>
  <si>
    <t>Fission track thermochronology; Transantarctic Mountains; Rift margin; Antarctica tectonics; Antarctic topography</t>
  </si>
  <si>
    <t>FISSION-TRACK ANALYSIS; MCMURDO VOLCANIC GROUP; WESTERN ROSS SEA; RIFT SYSTEM; LANDSCAPE EVOLUTION; MANTLE PLUME; APATITE; FAULT; GEOCHRONOLOGY; MAGMATISM</t>
  </si>
  <si>
    <t>The Transantarctic Mountains (TAM) are an imposing topographic feature, forming the western shoulder of the Meso-Cenozoic West Antarctic Rift System. Although the TAM topography is similar to other continental rifts, some aspects such as the high topography and the transition in the mode of crustal extension from orthogonal to oblique rifting during the Cenozoic makes the TAM an anomalous rift margin. Here, we present a topography analysis of a 600 km long transect along the TAM front in southern Victoria Land combined with a large available thermochronological data-set to decode the tectonic signals hidden in the topography. An along-strike variability in tectonic, erosional and geomorphic characteristics is detected. We then focus our analysis on the Royal Society Range, where structural investigations were integrated with new fission track thermochronology in order to assess the morphotectonic evolution of the region. Fission-track data and topography of the Royal Society Range reveal remarkable differences with respect to the neighboring areas. Topography characteristics and thermal modeling suggest an increase in tectonic activity during late Eocene-early Oligocene times and structural analysis suggests that the Cenozoic rifting has been controlled by dextral transtension, as proposed for others sector of the TAM front. The detected along-strike variability in tectonic, erosional and geomorphic characteristics may reflect geodynamic complexities that should be taken into account in any further model of the TAM evolution.</t>
  </si>
  <si>
    <t>[Olivetti, Valerio] Univ Padua, Dip Geosci, Via Gradenigo 6, I-35131 Padua, Italy; [Olivetti, Valerio; Rossetti, Federico] Univ Roma Tre, Dip Sci, Lgo SL Murialdo 1, I-00176 Rome, Italy; [Balestrieri, Maria Laura] CNR, Ist Geosci &amp; Georisorse, UOS Firenze, Via La Pira 4, I-50121 Florence, Italy; [Pace, Donato; Cornamusini, Gianluca; Talarico, Franco] Univ Siena, Dip Sci Fis Terra &amp; Ambiente, Str Laterina 8, Siena, Italy</t>
  </si>
  <si>
    <t>University of Padua; Roma Tre University; Consiglio Nazionale delle Ricerche (CNR); Istituto di Geoscienze e Georisorse (IGG-CNR); University of Siena</t>
  </si>
  <si>
    <t>Olivetti, V (corresponding author), Univ Padua, Dip Geosci, Via Gradenigo 6, I-35131 Padua, Italy.</t>
  </si>
  <si>
    <t>valerio.olivetti@unipd.it</t>
  </si>
  <si>
    <t>olivetti, valerio/IAQ-1471-2023; Balestrieri, Maria Laura/AAX-3560-2020</t>
  </si>
  <si>
    <t>ROSSETTI, Federico/0000-0001-8071-7252; olivetti, valerio/0000-0001-8173-3860</t>
  </si>
  <si>
    <t>PNRA (Italian Research Program in Antarctica) [PDR2013/AZ2.07, PDR2009/A2.19]</t>
  </si>
  <si>
    <t>PNRA (Italian Research Program in Antarctica)</t>
  </si>
  <si>
    <t>The authors would like to thank two anonymous reviewers and Andreas Laufer for their constructive and accurate revision that significantly contributed to improve the final version of the manuscript. The research was carried in the framework of the research projects PDR2013/AZ2.07 (coordinated by F. Rossetti) and PDR2009/A2.19 (coordinated by F. Talarico) both founded by PNRA (Italian Research Program in Antarctica). We are warmly grateful for the logistics provided by the PNRA and ENEA-UTA (expedition leader: A. Della Rovere), and acknowledge the Helicopters New Zealand (HNZ) pilots (Ricky Park in particular), and all colleagues sharing time in the Italian base Mario Zucchelli. The paper benefits from constructive discussions with Massimiliano Zattin.</t>
  </si>
  <si>
    <t>10.1016/j.tecto.2018.08.017</t>
  </si>
  <si>
    <t>GZ2TO</t>
  </si>
  <si>
    <t>WOS:000449241500013</t>
  </si>
  <si>
    <t>Smith, JA; Miskiewicz, AG; Beckley, LE; Everett, JD; Garcia, V; Gray, CA; Holliday, D; Jordan, AR; Keane, J; Lara-Lopez, A; Leis, JM; Matis, PA; Muhling, BA; Neira, FJ; Richardson, AJ; Smith, KA; Swadling, KM; Syahailatua, A; Taylor, MD; van Ruth, PD; Ward, TM; Suthers, IM</t>
  </si>
  <si>
    <t>Smith, James A.; Miskiewicz, Anthony G.; Beckley, Lynnath E.; Everett, Jason D.; Garcia, Valquiria; Gray, Charles A.; Holliday, David; Jordan, Alan R.; Keane, John; Lara-Lopez, Ana; Leis, Jeffrey M.; Matis, Paloma A.; Muhling, Barbara A.; Neira, Francisco J.; Richardson, Anthony J.; Smith, Kimberley A.; Swadling, Kerrie M.; Syahailatua, Augy; Taylor, Matthew D.; van Ruth, Paul D.; Ward, Tim M.; Suthers, Iain M.</t>
  </si>
  <si>
    <t>A database of marine larval fish assemblages in Australian temperate and subtropical waters</t>
  </si>
  <si>
    <t>SCIENTIFIC DATA</t>
  </si>
  <si>
    <t>TRACHURUS-DECLIVIS PISCES; SARDINOPS-SAGAX; WESTERN-AUSTRALIA; CONTINENTAL-SHELF; LEEUWIN CURRENT; COASTAL WATERS; CLIMATE-CHANGE; JACK MACKEREL; GROWTH-RATE; VARIABILITY</t>
  </si>
  <si>
    <t>Larval fishes are a useful metric of marine ecosystem state and change, as well as species-specific patterns in phenology. The high level of taxonomic expertise required to identify larval fishes to species level, and the considerable effort required to collect samples, make these data very valuable. Here we collate 3178 samples of larval fish assemblages, from 12 research projects from 1983-present, from temperate and subtropical Australian pelagic waters. This forms a benchmark for the larval fish assemblage for the region, and includes recent monitoring of larval fishes at coastal oceanographic reference stations. Comparing larval fishes among projects can be problematic due to differences in taxonomic resolution, and identifying all taxa to species is challenging, so this study reports a standard taxonomic resolution (of 218 taxa) for this region to help guide future research. This larval fish database serves as a data repository for surveys of larval fish assemblages in the region, and can contribute to analysis of climate-driven changes in the location and timing of the spawning of marine fishes.</t>
  </si>
  <si>
    <t>[Smith, James A.; Miskiewicz, Anthony G.; Everett, Jason D.; Gray, Charles A.; Taylor, Matthew D.; Suthers, Iain M.] Univ New South Wales, Sch Biol Earth &amp; Environm Sci, Sydney, NSW 2052, Australia; [Smith, James A.; Everett, Jason D.; Taylor, Matthew D.; Suthers, Iain M.] Sydney Inst Marine Sci, Mosman, NSW 2088, Australia; [Miskiewicz, Anthony G.] Wollongong City Council, Environm &amp; Strateg Planning, POB 8821, Wollongong, NSW 2500, Australia; [Miskiewicz, Anthony G.; Beckley, Lynnath E.; Holliday, David; Muhling, Barbara A.] Murdoch Univ, Environm &amp; Conservat Sci, Sch Vet &amp; Life Sci, Murdoch, WA 6150, Australia; [Miskiewicz, Anthony G.; Leis, Jeffrey M.] Australian Museum Res Inst, Ichthyol, Sydney, NSW 2010, Australia; [Garcia, Valquiria] Univ Fed Santa Catarina, Lab Biol &amp; Cult Peixes Agua Doce, Programa Posgrad Aquicultura, BR-88040900 Florianopolis, SC, Brazil; [Gray, Charles A.] Wildfish Res, Grays Point, NSW 2232, Australia; [Jordan, Alan R.] NSW Dept Primary Ind, POB 4297, Coffs Harbour, NSW 2450, Australia; [Keane, John; Lara-Lopez, Ana; Leis, Jeffrey M.; Swadling, Kerrie M.] Univ Tasmania, Inst Marine &amp; Antarctic Studies, Hobart, Tas 7001, Australia; [Matis, Paloma A.] Univ Sydney, Sch Biol Sci, Sydney, NSW 2006, Australia; [Muhling, Barbara A.] NOAA, Southwest Fisheries Sci Ctr, La Jolla, CA 92037 USA; [Muhling, Barbara A.] Univ Calif Santa Cruz, Cooperat Inst Marine Ecosyst &amp; Climate CIMEC, La Jolla, CA 92037 USA; [Neira, Francisco J.] Marscco Marine Sci Consulting, Blackmans Bay, Tas 7052, Australia; [Richardson, Anthony J.] CSIRO Marine &amp; Atmospher Res, Ecosci Precinct, Brisbane, Qld 4102, Australia; [Richardson, Anthony J.] Univ Queensland, Sch Math &amp; Phys, Ctr Applicat Nat Resource Math, St Lucia, Qld 4072, Australia; [Smith, Kimberley A.] Dept Primary Ind &amp; Reg Dev, 39 Northside Dr, Hillarys, WA 6025, Australia; [Swadling, Kerrie M.] Antarctic Climate &amp; Ecosyst Cooperat Res Ctr, Private Bag 80, Hobart, Tas 7001, Australia; [Syahailatua, Augy] Indonesian Inst Sci, Ctr Deep Sea Res, JI Y Syaranamual, Poka 97233, Ambon, Indonesia; [Taylor, Matthew D.] NSW Dept Primary Ind, Port Stephens Fisheries Inst, Locked Bag 1, Nelson Bay, NSW 2315, Australia; [van Ruth, Paul D.; Ward, Tim M.] South Australian Res &amp; Dev Inst Aquat Sci, POB 120, Adelaide, SA 5022, Australia</t>
  </si>
  <si>
    <t>University of New South Wales Sydney; Sydney Institute of Marine Science; Murdoch University; Australian Museum; Universidade Federal de Santa Catarina (UFSC); NSW Department of Primary Industries; University of Tasmania; University of Sydney; National Oceanic Atmospheric Admin (NOAA) - USA; University of California System; University of California Santa Cruz; Commonwealth Scientific &amp; Industrial Research Organisation (CSIRO); University of Queensland; Antarctic Climate &amp; Ecosystems Cooperative Research Centre (ACE CRC); National Research &amp; Innovation Agency of Indonesia (BRIN); Indonesian Institute of Sciences (LIPI); NSW Department of Primary Industries</t>
  </si>
  <si>
    <t>Smith, JA; Suthers, IM (corresponding author), Univ New South Wales, Sch Biol Earth &amp; Environm Sci, Sydney, NSW 2052, Australia.;Smith, JA; Suthers, IM (corresponding author), Sydney Inst Marine Sci, Mosman, NSW 2088, Australia.</t>
  </si>
  <si>
    <t>james.smith@unsw.edu.au; i.suthers@unsw.edu.au</t>
  </si>
  <si>
    <t>Smith, James A/H-9155-2012; Leis, Jeffrey M/E-7502-2012; Taylor, Matthew/HMP-1929-2023; Leis, Jeffrey M/JCE-0397-2023; Richardson, Anthony J/B-3649-2010; WARD, Timothy Mark/KDN-7596-2024; Everett, Jason D/C-4557-2008; Taylor, Matthew David/IRZ-9539-2023; Suthers, Iain/C-4559-2008</t>
  </si>
  <si>
    <t>Leis, Jeffrey M/0000-0003-0603-3447; Leis, Jeffrey M/0000-0003-0603-3447; Richardson, Anthony J/0000-0002-9289-7366; WARD, Timothy Mark/0000-0002-9003-2772; Taylor, Matthew David/0000-0002-1519-9521; Smith, James/0000-0002-0496-3221; Lara-Lopez, Ana/0000-0003-2896-1367; Swadling, Kerrie/0000-0002-7620-841X; Suthers, Iain/0000-0002-9340-7461; van Ruth, Paul/0000-0002-8436-579X; Keane, John Patrick/0000-0001-8950-5176; Gray, Charles/0000-0001-9939-9995</t>
  </si>
  <si>
    <t>Australian Fisheries Management Authority [2015/0819]; Marine National Facility; Australian Research Council; Integrated Marine Observing System (IMOS); Australian Government</t>
  </si>
  <si>
    <t>Australian Fisheries Management Authority; Marine National Facility(Commonwealth Scientific &amp; Industrial Research Organisation (CSIRO)); Australian Research Council(Australian Research Council); Integrated Marine Observing System (IMOS); Australian Government(Australian Government)</t>
  </si>
  <si>
    <t>We acknowledge the contributions of all collaborators and their institutions. We acknowledge the Australian Fisheries Management Authority who funded part of this study (grant: 2015/0819), as well as the Marine National Facility and the Australian Research Council who provided funding in support of many of these projects. We acknowledge the support of the Integrated Marine Observing System (IMOS), which currently undertakes the larval fish monitoring at the National Reference Stations (NRS; project P12). We are grateful to the personnel who collect these NRS samples each month. If using data from project P12 please add the following acknowledgement: Data were sourced from the Integrated Marine Observing System (IMOS) - IMOS is a national collaborative research infrastructure, supported by the Australian Government.</t>
  </si>
  <si>
    <t>2052-4463</t>
  </si>
  <si>
    <t>SCI DATA</t>
  </si>
  <si>
    <t>Sci. Data</t>
  </si>
  <si>
    <t>10.1038/sdata.2018.207</t>
  </si>
  <si>
    <t>GW9YJ</t>
  </si>
  <si>
    <t>WOS:000447364300001</t>
  </si>
  <si>
    <t>Allinson, M; Kadokami, K; Shiraishi, F; Nakajima, D; Zhang, J; Knight, A; Gray, SR; Scales, PJ; Allinson, G</t>
  </si>
  <si>
    <t>Allinson, M.; Kadokami, K.; Shiraishi, F.; Nakajima, D.; Zhang, J.; Knight, A.; Gray, S. R.; Scales, P. J.; Allinson, G.</t>
  </si>
  <si>
    <t>Wastewater recycling in Antarctica: Performance assessment of an advanced water treatment plant in removing trace organic chemicals</t>
  </si>
  <si>
    <t>JOURNAL OF ENVIRONMENTAL MANAGEMENT</t>
  </si>
  <si>
    <t>GC-MS-AIQS screening; Recombinant receptor-reporter gene bioassay; Chemcatcher passive sampler; Direct potable reuse; Antarctica; Water quality</t>
  </si>
  <si>
    <t>AQUATIC ENVIRONMENTS PART; N-NITROSAMINES; POTABLE REUSE; IN-VITRO; AUTOMATIC IDENTIFICATION; MASS-SPECTROMETRY; TREATED EFFLUENT; REVERSE-OSMOSIS; RECEPTOR; MICROPOLLUTANTS</t>
  </si>
  <si>
    <t>The Australian Antarctic Division (AAD) operates Australia's Davis Station in the Antarctic. In 2005, Davis Station's wastewater treatment plant failed and since then untreated, macerated effluent has been discharged to the ocean. The objectives of this study were to determine whether an advanced water treatment plant (AWTP) commissioned by the AAD and featuring a multi-barrier process involving ozonation, ceramic microfiltration, biologically activated carbon filtration, reverse osmosis, ultraviolet disinfection and chlorination was capable of producing potable water and a non-toxic brine concentrate that can be discharged with minimal environmental impact. The AWTP was tested using water from a municipal wastewater treatment plant in Tasmania, Australia. We used spot water and passive sampling combined with two multi-residue chromatographic-mass spectrometric methods and a range of recombinant receptor-reporter gene bioassays to screen trace organic chemicals (TrOCs), toxicity and receptor activity in the Feed water, in the environmental discharge (reject water), and product water from the AWTP for six months during 2014-15, and then again for three months in 2016. Across the two surveys we unambiguously detected 109 different TrOCs in the feed water, 39 chemicals in the reject water, and 34 chemicals in the product water. Sample toxicity and receptor activity in the feed water samples was almost totally removed in both testing periods, confirming that the vast majority of the receptor active TrOCs were removed by the treatment process. All the NDMA entering the AWTP in the feed and/or produced in the plant (typically &lt; 50 ng/L), was retained into the reject water with no NDMA observed in the product water. In conclusion, the AWTP was working to design, and releases of TrOCs at the concentrations observed in this study would be unlikely cause adverse effects on populations of aquatic organisms in the receiving environment or users of the potable product water.</t>
  </si>
  <si>
    <t>[Allinson, M.] Univ Melbourne, Sch Chem, CAPIM, Melbourne, Vic 3010, Australia; [Kadokami, K.] Univ Kitakyushu, Fac Environm Engn, 1-1 Hibikino, Kitakyushu, Fukuoka 8080135, Japan; [Shiraishi, F.; Nakajima, D.] Natl Inst Environm Studies, Ctr Environm Risk Res, 16-2 Onogawa, Tsukuba, Ibaraki 3058506, Japan; [Zhang, J.; Gray, S. R.] Victoria Univ, Inst Sustainabil &amp; Innovat, Melbourne, Vic, Australia; [Knight, A.; Scales, P. J.] Univ Melbourne, Dept Chem Engn, Particulate Fluids Proc Ctr, Melbourne, Vic 3010, Australia; [Allinson, G.] RMIT Univ, Sch Sci, Ctr Environm Sustainabil &amp; Remediat EnSuRe, Melbourne, Vic 3001, Australia</t>
  </si>
  <si>
    <t>Melbourne Genomics Health Alliance; University of Melbourne; University of Kitakyushu; National Institute for Environmental Studies - Japan; Victoria University; University of Melbourne; Melbourne Bioinformatics; Melbourne Genomics Health Alliance; Royal Melbourne Institute of Technology (RMIT)</t>
  </si>
  <si>
    <t>Allinson, G (corresponding author), RMIT Univ, Sch Sci, Melbourne, Vic 3001, Australia.</t>
  </si>
  <si>
    <t>graeme.allinson@rmit.edu.au</t>
  </si>
  <si>
    <t>Scales, Peter j/I-8103-2013; Gray, Stuart/L-2489-2017; Gray, Stephen/L-9684-2013</t>
  </si>
  <si>
    <t>Scales, Peter j/0000-0002-8033-3686; Nakajima, Daisuke/0000-0001-9856-7504; Zhang, Jianhua/0000-0002-8674-0485; Gray, Stuart/0000-0001-8969-9636; Gray, Stephen/0000-0002-8748-2748</t>
  </si>
  <si>
    <t>Australian Water Recycling Centre of Excellence; Australian Antarctic Division (Department of the Environment); Environment Research and Technology Development Fund of the Ministry of the Environment, Japan [5-1552]; RMIT University; University of Melbourne; Victoria University; Veolia; TasWater; RMIT Foundation</t>
  </si>
  <si>
    <t>Australian Water Recycling Centre of Excellence; Australian Antarctic Division (Department of the Environment); Environment Research and Technology Development Fund of the Ministry of the Environment, Japan(Ministry of the Environment, Japan); RMIT University; University of Melbourne(University of Melbourne); Victoria University; Veolia; TasWater; RMIT Foundation</t>
  </si>
  <si>
    <t>Funding for this work was provided by the Australian Water Recycling Centre of Excellence, with additional funding from the Australian Antarctic Division (Department of the Environment), the Environment Research and Technology Development Fund (5-1552) of the Ministry of the Environment, Japan, and support from RMIT University, The University of Melbourne, Victoria University, Veolia and TasWater. The authors would also like to thank Michael Packer (AAD) and Kathy Northcott (Veolia) for their help with this program, particularly their insights into the operation of the AWTP and other WWTPs. We also thank Stuart Khan and James McDonald at the University of New South Wales Water Research Centre for NDMA analysis. GA thanks the RMIT Foundation for an International Research Exchange Fellowship for himself and KK.</t>
  </si>
  <si>
    <t>0301-4797</t>
  </si>
  <si>
    <t>1095-8630</t>
  </si>
  <si>
    <t>J ENVIRON MANAGE</t>
  </si>
  <si>
    <t>J. Environ. Manage.</t>
  </si>
  <si>
    <t>OCT 15</t>
  </si>
  <si>
    <t>10.1016/j.jenvman.2018.07.020</t>
  </si>
  <si>
    <t>GQ9AQ</t>
  </si>
  <si>
    <t>WOS:000442058700014</t>
  </si>
  <si>
    <t>Ponomareva, V; Bubenshchikova, N; Portnyagin, M; Zelenin, E; Derkachev, A; Gorbarenko, S; Garbe-Schönberg, D; Bindeman, I</t>
  </si>
  <si>
    <t>Ponomareva, Vera; Bubenshchikova, Natalia; Portnyagin, Maxim; Zelenin, Egor; Derkachev, Alexander; Gorbarenko, Sergey; Garbe-Schoenberg, Dieter; Bindeman, Ilya</t>
  </si>
  <si>
    <t>Large-magnitude Pauzhetka caldera-forming eruption in Kamchatka: Astrochronologic age, composition and tephra dispersal</t>
  </si>
  <si>
    <t>JOURNAL OF VOLCANOLOGY AND GEOTHERMAL RESEARCH</t>
  </si>
  <si>
    <t>Tephra; NW Pacific; Kamchatka; Caldera; Glacial termination</t>
  </si>
  <si>
    <t>OKHOTSK SEA; QUATERNARY DEPOSITS; ANTARCTIC ICE; LAYERS; VOLCANO; TEPHROCHRONOLOGY; VOLUME; ORIGIN; KURIL; VARIABILITY</t>
  </si>
  <si>
    <t>Correlation of individual tephra layers over large areas permits the assessment of eruption magnitude and synchronization of disparate sedimentary archives. The middle Pleistocene Pauzhetka caldera with a diameter of similar to 30 km is one of the largest in Kamchatka. Distal tephra from the caldera-forming eruption has, however, never been found, hampering precise estimates of the eruption volume and magnitude. In this paper, we report first geochemical identification of distal tephra from the Pauzhetka caldera in the Northwest (NW) Pacific and Okhotsk Sea sediments recovered by ODP 145 cores 881B, 882A and 884B, and IMAGES cores MD01-2415 and MD01-2416. Distal tephras are rhyolites of narrow compositional range allowing their reliable identification among the studied marine cores using major and trace element data. Geochemical correlation of the distal tephra to the proximal strongly welded and altered ignimbrite was performed based on immobile trace elements determined in situ by laser ablation ICP-MS. Based on this case study, we propose that a number of trace elements (U, Th, Nb, Ta, Zr, Hf, Ti, REE, Y and Sc) are immobile during on-shore alteration of welded tuffs and can be used for correlation of pristine glass and altered rock groundmass allowing direct identification of volcanic source of distal tephra. Our new data on the spatial dispersal of the airborne Pauzhetka tephra in the NW Pacific sediments defines its minimum dense rock equivalent (DRE) volume of similar to 46 km(3). Together with the exposed volcanic material around the caldera, the total DRE volume is estimated at 150-170 km(3 )(3.8-4.4 x 10(5)Mt) corresponding to the eruption magnitude of 7.60-7.65. Stratigraphic position of the Pauzhetka tephra in the studied cores at transition between marine isotope stage 12 and 11c (Termination V) yields a precise astrochronologic age of 421.2 +/- 6.6 ka (weighted mean +/- 2 sigma), which is 27 ka younger than the published average Ar-39/Ar-40 dates on plagioclase from the proximal ignimbrite. Due to the characteristic composition and precise age, the Pauzhetka tephra may serve as a regional marker for Termination V in the NW Pacific and Okhotsk Sea sediments. A multidisciplinary approach adopted in this study is useful for identification and precise dating of the past explosive eruptions in Kamchatka and other volcanic arcs. (C) 2018 Elsevier B.V. All rights reserved.</t>
  </si>
  <si>
    <t>[Ponomareva, Vera] Inst Volcanol &amp; Seismol, Piip Blvd 9, Petropavlovsk Kamchatski 683006, Russia; [Bubenshchikova, Natalia] Shirshov Inst Oceanol, 36 Nakhimovsky Prospect, Moscow 117997, Russia; [Portnyagin, Maxim] GEOMAR Helmholtz Ctr Ocean Res Kiel, Wischhofstr 1-3, D-24148 Kiel, Germany; [Portnyagin, Maxim] VI Vernadsky Inst Geochem &amp; Analyt Chem, Kosygin St 19, Moscow 119991, Russia; [Zelenin, Egor] Geol Inst, Pyzhevsky Lane 7, Moscow 119017, Russia; [Derkachev, Alexander; Gorbarenko, Sergey] VI Ilichev Pacific Oceanol Inst, Baltiyskaya St 43, Vladivostok 690041, Russia; [Garbe-Schoenberg, Dieter] Christian Albrechts Univ Kiel, Inst Geowissensch, Ludewig Meyn Str 10, D-24118 Kiel, Germany; [Bindeman, Ilya] Univ Oregon, Dept Earth Sci, Eugene, OR 97403 USA</t>
  </si>
  <si>
    <t>Institute of Volcanology &amp; Seismology, Far Eastern Branch, RAS; Russian Academy of Sciences; Shirshov Institute of Oceanology; Helmholtz Association; GEOMAR Helmholtz Center for Ocean Research Kiel; Russian Academy of Sciences; Vernadsky Institute of Geochemistry &amp; Analytical Chemistry; Geological Institute, Russian Academy of Sciences; Ilichev Pacific Oceanological Institute; University of Kiel; University of Oregon</t>
  </si>
  <si>
    <t>Ponomareva, V (corresponding author), Inst Volcanol &amp; Seismol, Piip Blvd 9, Petropavlovsk Kamchatski 683006, Russia.</t>
  </si>
  <si>
    <t>vera.ponomareva1@gmail.com; bubenshchikova.nv@ocean.ru; mportnyagin@geomar.de; derkachev@poi.dvo.ru; gorbarenko@poi.dvo.ru; dieter.garbe-schoenberg@ifg.uni-kiel.de; bindeman@uoregon.edu</t>
  </si>
  <si>
    <t>Garbe-Schönberg, Dieter/AAO-3827-2020; Zelenin, Egor/AAM-9936-2021; Gorbarenko, Sergey A./A-7055-2016; Zelenin, Egor/K-4288-2018; Portnyagin, Maxim V/G-9280-2011; Bubenshchikova, Natalia/ABF-5021-2020; Ponomareva, Vera/ABI-3076-2020; Bindeman, Ilya N/D-2497-2012; Garbe-Schonberg, Dieter/E-2439-2016</t>
  </si>
  <si>
    <t>Zelenin, Egor/0000-0003-3733-1922; Zelenin, Egor/0000-0003-3733-1922; Portnyagin, Maxim V/0000-0001-5197-6562; Bubenshchikova, Natalia/0000-0001-6072-8114; Garbe-Schonberg, Dieter/0000-0001-9006-9463</t>
  </si>
  <si>
    <t>Russian Science Foundation [16-17-10035]; RFBR [16-05-00127]; Shirshov Institute of Oceanology [0149-2018-0016]; GEOMAR [MD01-2415, MD01-2416]; GEOMAR (Kiel, Germany); Russian Science Foundation [16-17-10035] Funding Source: Russian Science Foundation</t>
  </si>
  <si>
    <t>Russian Science Foundation(Russian Science Foundation (RSF)); RFBR(Russian Foundation for Basic Research (RFBR)); Shirshov Institute of Oceanology(Russian Academy of Sciences); GEOMAR; GEOMAR (Kiel, Germany); Russian Science Foundation(Russian Science Foundation (RSF))</t>
  </si>
  <si>
    <t>This research was supported by the Russian Science Foundation grant #16-17-10035 to V. Ponomareva. Analysis of the core MD01-2416 samples was possible thanks to the RFBR grant #16-05-00127 to S.A. Gorbarenko. The results of Section 4.2 were obtained by N. Bubenshchikova within the frames of the theme No. 0149-2018-0016 at the Shirshov Institute of Oceanology. We acknowledge GEOMAR (Kiel, Germany) funding for the electron microprobe analyses. We thank Mario Thoner and Ulrike Westernstroer for their assistance with electron probe and LA-ICP-MS analyses. We are grateful to Dirk Nurnberg for providing us with the opportunity to work of the archive part of cores MD01-2415 and MD01-2416 at GEOMAR. We highly appreciate efficient work of the Gulf Coast Repository (Texas, USA) personnel, in particular, Phil Rumford and Helen Evans, who made our 2016 sampling campaign effortless and highly productive. We thank Michael Sarnthein, Samuel Jaccard and Eric Galbraith who shared with us their data on the age models of core MD01-2416 and ODP 145 Site 882, and Matt Loewen for informal comments on English. Comments from two anonymous reviewers helped us to improve our manuscript.</t>
  </si>
  <si>
    <t>0377-0273</t>
  </si>
  <si>
    <t>1872-6097</t>
  </si>
  <si>
    <t>J VOLCANOL GEOTH RES</t>
  </si>
  <si>
    <t>J. Volcanol. Geotherm. Res.</t>
  </si>
  <si>
    <t>10.1016/j.jvolgeores.2018.10.006</t>
  </si>
  <si>
    <t>HD5NK</t>
  </si>
  <si>
    <t>WOS:000452577000001</t>
  </si>
  <si>
    <t>Moreno, PI; Videla, J; Valero-Garces, B; Alloway, BV; Heusser, LE</t>
  </si>
  <si>
    <t>Moreno, Patricio I.; Videla, Javiera; Valero-Garces, Blas; Alloway, Brent V.; Heusser, Linda E.</t>
  </si>
  <si>
    <t>A continuous record of vegetation, fire-regime and climatic changes in northwestern Patagonia spanning the last 25,000 years</t>
  </si>
  <si>
    <t>Vegetation history; Fire disturbance; Northwestern patagonia; Southern westerly winds; Last glacial termination; Last glacial maximum; Holocene</t>
  </si>
  <si>
    <t>SOUTHERN LAKE DISTRICT; GLACIAL MAXIMUM; ISLA-GRANDE; RADIOCARBON CHRONOLOGY; ABRUPT VEGETATION; LLANQUIHUE DRIFT; ATMOSPHERIC CO2; YR BP; CHILE; TERMINATION</t>
  </si>
  <si>
    <t>We present a high-resolution precisely dated terrestrial paleovegetation/paleoclimate record from Lago Pichilaguna, northwestern Patagonia (40 degrees-44 degrees S), which spans continuously from the Last Glacial Maximum (LGM) to the present. We find abundant and continuous presence of arboreal pollen (chiefly Nothofagus) during the LGM, accompanied by other trees, shrubs, and alpine herbs. These results suggest Subantarctic parkland and/or scattered woodlands under a cold and hyperhumid climate during the LGM (similar to 25,000-17,800 cal. yr BP) with expansion of Nothofagus under relatively warm interstadial conditions between 25,000 and 19,200 cal. yr BP. This was followed by cooling and a precipitation increase between 19,200 and 17,800 cal. yr BP, which was contemporaneous with the youngest LGM advance of Andean glaciers in the region and maximum influence of the Southern Westerly Wind (SWW). The Last Glacial Termination (T1) started at 17,800 cal. yr BP and featured the spread of thermophilous trees and ferns characteristic of North Patagonian rainforests, along with lake level lowering. These results suggest a warm pulse and southward shift of the SWW, concurrent with a rapid collapse of Andean glacier lobes. Subsequent changes led to the establishment of closed-canopy rainforests under peak interstadial warmth between similar to 16,000 and 15,000 cal. yr BP. We detect a shift to cold/wet conditions during the Antarctic Cold Reversal (14,800-12,700 cal. yr BP) and a precipitation decline during Younger Dryas time, followed by maximum temperature, relatively lower lake level and minimum SWW influence between 11,300 and 7700 cal. yr BP. Precipitation then rose punctuated by centennial-scale variations since 6200 cal. yr BP. Chilean-European deforestation and spread of invasive exotic species started at similar to 350 cal. yr BP aided by fire. We conclude that temperate rainforests have persisted with little interruption since T1, with major changes in floristic composition driven by climate change and fires. Rainforest composition and heterogeneity declined in response to Chilean/European disturbance during the 1600s and intensified since the 1800s. These events constitute the fastest/largest-magnitude vegetation changes of the last similar to 25,000 years. (C) 2018 Elsevier Ltd. All rights reserved.</t>
  </si>
  <si>
    <t>[Moreno, Patricio I.; Videla, Javiera] Univ Chile, Dept Ciencias Ecol, Inst Ecol &amp; Biodiversidad, Santiago, Chile; [Valero-Garces, Blas] Spanish Sci Res Council, Pyrenean Inst Ecol, Zaragoza, Spain; [Alloway, Brent V.] Univ Auckland, Sch Environm, Private Bag 92019, Auckland, New Zealand; [Heusser, Linda E.] Columbia Univ, Lamont Doherty Earth Observ, New York, NY USA</t>
  </si>
  <si>
    <t>Universidad de Chile; Consejo Superior de Investigaciones Cientificas (CSIC); CSIC - Instituto Pirenaico de Ecologia (IPE); University of Auckland; Columbia University</t>
  </si>
  <si>
    <t>Moreno, PI (corresponding author), Univ Chile, Dept Ciencias Ecol, Inst Ecol &amp; Biodiversidad, Santiago, Chile.</t>
  </si>
  <si>
    <t>; Moreno, Patricio/D-2317-2012</t>
  </si>
  <si>
    <t>Videla Contreras, Javiera/0009-0004-3415-8890; Moreno, Patricio/0000-0002-1333-6238</t>
  </si>
  <si>
    <t>Fondecyt [1151469, 1160488]; Nucleo Milenio Paleoclima; Iniciativa Cientifica Milenio del Ministerio de Economia, Fomento y Turismo (Chile) [NC120066]; Universidad de Chile-CSIC collaborative program (2011-2012)</t>
  </si>
  <si>
    <t>Fondecyt(Comision Nacional de Investigacion Cientifica y Tecnologica (CONICYT)CONICYT FONDECYT); Nucleo Milenio Paleoclima; Iniciativa Cientifica Milenio del Ministerio de Economia, Fomento y Turismo (Chile); Universidad de Chile-CSIC collaborative program (2011-2012)</t>
  </si>
  <si>
    <t>Funded by Fondecyt 1151469 and 1160488, Nucleo Milenio Paleoclima and NC120066 of Iniciativa Cientifica Milenio del Ministerio de Economia, Fomento y Turismo (Chile), and the Universidad de Chile-CSIC collaborative program (2011-2012). We thank Pablo Corella, Michael Fletcher, Mario Morellon and Oscar Pesce for their help during field work, Loreto Hernandez for laboratory assistance, and T. Guilderson, S. Collado and R. De Pol for analyzing the radiocarbon samples.</t>
  </si>
  <si>
    <t>10.1016/j.quascirev.2018.08.013</t>
  </si>
  <si>
    <t>GX1MG</t>
  </si>
  <si>
    <t>WOS:000447480800002</t>
  </si>
  <si>
    <t>Iriarte, JL; Cuevas, LA; Cornejo, F; Silva, N; González, HE; Castro, L; Montero, P; Vargas, CA; Daneri, G</t>
  </si>
  <si>
    <t>Luis Iriarte, Jose; Antonio Cuevas, Luis; Cornejo, Fernanda; Silva, Nelson; Gonzalez, Humberto E.; Castro, Leonardo; Montero, Paulina; Vargas, Cristian A.; Daneri, Giovanni</t>
  </si>
  <si>
    <t>Low spring primary production and microplankton carbon biomass in Sub-Antarctic Patagonian channels and fjords (50-53°S)</t>
  </si>
  <si>
    <t>Plankton carbon; fjords system; Patagonia primary production; freshwater haline stratification</t>
  </si>
  <si>
    <t>PHYTOPLANKTON BLOOMS; SURFACE SEDIMENTS; CELL-VOLUME; FOOD-WEB; VARIABILITY; CHILE; ECOSYSTEM; SILICATE; PATTERNS; NUTRIENT</t>
  </si>
  <si>
    <t>It is relevant to understand the processes and factors that modulate the efficiency of the carbon pump throughout the ecosystem of Patagonian fjords. Spatial variability of primary productivity and bacteria-microplankton biomass was assessed in relation to inorganic nutrients and stratification across nearshore zones of southern Patagonia (50-53 degrees S) in austral spring 2009. Estimates of primary productivity (300-500 mg C m(-2) d(-1)) and phytoplankton biomass (9-180 mg chlorophylla m(-2)) were low at offshore and inshore waters. Synergistic effects of low silicic acid concentrations and poor light penetration because of salinity-driven stratification of glacier meltwater in springtime appeared to negatively affect phytoplankton carbon biomass and primary production in this sub-Antarctic region. The knowledge of the relative importance of nutrient sources and light is especially significant for Patagonian glacier-fjord systems that are expected to receive higher freshwater inputs and will be more stratified in the future.</t>
  </si>
  <si>
    <t>[Luis Iriarte, Jose; Gonzalez, Humberto E.] Univ Austral Chile, Inst Acuicultura, Puerto Montt, Chile; [Luis Iriarte, Jose; Gonzalez, Humberto E.] Univ Austral Chile, Ctr FONDAP Invest Dinam Ecosistemas Marinos Altas, Puerto Montt, Chile; [Luis Iriarte, Jose; Daneri, Giovanni] Univ Concepcion, Ctr Invest Oceanog COPAS Sur Austral, Concepcion, Chile; [Luis Iriarte, Jose; Montero, Paulina; Daneri, Giovanni] Ctr Invest Ecosistemas Patagonia CIEP, Coyhaique, Chile; [Antonio Cuevas, Luis; Vargas, Cristian A.] Univ Concepcion, Fac Ciencias Ambientales, Dept Sistemas Acuat, Concepcion, Chile; [Cornejo, Fernanda; Gonzalez, Humberto E.] Univ Austral Chile, Inst Ciencias Marinas &amp; Limnol, Valdivia, Chile; [Cornejo, Fernanda; Gonzalez, Humberto E.] Univ Austral Chile, Ctr FONDAP Invest Dinam Ecosistemas Marino Altas, Valdivia, Chile; [Silva, Nelson] Pontificia Univ Catolica Valparaiso, Escuela Ciencias Mar, Valparaiso, Chile; [Castro, Leonardo] Univ Concepcion, Dept Oceanog, Concepcion, Chile; [Castro, Leonardo] Univ Concepcion, Ctr FONDAP Invest Dinam Ecosistemas Marino Altas, Concepcion, Chile; [Vargas, Cristian A.] Univ Concepcion, Millennium Inst Oceanog IMO, Concepcion, Chile; [Vargas, Cristian A.] Univ Concepcion, Ctr Study Multiple Drivers Marine Socioecol Syst, Concepcion, Chile</t>
  </si>
  <si>
    <t>Universidad Austral de Chile; Universidad Austral de Chile; Universidad de Concepcion; Universidad de Concepcion; Universidad Austral de Chile; Universidad Austral de Chile; Pontificia Universidad Catolica de Valparaiso; Universidad de Concepcion; Universidad de Concepcion; Universidad de Concepcion; Universidad de Concepcion</t>
  </si>
  <si>
    <t>Iriarte, JL (corresponding author), Univ Austral Chile, Inst Acuicultura, Puerto Montt, Chile.;Iriarte, JL (corresponding author), Univ Austral Chile, Ctr FONDAP Invest Dinam Ecosistemas Marinos Altas, Puerto Montt, Chile.</t>
  </si>
  <si>
    <t>jiriarte@uach.cl</t>
  </si>
  <si>
    <t>Vargas, Cristian A./0000-0002-1486-3611</t>
  </si>
  <si>
    <t>FONDAP-COPAS Center [150100007]; CONA [CONA-C15F 09-12, CONA-C15F 09-05]</t>
  </si>
  <si>
    <t>FONDAP-COPAS Center(Comision Nacional de Investigacion Cientifica y Tecnologica (CONICYT)CONICYT FONDAP); CONA</t>
  </si>
  <si>
    <t>This study was fully funded by three CONA grants: CONA-C15F 09-12 to J.L. Iriarte, CONA-C15F 09-12 to N. Silva, and CONA-C15F 09-05 to L. Castro. Funding by FONDAP-COPAS Center (program 150100007) to the MIRAI MR08-06 cruise as part of a Joint Research Agreement between JAMSTEC and the COPAS Center.</t>
  </si>
  <si>
    <t>e1525186</t>
  </si>
  <si>
    <t>10.1080/15230430.2018.1525186</t>
  </si>
  <si>
    <t>GY8WP</t>
  </si>
  <si>
    <t>WOS:000448920100001</t>
  </si>
  <si>
    <t>Malmierca-Vallet, I; Sime, LC; Tindall, JC; Capron, E; Valdes, PJ; Vinther, BM; Holloway, MD</t>
  </si>
  <si>
    <t>Malmierca-Vallet, Irene; Sime, Louise C.; Tindall, Julia C.; Capron, Emilie; Valdes, Paul J.; Vinther, Bo M.; Holloway, Max D.</t>
  </si>
  <si>
    <t>Simulating the Last Interglacial Greenland stable water isotope peak: The role of Arctic sea ice changes</t>
  </si>
  <si>
    <t>GLACIAL MAXIMUM; OXYGEN-ISOTOPE; COUPLED MODEL; CAMP CENTURY; CLIMATE; RECORD; TEMPERATURE; OCEAN; CORE; GRIP</t>
  </si>
  <si>
    <t>Last Interglacial (LIG), stable water isotope values (delta O-18) measured in Greenland deep ice cores are at least 2.5 parts per thousand higher compared to the present day. Previous isotopic climate simulations of the LIG do not capture the observed Greenland delta O-18 increases. Here, we use the isotope-enabled HadCM3 (UK Met Office coupled atmosphere-ocean general circulation model) to investigate whether a retreat of Northern Hemisphere sea ice was responsible for this model-data disagreement. Our results highlight the potential significance of sea ice changes on the LIG Greenland isotopic maximum. Sea ice loss in combination with increased sea surface temperatures, over the Arctic, affect delta O-18 water vapour enriched in heavy isotopes and a shorter distillation path may both increase delta O-18 values over Greenland. We show, for the first time, that simulations of the response to Arctic sea ice reduction are capable of producing the likely magnitude of LIG delta O-18 increases at NEEM, NGRIP, GIPS2 and Camp Century ice core sites. However, we may underestimate delta O-18 changes at the Renland, DYE3 and GRIP ice core locations. Accounting for possible ice sheet changes is likely to be required to produce a better fit to the LIG ice core delta O-18 values. (C) 2018 Elsevier Ltd. All rights reserved.</t>
  </si>
  <si>
    <t>[Malmierca-Vallet, Irene; Sime, Louise C.; Capron, Emilie; Holloway, Max D.] British Antarctic Survey, Madingley Rd, Cambridge CB3 0ET, England; [Malmierca-Vallet, Irene; Valdes, Paul J.] Univ Bristol, Sch Geog Sci, Univ Rd, Bristol BS8 1SS, Avon, England; [Tindall, Julia C.] Univ Leeds, Sch Earth &amp; Environm, Leeds LS2 9JT, W Yorkshire, England; [Capron, Emilie; Vinther, Bo M.] Univ Copenhagen, Niels Bohr Inst, Ctr Ice &amp; Climate, Juliane Maries Vej 30, DK-2900 Copenhagen, Denmark</t>
  </si>
  <si>
    <t>UK Research &amp; Innovation (UKRI); Natural Environment Research Council (NERC); NERC British Antarctic Survey; University of Bristol; University of Leeds; University of Copenhagen; Niels Bohr Institute</t>
  </si>
  <si>
    <t>Malmierca-Vallet, I (corresponding author), British Antarctic Survey, Madingley Rd, Cambridge CB3 0ET, England.</t>
  </si>
  <si>
    <t>irealm37@bas.ac.uk</t>
  </si>
  <si>
    <t>Valdes, Paul/T-2004-2019; Capron, Emilie/ITU-2672-2023; Valdes, Paul J/C-4129-2013; Sime, Louise/AAX-7730-2021</t>
  </si>
  <si>
    <t>Valdes, Paul/0000-0002-1902-3283; Sime, Louise/0000-0002-9093-7926; Holloway, Max/0000-0003-0709-3644; Capron, Emilie/0000-0003-0784-1884; Vinther, Bo/0000-0002-6078-771X; Malmierca Vallet, Irene/0000-0002-2871-9741</t>
  </si>
  <si>
    <t>NERC GW4+ studentship; EPSRC-funded Past Earth Network [EP/M008363/1]; European Union's Seventh Framework Programme for research and innovation under the Marie Sklodowska-Curie [600207]; European Research Council under the European Community's Seventh Framework Programme (FP7/2007-2013)/ERC [610055]; [NE/P009271/1]; [NE/P013279/1]; [NE/J004804/1]; EPSRC [EP/M008363/1] Funding Source: UKRI; NERC [NE/P013279/1, bas0100034, NE/J004804/1, NE/P009271/1] Funding Source: UKRI; Villum Fonden [00016572] Funding Source: researchfish</t>
  </si>
  <si>
    <t>NERC GW4+ studentship; EPSRC-funded Past Earth Network(UK Research &amp; Innovation (UKRI)Engineering &amp; Physical Sciences Research Council (EPSRC)); European Union's Seventh Framework Programme for research and innovation under the Marie Sklodowska-Curie(European Union (EU)); European Research Council under the European Community's Seventh Framework Programme (FP7/2007-2013)/ERC; ; ; ; EPSRC(UK Research &amp; Innovation (UKRI)Engineering &amp; Physical Sciences Research Council (EPSRC)); NERC(UK Research &amp; Innovation (UKRI)Natural Environment Research Council (NERC)); Villum Fonden(Villum Fonden)</t>
  </si>
  <si>
    <t>We thank Kira Rehfeld for constructive discussion and Peter Hopcroft for his advice on sea ice forcing. We thank the two reviewers for their constructive comments, which helped improved the manuscript through the review process. IMV acknowledges a NERC GW4+ studentship and support provided through the EPSRC-funded Past Earth Network (Grant number EP/M008363/1). LCS acknowledges additional support provided through grants NE/P009271/1, NE/P013279/1, and NE/J004804/1. EC has received funding from the European Union's Seventh Framework Programme for research and innovation under the Marie Sklodowska-Curie grant agreement no 600207. BV has received funding from the European Research Council under the European Community's Seventh Framework Programme (FP7/2007-2013)/ERC grant agreement 610055 as part of the ice2ice project.</t>
  </si>
  <si>
    <t>10.1016/j.quascirev.2018.07.027</t>
  </si>
  <si>
    <t>WOS:000447480800001</t>
  </si>
  <si>
    <t>Baricz, A; Teban, A; Chiriac, CM; Szekeres, E; Farkas, A; Nica, M; Dascalu, A; Oprisan, C; Lavin, P; Coman, C</t>
  </si>
  <si>
    <t>Baricz, Andreea; Teban, Adele; Chiriac, Cecilia Maria; Szekeres, Edina; Farkas, Anca; Nica, Maria; Dascalu, Amalie; Oprisan, Corina; Lavin, Paris; Coman, Cristian</t>
  </si>
  <si>
    <t>Investigating the potential use of an Antarctic variant of Janthinobacterium lividum for tackling antimicrobial resistance in a One Health approach</t>
  </si>
  <si>
    <t>BACTERIAL COMMUNITY COMPOSITION; WATER TREATMENT PROCESSES; ANTIBIOTIC-RESISTANCE; ANTIBACTERIAL ACTIVITY; STAPHYLOCOCCUS-AUREUS; VIOLET PIGMENT; TREATMENT PLANTS; VIOLACEIN; WASTE; GENES</t>
  </si>
  <si>
    <t>The aim of this paper is to describe a new variant of Janthinobacterium lividum - ROICE173, isolated from Antarctic snow, and to investigate the antimicrobial effect of the crude bacterial extract against 200 multi-drug resistant (MDR) bacteria of both clinical and environmental origin, displaying various antibiotic resistance patterns. ROICE173 is extremotolerant, grows at high pH (5.5-9.5), in high salinity (3%) and in the presence of different xenobiotic compounds and various antibiotics. The best violacein yield (4.59 +/- 0.78 mg.g(-1) wet biomass) was obtained at 22 degrees C, on R2 broth supplemented with 1% glycerol. When the crude extract was tested for antimicrobial activity, a clear bactericidal effect was observed on 79 strains (40%), a bacteriostatic effect on 25 strains (12%) and no effect in the case of 96 strains (48%). A very good inhibitory effect was noticed against numerous MRSA, MSSA, Enterococci, and Enterobacteriaceae isolates. For several environmental E. coli strains, the bactericidal effect was encountered at a violacein concentration below of what was previously reported. A different effect (bacteriostatic vs. bactericidal) was observed in the case of Enterobacteriaceae isolated from raw vs. treated wastewater, suggesting that the wastewater treatment process may influence the susceptibility of MDR bacteria to violacein containing bacterial extracts.</t>
  </si>
  <si>
    <t>[Baricz, Andreea; Chiriac, Cecilia Maria; Szekeres, Edina; Coman, Cristian] Inst Biol Res, NIRDBS, Cluj Napoca, Romania; [Teban, Adele; Farkas, Anca] Babes Bolyai Univ, Fac Biol &amp; Geol, Cluj Napoca, Romania; [Nica, Maria; Dascalu, Amalie; Oprisan, Corina] Dr V Babes Clin Hosp Infect &amp; Trop Dis Bucharest, Bucharest, Romania; [Nica, Maria] Carol Davila Univ Med &amp; Pharm, Bucharest, Romania; [Lavin, Paris] Univ Antofagasta, Inst Antofagasta, Lab Complejidad Microbiana &amp; Ecol Func, Antofagasta, Chile</t>
  </si>
  <si>
    <t>National Research Institute for Biological Sciences; Babes Bolyai University from Cluj; Carol Davila University of Medicine &amp; Pharmacy; Universidad de Antofagasta</t>
  </si>
  <si>
    <t>Coman, C (corresponding author), Inst Biol Res, NIRDBS, Cluj Napoca, Romania.</t>
  </si>
  <si>
    <t>cristian.coman@icbcluj.ro</t>
  </si>
  <si>
    <t>Coman, Cristian/AAI-4866-2020; Baricz, Andreea/ABH-5341-2020; Chiriac, Cecilia/R-7093-2017; Lavin, Paris/AAI-9053-2020; Farkas, Anca/L-6768-2013; Szekeres, Edina/AAT-1113-2021</t>
  </si>
  <si>
    <t>Baricz, Andreea/0000-0003-1307-3172; Chiriac, Cecilia/0000-0001-5130-5232; Farkas, Anca/0000-0003-0985-1461; Szekeres, Edina/0000-0003-1463-6301; Lavin, Paris/0000-0002-8893-526X; Teban-Man, Adela Monica/0000-0002-1284-103X</t>
  </si>
  <si>
    <t>CNCS/CCCDI - UEFISCDI within PNCDI III [PN-III-P2-2.1-PED-2016-1170]; [PN 16-19 102]</t>
  </si>
  <si>
    <t>CNCS/CCCDI - UEFISCDI within PNCDI III(Consiliul National al Cercetarii Stiintifice (CNCS)Unitatea Executiva pentru Finantarea Invatamantului Superior, a Cercetarii, Dezvoltarii si Inovarii (UEFISCDI));</t>
  </si>
  <si>
    <t>This work was supported by a grant of CNCS/CCCDI - UEFISCDI, Project Number PN-III-P2-2.1-PED-2016-1170, within PNCDI III and partially by the Core Project PN 16-19 102. The authors wish to acknowledge the logistical and scientific support given by the Korea Polar Research Institute (KOPRI) and by the King Sejong Station members during the ROICE expedition.</t>
  </si>
  <si>
    <t>10.1038/s41598-018-33691-6</t>
  </si>
  <si>
    <t>GW9OT</t>
  </si>
  <si>
    <t>WOS:000447320800011</t>
  </si>
  <si>
    <t>Yu, ZJ; Colin, C; Ma, RF; Meynadier, L; Wan, SM; Wu, Q; Kallel, N; Sepulcre, S; Dapoigny, A; Bassinot, F</t>
  </si>
  <si>
    <t>Yu, Zhaojie; Colin, Christophe; Ma, Ruifang; Meynadier, Laure; Wan, Shiming; Wu, Qiong; Kallel, Nejib; Sepulcre, Sophie; Dapoigny, Arnaud; Bassinot, Frank</t>
  </si>
  <si>
    <t>Antarctic Intermediate Water penetration into the Northern Indian Ocean during the last deglaciation</t>
  </si>
  <si>
    <t>Nd isotopic composition; AAIW; deglaciation a; tmospheric CO2; Northern Indian Ocean</t>
  </si>
  <si>
    <t>NEODYMIUM ISOTOPE COMPOSITION; DEEP SOUTHERN-OCEAN; ATMOSPHERIC CO2; RADIOCARBON EVIDENCE; DISSOLVED NEODYMIUM; SUMMER MONSOON; PACIFIC-OCEAN; CARBON; ATLANTIC; BAY</t>
  </si>
  <si>
    <t>The two-stage increase in atmospheric carbon dioxide (CO2), and the associated decrease in radiocarbon (C-14) during the last deglaciation, are thought to have been linked to enhanced Southern Ocean upwelling and the rapid release of sequestered C-14-depleted CO2. Antarctic Intermediate Water (AAIW), originating from the Southern Ocean, reflects variations in the Southern Ocean and, crucially, mirrors the chemical signature of upwelling deep water. However, the penetration of AAIW into the Northern Indian Ocean and its relationship with deglacial climate changes have not been thoroughly elucidated to date. Here, we present the neodymium isotopic composition (epsilon(Nd)) of mixed planktonic foraminifera from core MD77-176 from an intermediate depth in the Northern Indian Ocean to reconstruct the past evolution of intermediate water during deglaciation. The epsilon(Nd) record in the Northern Indian Ocean displays two pulse-like shifts towards more radiogenic Southern Ocean values during the deglaciation, and these shifts coincide with excursions in Delta C-14 and epsilon(Nd) records in the Pacific and Atlantic Oceans. These results suggest invasion of AAIW into the Northern Hemisphere oceans associated with enhanced Southern Ocean ventilation during deglaciation. Our new ENd record strongly supports the close linkage of AAIW propagation and atmospheric CO2 rise through Southern Ocean ventilation during deglaciation. (C) 2018 Elsevier B.V. All rights reserved.</t>
  </si>
  <si>
    <t>[Yu, Zhaojie; Wan, Shiming] Chinese Acad Sci, Inst Oceanol, Key Lab Marine Geol &amp; Environm, Qingdao 266071, Peoples R China; [Yu, Zhaojie; Colin, Christophe; Ma, Ruifang; Sepulcre, Sophie] Univ Paris Saclay, Univ Paris Sud, Lab GEOsci Paris Sud GEOPS, UMR 8148,CNRS, Batiment 504, F-91405 Orsay, France; [Wan, Shiming] Qingdao Natl Lab Marine Sci &amp; Technol, Lab Marine Geol, Qingdao 266061, Peoples R China; [Yu, Zhaojie] Chinese Acad Sci, Ctr Ocean Mega Sci, 7 Nanhai Rd, Qingdao 266071, Peoples R China; [Meynadier, Laure] Univ Paris Diderot, UMR 7154, Sorbonne Paris Cite, Inst Phys Globe Paris,Equipe Geochim &amp; Cosmochim, Paris, France; [Wu, Qiong] Hohai Univ, Coll Oceanog, Nanjing, Jiangsu, Peoples R China; [Kallel, Nejib] Univ Sfax, Fac Sci, Lab GEOGLOB, BP 802, Sfax 3038, Tunisia; [Dapoigny, Arnaud; Bassinot, Frank] Domaine CNRS, Lab Sci Climat &amp; Environm, F-91198 Gif Sur Yvette, France</t>
  </si>
  <si>
    <t>Chinese Academy of Sciences; Institute of Oceanology, CAS; Universite Paris Saclay; Universite Paris Cite; Centre National de la Recherche Scientifique (CNRS); CNRS - National Institute for Earth Sciences &amp; Astronomy (INSU); Laoshan Laboratory; Chinese Academy of Sciences; Centre National de la Recherche Scientifique (CNRS); CNRS - National Institute for Earth Sciences &amp; Astronomy (INSU); Universite Paris Cite; Hohai University; Universite de Sfax; Faculty of Sciences Sfax; CEA; Centre National de la Recherche Scientifique (CNRS); Universite Paris Saclay</t>
  </si>
  <si>
    <t>Yu, ZJ (corresponding author), Chinese Acad Sci, Inst Oceanol, Qingdao 266071, Peoples R China.</t>
  </si>
  <si>
    <t>yuzhaojie@qdio.ac.cn</t>
  </si>
  <si>
    <t>YU, ZHAOJIE/L-8930-2019; Wan, Shiming/B-4735-2011</t>
  </si>
  <si>
    <t>Wan, Shiming/0000-0001-9335-2248; Yu, Zhaojie/0000-0003-4135-9418</t>
  </si>
  <si>
    <t>National Natural Science Foundation of China [41622603, 41576034]; National Programme on Global Change and Mr-Sea Interaction [GASI-GEOGE-03]; Innovation Project of Qingdao National Laboratory for Marine Science and Technology [2016ASKJ13]; Aoshan Talents programme of Qingdao National Laboratory for Marine Science and Technology [2017ASTCP-ES01]; CAS Interdisciplinary Innovation Team, Open Fund of the Key Laboratory of Marine Geology and Environment, Chinese Academy of Sciences [MGE2018KG01]; China Scholarship Council; Labex L-IPSL; MONOPOL projects; ANR [ANR-10-LABX-0018, ANR 2011 Blanc SIMI 5-6 024 04]</t>
  </si>
  <si>
    <t>National Natural Science Foundation of China(National Natural Science Foundation of China (NSFC)); National Programme on Global Change and Mr-Sea Interaction; Innovation Project of Qingdao National Laboratory for Marine Science and Technology; Aoshan Talents programme of Qingdao National Laboratory for Marine Science and Technology; CAS Interdisciplinary Innovation Team, Open Fund of the Key Laboratory of Marine Geology and Environment, Chinese Academy of Sciences; China Scholarship Council(China Scholarship Council); Labex L-IPSL; MONOPOL projects; ANR(Agence Nationale de la Recherche (ANR))</t>
  </si>
  <si>
    <t>This work was supported by the National Natural Science Foundation of China (41622603 and 41576034), National Programme on Global Change and Mr-Sea Interaction (GASI-GEOGE-03), Innovation Project (2016ASKJ13) and Aoshan Talents programme (2017ASTCP-ES01) of Qingdao National Laboratory for Marine Science and Technology and CAS Interdisciplinary Innovation Team, Open Fund of the Key Laboratory of Marine Geology and Environment, Chinese Academy of Sciences (No. MGE2018KG01). Z. Yu acknowledges the China Scholarship Council for providing funding for his study in France. This study was supported by the Labex L-IPSL and the MONOPOL projects, which are funded by the ANR (grant nos. ANR-10-LABX-0018 and ANR 2011 Blanc SIMI 5-6 024 04).</t>
  </si>
  <si>
    <t>10.1016/j.epsl.2018.08.006</t>
  </si>
  <si>
    <t>GV0AP</t>
  </si>
  <si>
    <t>WOS:000445718700007</t>
  </si>
  <si>
    <t>Braukmüller, N; Wombacher, F; Hezel, DC; Escoube, R; Münker, C</t>
  </si>
  <si>
    <t>Braukmueller, Ninja; Wombacher, Frank; Hezel, Dominik C.; Escoube, Raphaelle; Muenker, Carsten</t>
  </si>
  <si>
    <t>The chemical composition of carbonaceous chondrites: Implications for volatile element depletion, complementarity and alteration</t>
  </si>
  <si>
    <t>Carbonaceous chondrites; Bulk chemical composition; Volatile element depletion; Sector field ICP-MS</t>
  </si>
  <si>
    <t>EARLY SOLAR-SYSTEM; PRIMITIVE METEORITES; TRACE-ELEMENTS; THERMAL METAMORPHISM; IRON-METEORITES; TAGISH LAKE; ISOTOPIC CONSTRAINTS; CHONDRULE FORMATION; AQUEOUS ALTERATION; MODAL MINERALOGY</t>
  </si>
  <si>
    <t>In Earth and planetary sciences, the chemical composition of chondritic meteorites provides an essential reference to constrain the composition and differentiation history of planetary reservoirs. Yet, for many trace elements, and in particular for volatile trace elements the composition of chondrites is not well constrained. Here we present new compositional data for carbonaceous chondrites with an emphasis on the origin of the volatile element depletion pattern. Our database includes 25 carbonaceous chondrites from 6 different groups (CI, CM, CR, CV, CO, CK), two ungrouped carbonaceous chondrites and Murchison powder samples heated up to 1000 degrees C in O-2 or Ar gas streams, respectively. A total of 51 major and trace elements were analyzed by sector field inductively coupled plasma mass spectrometry (SF-ICP-MS), using chondrite-matched calibration solutions. Our results confirm that parent body alteration and terrestrial weathering only have minor effects on the bulk chondrite compositions. Thermal metamorphism can lead to the loss of some volatile elements, as best observed in the heating experiments and two thermally overprinted chondrites Y-980115 (CI) and EET 96026 (CV4/5 or CK4/5). The effects of aqueous alteration and terrestrial weathering on the Antarctic samples are difficult to discriminate. Both processes may redistribute fluid mobile elements such as K, Na, Rb, U and the light rare earth elements (LREE) within the meteorite. In hot desert finds, the typical weathering effects are enrichments of Sr, Ba and U and a depletion of S. In general, moderately volatile elements with 50% condensation temperatures (T-c) ranging from 1250 K to 800 K show an increasing depletion, whereas 11 moderately volatile elements with 50% T-c between 800 K and 500 K are unfractionated from each other in most samples. Their extent of depletion is characteristic for the different chondrite groups. Because of this welldefined hockey stick pattern, we propose to divide the moderately volatile elements into two subgroups, the 'slope volatile elements' and the unfractionated 'plateau volatile elements' with lower T-c . Notably, the abundances of plateau volatile elements exhibit a co-variation with the matrix abundances of the respective host meteorites. Carbonaceous chondrite matrices are likely mixes of: (i) CI-like material and (ii) chondrule-related matrix. Chondrule-related matrix is expected to be depleted in volatile elements relative to CI and likely formed contemporaneously with chondrules, leading to chondrule-matrix complementarity. The addition of CI-like material only changed the absolute elemental concentrations of bulk matrix and bulk chondrite, while refractory and main component element ratios such as Mg/Si remain unaffected. Such a model can also account for the co-existence of low temperature CI-like material and high temperature chondrule and chondrule-related matrix. However, elevated volatile element abundances observed in chondrules still provide a challenge for the model as proposed here. (C) 2018 The Author(s). Published by Elsevier Ltd.</t>
  </si>
  <si>
    <t>[Braukmueller, Ninja; Wombacher, Frank; Hezel, Dominik C.; Escoube, Raphaelle; Muenker, Carsten] Univ Kol, Inst Geol &amp; Mineral, Zulpicher Str 49b, D-50674 Cologne, Germany; [Braukmueller, Ninja; Wombacher, Frank; Escoube, Raphaelle; Muenker, Carsten] Univ Bonn, Steinmann Inst Geol Mineral &amp; Palaontol, D-53115 Bonn, Germany; [Hezel, Dominik C.] Nat Hist Museum, Dept Mineral, Cromwell Rd, London SW7 5BD, England</t>
  </si>
  <si>
    <t>University of Cologne; University of Bonn; Natural History Museum London</t>
  </si>
  <si>
    <t>Braukmüller, N (corresponding author), Univ Kol, Inst Geol &amp; Mineral, Zulpicher Str 49b, D-50674 Cologne, Germany.</t>
  </si>
  <si>
    <t>n.braukmueller@uni-koeln.de</t>
  </si>
  <si>
    <t>Escoube, Raphaëlle/AAM-9138-2021; Munker, Carsten/O-7606-2015; Wombacher, Frank/L-9552-2019; Hezel, Dominik/O-5287-2015</t>
  </si>
  <si>
    <t>Wombacher, Frank/0000-0002-0755-8918; Braukmuller, Ninja/0000-0003-0750-4247; Munker, Carsten/0000-0001-6406-559X; Hezel, Dominik/0000-0002-5059-2281</t>
  </si>
  <si>
    <t>ERC [669666]; DFG [1594/4-1, SPP 1385, 50]; European Research Council (ERC) [669666] Funding Source: European Research Council (ERC)</t>
  </si>
  <si>
    <t>ERC(European Research Council (ERC)); DFG(German Research Foundation (DFG)); European Research Council (ERC)(European Research Council (ERC)Spanish Government)</t>
  </si>
  <si>
    <t>This work was supported by the ERC grant No. 669666 Infant Earth to CM and by the DFG grant 1594/4-1 related to the priority program SPP 1385 to FW. We thank M. Lagos for technical support during the ICP-MS measurements, T. Fockenberg at Ruhr-Universitat Bochum for water determinations and C. Funk for help with the preparation of calibration solutions and measurement procedures. For generously supplying the samples, the authors would like to thank: J.A. Barrat (Universite Brest), A. Bischoff (Universitat Munster), J. Schluter (Mineralogisches Museum Universitat Hamburg), E. Strub (Nuklearchemie Universitat zu Koln, A. Zacke (Mineralogisches Museum Bonn), J. Zipfel (Senckenberg Forschungsinstitut Frankfurt), Museum fur Naturkunde Berlin (MfN), Natural History Museum London (NHM), Field Museum Chicago, Smithsonian Institute, Meteorite working group (NASA) and the National Institute of Polar Research (NIPR). We thank F. Moynier for the editorial handling and B. Mahan, D. Schrader and an anonymous reviewer for their thorough and constructive comments. This is contribution #50 from the DFG funded LA-ICP-MS Lab of the Steinmann-Institut fur Geologie, Mineralogie und Palaontologie, University of Bonn.</t>
  </si>
  <si>
    <t>10.1016/j.gca.2018.07.023</t>
  </si>
  <si>
    <t>GU1PD</t>
  </si>
  <si>
    <t>WOS:000445036400002</t>
  </si>
  <si>
    <t>Vacher, LG; Marrocchi, Y; Villeneuve, J; Verdier-Paoletti, MJ; Gounelle, M</t>
  </si>
  <si>
    <t>Vacher, Lionel G.; Marrocchi, Yves; Villeneuve, Johan; Verdier-Paoletti, Maximilien J.; Gounelle, Matthieu</t>
  </si>
  <si>
    <t>Collisional and alteration history of the CM parent body</t>
  </si>
  <si>
    <t>Clasts; Calcite; Aragonite; Oxygen and carbon isotopes; Impacts; X-ray tomography</t>
  </si>
  <si>
    <t>OXYGEN ISOTOPIC COMPOSITIONS; CV CARBONACEOUS CHONDRITES; AQUEOUS ALTERATION; ANTARCTIC MICROMETEORITES; SHOCK METAMORPHISM; MODAL MINERALOGY; EARLIEST STAGES; ION MICROPROBE; CI CHONDRITES; CARBONATES</t>
  </si>
  <si>
    <t>Boriskino is a little studied CM2 chondrite composed of millimeter-sized clasts of different lithologies and degrees of alteration. Boriskino thus offers a good opportunity to better understand the preaccretionary alteration history and collisional evolution that took place on the CM parent body. The least altered lithology displays O-16-poor Type la calcite and aragonite grains (delta O-18 approximate to 30-37 parts per thousand, delta O-17 approximate to 15-18 parts per thousand and Delta O-17 approximate to -2 to 0 parts per thousand, SMOW) that precipitated early, before the establishment of the petrofabric, from a fluid whose isotopic composition was established by isotopic exchange between a poor water and O-16-rich anhydrous silicates. In contrast, the more altered lithologies exhibit O-16-rich Type 2a and veins of calcite (delta O-18 approximate to 17-23 parts per thousand, delta(1)(7)Or approximate to 6-9 parts per thousand and Delta O-1(7) approximate to 4 to -1 parts per thousand, SMOW) that precipitated after establishment of the deformation, from transported 16 0-rich fluid in preexisting fractures. From our petrographic and X-ray tomographic results, we propose that the more altered lithologies of Boriskino were subjected to high intensity impact(s) (10-30 GPa) that produced a petrofabric, fractures and chondrule flattening. Taking all our results together, we propose a scenario for the deformation and alteration history of Boriskino, in which the petrographic and isotopic differences between the lithologies are explained by their separate locations into a single CM parent body. Based on the delta C-13-delta O-18 values of the Boriskino Type 2a calcite (delta C-13 approximate to 30-71 parts per thousand, PDB), we propose an alternative delta C-13-delta O-18 model where the precipitation of Type 2a calcite can occurred in an open system environment with the escape of C-13-depleted CH4 produced from the reduction of C-bearing species by H-2 released during serpentinization or kamacite corrosion. Assuming a mean precipitation temperature of 110 degrees C, the observed delta C-13 variability in T2a calcite can be reproduced by the escape of approximate to 15-50% of dissolved carbon into CH4 by Rayleigh distillation. (C) 2018 Elsevier Ltd. All rights reserved.</t>
  </si>
  <si>
    <t>[Vacher, Lionel G.; Marrocchi, Yves; Villeneuve, Johan] Univ Lorraine, CNRS, CRPG, UMR 7358, F-54501 Vandoeuvre Les Nancy, France; [Verdier-Paoletti, Maximilien J.] Carnegie Inst Sci, Dept Terr Magnetism, 5241 Broad Branch Rd NW, Washington, DC 20015 USA; [Gounelle, Matthieu] Sorbonne Univ, CNRS, UMR 7590, IMPMC,MNHN, 57 Rue Cuvier, F-75005 Paris, France; [Gounelle, Matthieu] Inst Univ France, Maison Univ,103 Blvd St Michel, F-75005 Paris, France</t>
  </si>
  <si>
    <t>Centre National de la Recherche Scientifique (CNRS); CNRS - National Institute for Earth Sciences &amp; Astronomy (INSU); Universite de Lorraine; Carnegie Institution for Science; Centre National de la Recherche Scientifique (CNRS); Institut de Recherche pour le Developpement (IRD); Sorbonne Universite; CNRS - Institute of Physics (INP); Museum National d'Histoire Naturelle (MNHN); Universite de Bourgogne; Institut Universitaire de France</t>
  </si>
  <si>
    <t>Vacher, LG (corresponding author), Univ Lorraine, CNRS, CRPG, UMR 7358, F-54501 Vandoeuvre Les Nancy, France.</t>
  </si>
  <si>
    <t>lvacher@crpg.cnrs-nancy.fr</t>
  </si>
  <si>
    <t>; Villeneuve, Johan/P-2378-2015</t>
  </si>
  <si>
    <t>Vacher, Lionel/0000-0003-4230-6748; Villeneuve, Johan/0000-0002-9892-8530</t>
  </si>
  <si>
    <t>l'Agence Nationale de la Recherche [ANR-14-CE33-0002-01 SAPINS]</t>
  </si>
  <si>
    <t>l'Agence Nationale de la Recherche(Agence Nationale de la Recherche (ANR))</t>
  </si>
  <si>
    <t>We are very grateful to Nordine Bouden for his helpful assistance with the carbon and oxygen isotope measurements, to Patricia Wilsand the AST-RX UMS 2700 MNHN technical facilities for their technical support with the XCT analyses and to Marie-Camille Caumon for her assistance with the Raman analyses. We also thank the Museum National d'Histoire Naturelle de Paris (MNHN) for the loan of the Boriskino samples. We thanked three anonymous reviewers for helpful reviews and Gregory Herzog for careful editing. This work was funded by l'Agence Nationale de la Recherche through grant ANR-14-CE33-0002-01 SAPINS (PI Yves Marrocchi). This is a CRPG contribution#2568 And SAPINS contribution #11.</t>
  </si>
  <si>
    <t>10.1016/j.gca.2018.08.006</t>
  </si>
  <si>
    <t>WOS:000445036400013</t>
  </si>
  <si>
    <t>Elfers, BM; Sprung, P; Pfeifer, M; Wombacher, F; Peters, STM; Münker, C</t>
  </si>
  <si>
    <t>Elfers, Bo-Magnus; Sprung, Peter; Pfeifer, Markus; Wombacher, Frank; Peters, Stefan T. M.; Muenker, Carsten</t>
  </si>
  <si>
    <t>Variable distribution of s-process Hf and W isotope carriers in chondritic meteorites - Evidence from 174Hf and 180W</t>
  </si>
  <si>
    <t>p-Process; Hafnium; Tungsten; Nucleosynthetic isotope anomalies; Presolar carrier phases; Early solar system</t>
  </si>
  <si>
    <t>EARLY SOLAR-SYSTEM; SILICON-CARBIDE GRAINS; CARBONACEOUS CHONDRITES; IRON-METEORITES; LU-HF; STELLAR NUCLEOSYNTHESIS; PRIMITIVE METEORITES; INTERSTELLAR GRAINS; PRESOLAR COMPONENTS; NEUTRON-CAPTURE</t>
  </si>
  <si>
    <t>The stepwise acid digestion of primitive chondritic meteorites allows the identification of nucleosynthetic isotope anomalies that are otherwise hidden on the bulk rock scale. Here, we present combined Hf and W isotope data for acid leachates, residues, and bulk rock aliquots of several primitive chondrites that include highly precise analyses of the heavy p-process isotopes Hf-17(4) and W-180. Including data for these two p-process isotopes enables, for the first time, the clear-cut discrimination between s- and r-process contributions to the Hf and W isotope inventory. Our analyses reveal Hf and W isotopic homogeneity at the bulk rock scale, but significant Hf and W isotope anomalies that are complementary between acid leachates and residues. Since both r- to p-process isotope ratios are invariant in leachates and residues, the observed anomalies can unambiguously be tied to variable contributions of carrier phases enriched in s-process nuclides, as previously inferred for, i.e., Mo and Ru in leaching experiments. Hafnium and W isotope anomalies co-vary in leachate and residue fractions from CM chondrites, whereas CO and CV chondrites are characterized by distinctly larger Hf isotope anomalies compared to W. This observation is most likely explained by more efficient homogenization of s-process W carrier(s) or, alternatively, by local redistribution of anomalous W into secondary less resistant phases during parent body and/or nebular processing. This implies the presence of different s-nuclide carrier phases for Hf and W. Several carriers of s-process-material appear to have been selectively dissolved by our leaching protocol, while contributions from r- and p-process Hf and W carrier phases appear invariant, possibly due to the generally more labile nature of their carrier phases during solar nebula and/or parent body processing. (C) 2018 Elsevier Ltd. All rights reserved.</t>
  </si>
  <si>
    <t>[Elfers, Bo-Magnus; Sprung, Peter; Pfeifer, Markus; Wombacher, Frank; Muenker, Carsten] Univ Cologne, Inst Geol &amp; Mineral, Zulpicher Str 49b, D-50674 Cologne, Germany; [Elfers, Bo-Magnus; Sprung, Peter; Pfeifer, Markus; Wombacher, Frank; Muenker, Carsten] Steinmann Inst, Meckenheimer Allee 169, D-53115 Bonn, Germany; [Pfeifer, Markus] Univ Bristol, Sch Earth Sci, Wills Mem Bldg,Queens Rd, Bristol BS8 1RJ, Avon, England; [Peters, Stefan T. M.] Georg August Univ Gottingen, Geowissensch Zentrum, Goldschmidtstr 1, D-37077 Gottingen, Germany</t>
  </si>
  <si>
    <t>University of Cologne; University of Bonn; University of Bristol; University of Gottingen</t>
  </si>
  <si>
    <t>Elfers, BM (corresponding author), Univ Cologne, Inst Geol &amp; Mineral, Zulpicher Str 49b, D-50674 Cologne, Germany.</t>
  </si>
  <si>
    <t>elfersb@uni-koeln.de</t>
  </si>
  <si>
    <t>Wombacher, Frank/L-9552-2019; Munker, Carsten/O-7606-2015</t>
  </si>
  <si>
    <t>Wombacher, Frank/0000-0002-0755-8918; Sprung, Peter/0000-0003-4862-1415; Peters, Stefan/0000-0001-6502-8723; Munker, Carsten/0000-0001-6406-559X; Pfeifer, Markus/0000-0002-2335-8860; Elfers, Bo-Magnus/0000-0003-0548-772X</t>
  </si>
  <si>
    <t>DFG [Mu 1406/10-2/3, 34]</t>
  </si>
  <si>
    <t>DFG(German Research Foundation (DFG))</t>
  </si>
  <si>
    <t>We thank Addi Bischoff (University of Munster), Erik Strub (University of Cologne), Jutta Zipfel (Senckenberg Museum Frankfurt) and the U.S. Antarctic Meteorite Program for kindly providing meteorite samples. Bernhard Mayer, Christoph Burkhardt, Liping Qin, and the associated editor Munir Humayun are thanked for their constructive, helpful, and detailed comments. This study was financially supported through DFG grant Mu 1406/10-2/3. This manuscript is contribution no. 34 of the DFG funded ICP-MS laboratory at the Steinmann Institute for Geo-sciences, University of Bonn, Germany.</t>
  </si>
  <si>
    <t>10.1016/j.gca.2018.08.009</t>
  </si>
  <si>
    <t>WOS:000445036400020</t>
  </si>
  <si>
    <t>Das, M; Singh, RK; Vats, N; Holbourn, A; Mishra, S; Farooq, SH; Pandey, DK</t>
  </si>
  <si>
    <t>Das, Manisha; Singh, Raj K.; Vats, Nishant; Holbourn, Ann; Mishra, S.; Farooq, S. H.; Pandey, D. K.</t>
  </si>
  <si>
    <t>Changes in the distribution of Uvigerinidae species over the past 775 kyr: Implications for the paleoceanographic evolution of the Japan Sea</t>
  </si>
  <si>
    <t>Tsushima Warm Current; Middle Pleistocene Transition; Glacial-interglacial; Japan Sea; Benthic foraminifera</t>
  </si>
  <si>
    <t>BENTHIC FORAMINIFERA; INDIAN-OCEAN; EARLY PLEISTOCENE; MIDPLEISTOCENE TRANSITION; ECCENTRICITY CYCLES; WATER OXYGENATION; NORTH-ATLANTIC; LEVEL CHANGES; VARIABILITY; PRODUCTIVITY</t>
  </si>
  <si>
    <t>The distribution of benthic foraminifera of the Uvigerinidae family, which are abundant in middle to upper Pleistocene samples from the Yamoto Basin in the Japan Sea, have been analyzed quantitatively and used for paleoceanographic interpretations. Twenty-three Uvigerinidae species are reported from IODP Site U1426, 6 of which are present in at least three or more samples with 10% or more abundance and considered as dominant species. The abundance and ecological preferences of dominant Uvigerinidae species, comprised of Uvigerina mediterranea, Uvigerina yabei, Uvigerina sp.1, Uvigerina peregrina suggest dysoxic conditions, with high influx of organic matter between 775 and 475 ka in response to the enhanced flow of the Tsushima Warm Current. The end of MIS 13 marked the onset of more extreme glacial interglacial climate cycles in the Japan Sea. Glacial interglacial alternations of Uvigerina peregrina and Trifarina angulosa from 475 ka to the Holocene indicate major fluctuations in circulation and productivity within this semi-enclosed basin. Both U. peregrina and T. angulosa respond to 100 kyr variability, reflecting the paleoclimatic shift and global ice volume changes associated with the Middle Pleistocene Transition.</t>
  </si>
  <si>
    <t>[Das, Manisha; Singh, Raj K.; Vats, Nishant; Mishra, S.; Farooq, S. H.] Indian Inst Technol Bhubaneswar, Sch Earth Ocean &amp; Climate Sci, Argul 752050, Jatni, India; [Holbourn, Ann] Christian Albrechts Univ Kiel, Inst Geosci, Ludewig Meyn Str 14, D-24118 Kiel, Germany; [Pandey, D. K.] ESSO Natl Ctr Antarctic &amp; Ocean Res, Vasco Da Gama 403804, Goa, India</t>
  </si>
  <si>
    <t>Indian Institute of Technology System (IIT System); Indian Institute of Technology (IIT) - Bhubaneswar; University of Kiel; Ministry of Earth Sciences (MoES) - India; National Centre for Polar and Ocean Research (NCPOR)</t>
  </si>
  <si>
    <t>Singh, RK (corresponding author), Indian Inst Technol Bhubaneswar, Sch Earth Ocean &amp; Climate Sci, Argul 752050, Jatni, India.</t>
  </si>
  <si>
    <t>rksingh@iitbbs.ac.in</t>
  </si>
  <si>
    <t>SINGH, RAJ K./ABE-4793-2021; Pandey, Dhananjai/S-3843-2019; SINGH, RAJ K./HGE-7393-2022; Vats, Nishant/AGP-4244-2022</t>
  </si>
  <si>
    <t>SINGH, RAJ K./0000-0003-2900-7145; Pandey, Dhananjai/0000-0001-6899-8995; SINGH, RAJ K./0000-0003-2900-7145; Vats, Nishant/0000-0001-5855-9980; Holbourn, Ann/0000-0002-3167-0862; Das, Manisha/0000-0001-6906-0018</t>
  </si>
  <si>
    <t>NCAOR Goa (IODP-India) [RP-077]; IIT Bhubaneswar [SP-053]; DST; CSIR</t>
  </si>
  <si>
    <t>NCAOR Goa (IODP-India); IIT Bhubaneswar; DST(Department of Science &amp; Technology (India)); CSIR(Council of Scientific &amp; Industrial Research (CSIR) - India)</t>
  </si>
  <si>
    <t>The International Ocean Discovery Program is thankfully acknowledged for providing core samples to RKS (Request No. #4201 and 13522). RKS, NV, MD and SM acknowledge the support of NCAOR Goa (IODP-India, RP-077) and IIT Bhubaneswar (SP-053). MD acknowledge DST for INSPIRE fellowship and NV acknowledge CSIR for providing CSIR-JRF. We are grateful to the Editor Prof. Thierry Correge, and two anonymous reviewers for thoughtful reviews. We also acknowledge Editor Prof. Thomas Algeo for his constructive suggestions.</t>
  </si>
  <si>
    <t>10.1016/j.palaeo.2018.07.019</t>
  </si>
  <si>
    <t>GQ8ZO</t>
  </si>
  <si>
    <t>WOS:000442055900016</t>
  </si>
  <si>
    <t>Kim, H; Ducklow, HW; Abele, D; Barlett, EMR; Buma, AGJ; Meredith, MP; Rozema, PD; Schofield, OM; Venables, HJ; Schloss, IR</t>
  </si>
  <si>
    <t>Kim, Hyewon; Ducklow, Hugh W.; Abele, Doris; Barlett, Eduardo M. Ruiz; Buma, Anita G. J.; Meredith, Michael P.; Rozema, Patrick D.; Schofield, Oscar M.; Venables, Hugh J.; Schloss, Irene R.</t>
  </si>
  <si>
    <t>Inter-decadal variability of phytoplankton biomass along the coastal West Antarctic Peninsula (vol 376, 20180170, 2018)</t>
  </si>
  <si>
    <t>PHILOSOPHICAL TRANSACTIONS OF THE ROYAL SOCIETY A-MATHEMATICAL PHYSICAL AND ENGINEERING SCIENCES</t>
  </si>
  <si>
    <t>Rozema, Patrick D/J-9546-2016; Buma, Anita GJ/E-8372-2015</t>
  </si>
  <si>
    <t>Meredith, Michael/0000-0002-7342-7756</t>
  </si>
  <si>
    <t>NERC [bas0100033] Funding Source: UKRI</t>
  </si>
  <si>
    <t>ROYAL SOC</t>
  </si>
  <si>
    <t>6-9 CARLTON HOUSE TERRACE, LONDON SW1Y 5AG, ENGLAND</t>
  </si>
  <si>
    <t>1364-503X</t>
  </si>
  <si>
    <t>1471-2962</t>
  </si>
  <si>
    <t>PHILOS T R SOC A</t>
  </si>
  <si>
    <t>Philos. Trans. R. Soc. A-Math. Phys. Eng. Sci.</t>
  </si>
  <si>
    <t>OCT 13</t>
  </si>
  <si>
    <t>10.1098/rsta.2018.0170</t>
  </si>
  <si>
    <t>GS2UT</t>
  </si>
  <si>
    <t>WOS:000443416400012</t>
  </si>
  <si>
    <t>Hartman, JD; Bijl, PK; Sangiorgi, F</t>
  </si>
  <si>
    <t>Hartman, Julian D.; Bijl, Peter K.; Sangiorgi, Francesca</t>
  </si>
  <si>
    <t>A review of the ecological affinities of marine organic microfossils from a Holocene record offshore of Adelie Land (East Antarctica)</t>
  </si>
  <si>
    <t>JOURNAL OF MICROPALAEONTOLOGY</t>
  </si>
  <si>
    <t>WALLED DINOFLAGELLATE CYSTS; SEA-SURFACE CONDITIONS; TERRA-NOVA BAY; NON-POLLEN PALYNOMORPHS; KING-GEORGE-ISLAND; TIERRA-DEL-FUEGO; SOUTHERN-OCEAN; GYMNODINIUM-CATENATUM; ROSS SEA; ENVIRONMENTAL-CHANGE</t>
  </si>
  <si>
    <t>Integrated Ocean Drilling Program (IODP) Expedition 318 recovered a similar to 170m long Holocene organic-rich sedimentary sequence at Site U1357. Located within the narrow but deep Adelie Basin close to the Antarctic margin, the site accumulated sediments at exceptionally high sedimentation rates, which resulted in extraordinary preservation of the organic sedimentary component. Here, we present an overview of 74 different mainly marine microfossil taxa and/or types found within the organic component of the sediment, which include the remains of unicellular and higher organisms from three eukaryotic kingdoms (Chromista, Plantae, and Animalia). These remains include phytoplanktonic (phototrophic dinoflagellates and prasinophytes) and very diverse zooplanktonic (heterotrophic dinoflagellates, tintinnids, copepods) organisms. We illustrate each marine microfossil taxon or type identified by providing morphological details and photographic images, which will help with their identification in future studies. We also review their ecological preferences to aid future (palaeo) ecological and (palaeo) environmental studies. The planktonic assemblage shows a high degree of endemism related to the strong influence of the sea-ice system over Site U1357. In addition, we found the remains of various species of detritus feeders and bottom-dwelling scavengers (benthic foraminifers and annelid worms) indicative of high export productivity at Site U1357. This study shows the potential of organic microfossil remains for reconstructing past environmental conditions, such as sea-ice cover and (export) productivity.</t>
  </si>
  <si>
    <t>[Hartman, Julian D.; Bijl, Peter K.; Sangiorgi, Francesca] Univ Utrecht, Dept Earth Sci, Marine Palynol &amp; Paleoceanog, POB 80-115, NL-3508 TC Utrecht, Netherlands</t>
  </si>
  <si>
    <t>Sangiorgi, F (corresponding author), Univ Utrecht, Dept Earth Sci, Marine Palynol &amp; Paleoceanog, POB 80-115, NL-3508 TC Utrecht, Netherlands.</t>
  </si>
  <si>
    <t>f.sangiorgi@uu.nl</t>
  </si>
  <si>
    <t>Sangiorgi, Francesca/0000-0003-4233-6154; Hartman, Julian/0000-0001-6256-9989; Bijl, Peter/0000-0002-1710-4012</t>
  </si>
  <si>
    <t>NWO Netherlands Polar Program [866.10.110]; US National Science Foundation; Joined Oceanographic Institutions Inc.</t>
  </si>
  <si>
    <t>NWO Netherlands Polar Program; US National Science Foundation(National Science Foundation (NSF)); Joined Oceanographic Institutions Inc.</t>
  </si>
  <si>
    <t>Julian D. Hartman, Peter K. Bijl, and Francesca Sangiorgi acknowledge NWO Netherlands Polar Program project number 866.10.110. This research used samples from the Integrated Ocean Drilling Program (IODP). IODP was sponsored by the US National Science Foundation and participating countries under the management of Joined Oceanographic Institutions Inc. We thank Natasja Welters and Niels van Schoffelen for the preparation of part of the palynological slides. We thank Martin Head for useful discussions concerning the determination of dinoflagellate cyst species.</t>
  </si>
  <si>
    <t>0262-821X</t>
  </si>
  <si>
    <t>2041-4978</t>
  </si>
  <si>
    <t>J MICROPALAEONTOL</t>
  </si>
  <si>
    <t>J. Micropalaentol.</t>
  </si>
  <si>
    <t>OCT 11</t>
  </si>
  <si>
    <t>10.5194/jm-37-445-2018</t>
  </si>
  <si>
    <t>GW6SU</t>
  </si>
  <si>
    <t>WOS:000447092800001</t>
  </si>
  <si>
    <t>Perez, K; Aramaki, T; Hailey, CJ; Carr, R; Erjavec, T; Fuke, H; Garvin, A; Harper, C; Kewley, G; Madden, N; Mechbal, S; Rogers, F; Saffold, N; Tajiri, G; Tokuda, K; Williams, J; Yamada, M</t>
  </si>
  <si>
    <t>Perez, Kerstin; Aramaki, Tsuguo; Hailey, Charles J.; Carr, Rachel; Erjavec, Tyler; Fuke, Hideyuki; Garvin, Amani; Harper, Cassia; Kewley, Glenn; Madden, Norman; Mechbal, Sarah; Rogers, Field; Saffold, Nathan; Tajiri, Gordon; Tokuda, Katsuhiko; Williams, Jason; Yamada, Minoru</t>
  </si>
  <si>
    <t>Fabrication of low-cost, large-area prototype Si(Li) detectors for the GAPS experiment</t>
  </si>
  <si>
    <t>NUCLEAR INSTRUMENTS &amp; METHODS IN PHYSICS RESEARCH SECTION A-ACCELERATORS SPECTROMETERS DETECTORS AND ASSOCIATED EQUIPMENT</t>
  </si>
  <si>
    <t>Dark matter; Antiparticle; Antideuteron; Antiproton; Si(Li); GAPS</t>
  </si>
  <si>
    <t>DARK-MATTER SEARCH; SILICON DETECTORS; SEMICONDUCTOR DETECTOR; PGAPS EXPERIMENT; THICK; FLIGHT; ARRAY</t>
  </si>
  <si>
    <t>A Si(Li) detector fabrication procedure has been developed with the aim of satisfying the unique requirements of the GAPS (General Antiparticle Spectrometer) experiment. Si(Li) detectors are particularly well-suited to the GAPS detection scheme, in which several planes of detectors act as the target to slow and capture an incoming antiparticle into an exotic atom, as well as the spectrometer and tracker to measure the resulting decay X-rays and annihilation products. These detectors must provide the absorption depth, energy resolution, tracking efficiency, and active area necessary for this technique, all within the significant temperature, power, and cost constraints of an Antarctic long-duration balloon flight. We report here on the fabrication and performance of prototype 2 ''-diameter, 1-1.25 mm-thick, single-strip Si(Li) detectors that provide the necessary X-ray energy resolution of similar to 4 keV for a cost per unit area that is far below that of previously-acquired commercial detectors. This fabrication procedure is currently being optimized for the 4 ''-diameter, 2.5 mm-thick, multi-strip geometry that will be used for the GAPS flight detectors.</t>
  </si>
  <si>
    <t>[Perez, Kerstin; Erjavec, Tyler; Rogers, Field] MIT, Cambridge, MA 02130 USA; [Aramaki, Tsuguo] Stanford Linear Accelerator Ctr, Menlo Pk, CA 94025 USA; [Hailey, Charles J.; Carr, Rachel; Garvin, Amani; Harper, Cassia; Kewley, Glenn; Madden, Norman; Mechbal, Sarah; Saffold, Nathan; Tajiri, Gordon; Williams, Jason; Yamada, Minoru] Columbia Univ, New York, NY 10027 USA; [Fuke, Hideyuki] Japan Aerosp Explorat Agcy ISAS JAXA, Inst Space &amp; Astronaut Sci, Sagamihara, Kanagawa 2525210, Japan; [Tokuda, Katsuhiko] Shimadzu Co Ltd, Kyoto, Kyoto 6048511, Japan</t>
  </si>
  <si>
    <t>Massachusetts Institute of Technology (MIT); Stanford University; United States Department of Energy (DOE); SLAC National Accelerator Laboratory; Columbia University; Japan Aerospace Exploration Agency (JAXA); Institute of Space &amp; Astronautical Science (ISAS); Shimadzu Corporation</t>
  </si>
  <si>
    <t>Perez, K (corresponding author), MIT, Cambridge, MA 02130 USA.</t>
  </si>
  <si>
    <t>kmperez@mit.edu</t>
  </si>
  <si>
    <t>Rogers, Field/0000-0003-3791-0107; Erjavec, Tyler/0000-0002-9524-5101; Aramaki, Tsuguo/0000-0002-5104-4682</t>
  </si>
  <si>
    <t>NASA APRA grant [NNX17AB44G]; MEXT/JSPS KAKENHI grant [JP26707015, JP17H01136]; Heising-Simons Foundation [2017-243]; RCSA Cottrell College Science Award [23194]; National Science Foundation [1202958, 1122374]; NASA [1003295, NNX17AB44G] Funding Source: Federal RePORTER; Division Of Astronomical Sciences; Direct For Mathematical &amp; Physical Scien [1202958] Funding Source: National Science Foundation</t>
  </si>
  <si>
    <t>NASA APRA grant; MEXT/JSPS KAKENHI grant(Ministry of Education, Culture, Sports, Science and Technology, Japan (MEXT)Japan Society for the Promotion of ScienceGrants-in-Aid for Scientific Research (KAKENHI)); Heising-Simons Foundation; RCSA Cottrell College Science Award; National Science Foundation(National Science Foundation (NSF)); NASA(National Aeronautics &amp; Space Administration (NASA)); Division Of Astronomical Sciences; Direct For Mathematical &amp; Physical Scien(National Science Foundation (NSF)NSF - Directorate for Mathematical &amp; Physical Sciences (MPS))</t>
  </si>
  <si>
    <t>This work was supported in part by NASA APRA grant NNX17AB44G, and by MEXT/JSPS KAKENHI grants JP26707015 and JP17H01136. K. Perez receives support from the Heising-Simons Foundation (2017-243) and RCSA Cottrell College Science Award ID #23194. This material is based upon work supported by the National Science Foundation under Award No. 1202958 and through the Graduate Research Fellowship under Grant No. 1122374. We thank SUMCO Corporation for their collaboration to develop Si material specially for the GAPS experiment.</t>
  </si>
  <si>
    <t>0168-9002</t>
  </si>
  <si>
    <t>1872-9576</t>
  </si>
  <si>
    <t>NUCL INSTRUM METH A</t>
  </si>
  <si>
    <t>Nucl. Instrum. Methods Phys. Res. Sect. A-Accel. Spectrom. Dect. Assoc. Equip.</t>
  </si>
  <si>
    <t>10.1016/j.nima.2018.07.024</t>
  </si>
  <si>
    <t>Instruments &amp; Instrumentation; Nuclear Science &amp; Technology; Physics, Nuclear; Physics, Particles &amp; Fields</t>
  </si>
  <si>
    <t>Instruments &amp; Instrumentation; Nuclear Science &amp; Technology; Physics</t>
  </si>
  <si>
    <t>GT3TF</t>
  </si>
  <si>
    <t>hybrid, Green Submitted, Green Published</t>
  </si>
  <si>
    <t>WOS:000444425700002</t>
  </si>
  <si>
    <t>McHuron, EA; Schwarz, LK; Costa, DP; Mangel, M</t>
  </si>
  <si>
    <t>McHuron, Elizabeth A.; Schwarz, Lisa K.; Costa, Daniel P.; Mangel, Marc</t>
  </si>
  <si>
    <t>A state-dependent model for assessing the population consequences of disturbance on income-breeding mammals</t>
  </si>
  <si>
    <t>Stochastic Dynamic Programming; PCoD; Marine mammals; Life history; Acoustic disturbance</t>
  </si>
  <si>
    <t>CALIFORNIA SEA LION; ANTARCTIC FUR SEALS; ZALOPHUS-CALIFORNIANUS; BEHAVIORAL-RESPONSES; RATES; AGE; BIRTH; ENERGETICS; LACTATION; WHALES</t>
  </si>
  <si>
    <t>Human activities continue to expand in marine and terrestrial environments, leading to increased interactions with wildlife that can have negative impacts on population dynamics. Approaches for quantifying how these interactions translate to population-level effects are therefore crucial for effective management practices and balancing human-wildlife tradeoffs. We developed a method using state-dependent behavioral theory implemented via Stochastic Dynamic Programming (SDP) for predicting the population consequences of disturbance on the physiology and reproductive behavior of an income-breeding mammal, using California sea lions (Zalophus californianus) as a motivating species. Emergent properties of the model included reproductive characteristics associated with long-lived species, such as variation in the age at first reproduction, early termination of pregnancy, and skipped breeding. In undisturbed model simulations, reproductive rates and the average wean date were consistent with empirically-derived estimates from sea lions and other marine mammals, highlighting the utility of this model for quantifying fecundity estimates of data-deficient species and addressing fundamental ecological processes. In disturbed model simulations, exposure to prolonged, repetitive disturbances negatively impacted population growth; in addition, short, infrequent disturbances had the potential for adverse effects depending on the behavioral response of sea lions and the probability of being disturbed. The adverse effect of disturbance on population dynamics was due to a combination of reduced pup recruitment (survival to age one) resulting from a lower wean mass and increased abortion rates that led to skipped reproductive years, both of which have been documented for marine mammal populations experiencing natural fluctuations in prey availability. The derivation of state- and time-dependent reproductive decisions using an SDP model is an effective approach that links behavioral and energetic effects at the individual level to changes at the population level, and one that serves a dual purpose in the ability to quantify basic biological parameters and address ecological questions irrespective of disturbance.</t>
  </si>
  <si>
    <t>[McHuron, Elizabeth A.; Costa, Daniel P.] Univ Calif Santa Cruz, Dept Ecol &amp; Evolutionary Biol, Santa Cruz, CA 95060 USA; [Schwarz, Lisa K.; Mangel, Marc] Univ Calif Santa Cruz, Inst Marine Sci, Santa Cruz, CA 95060 USA; [Mangel, Marc] Univ Bergen, Dept Biol, N-9020 Bergen, Norway</t>
  </si>
  <si>
    <t>University of California System; University of California Santa Cruz; University of California System; University of California Santa Cruz; University of Bergen</t>
  </si>
  <si>
    <t>McHuron, EA (corresponding author), Univ Calif Santa Cruz, Dept Ecol &amp; Evolutionary Biol, Santa Cruz, CA 95060 USA.</t>
  </si>
  <si>
    <t>emchuron@ucsc.edu</t>
  </si>
  <si>
    <t>Office of Naval Research (ONR) [N00014-13-1-0314]; E &amp; P Sound and Marine Life Joint Industry Programme of the IGOP [JIP 22 07-23]</t>
  </si>
  <si>
    <t>Office of Naval Research (ONR)(Office of Naval Research); E &amp; P Sound and Marine Life Joint Industry Programme of the IGOP</t>
  </si>
  <si>
    <t>This work was supported by the Office of Naval Research (ONR) grant N00014-13-1-0314 and contract # JIP 22 07-23 from the E &amp; P Sound and Marine Life Joint Industry Programme of the IGOP to D.C. and L.S. We thank Catherine Horswill for discussion on the topic, two anonymous reviewers for their constructive comments, and Denise Greig, Tenaya Norris, and Sharon Melin for providing data used to parameterize parts of the model.</t>
  </si>
  <si>
    <t>OCT 10</t>
  </si>
  <si>
    <t>10.1016/j.ecolmodel.2018.07.016</t>
  </si>
  <si>
    <t>GR8KX</t>
  </si>
  <si>
    <t>WOS:000442973900014</t>
  </si>
  <si>
    <t>Seguinot, J; Ivy-Ochs, S; Jouvet, G; Huss, M; Funk, M; Preusser, F</t>
  </si>
  <si>
    <t>Seguinot, Julien; Ivy-Ochs, Susan; Jouvet, Guillaume; Huss, Matthias; Funk, Martin; Preusser, Frank</t>
  </si>
  <si>
    <t>Modelling last glacial cycle ice dynamics in the Alps</t>
  </si>
  <si>
    <t>END-MORAINE SYSTEM; EUROPEAN ALPS; LATE PLEISTOCENE; SWISS-ALPS; QUATERNARY GLACIATIONS; NUMERICAL SIMULATIONS; SURFACE GEOMETRY; MAXIMUM CLIMATE; ISOTOPE STAGE-3; ALPINE GLACIERS</t>
  </si>
  <si>
    <t>The European Alps, the cradle of pioneering glacial studies, are one of the regions where geological markers of past glaciations are most abundant and well-studied. Such conditions make the region ideal for testing numerical glacier models based on simplified ice flow physics against field-based reconstructions and vice versa. Here, we use the Parallel Ice Sheet Model (PISM) to model the entire last glacial cycle (120-0 ka) in the Alps, using horizontal resolutions of 2 and 1 km. Climate forcing is derived using two sources: present-day climate data from WorldClim and the ERA-Interim reanalysis; time-dependent temperature offsets from multiple palaeo-climate proxies. Among the latter, only the European Project for Ice Coring in Antarctica (EPICA) ice core record yields glaciation during marine oxygen isotope stages 4 (69-62 ka) and 2 (34-18 ka). This is spatially and temporally consistent with the geological reconstructions, while the other records used result in excessive early glacial cycle ice cover and a late Last Glacial Maximum. Despite the low variability of this Antarctic-based climate forcing, our simulation depicts a highly dynamic ice sheet, showing that Alpine glaciers may have advanced many times over the foreland during the last glacial cycle. Ice flow patterns during peak glaciation are largely governed by subglacial topography but include occasional transfluences through the mountain passes. Modelled maximum ice surface is on average 861 m higher than observed trimline elevations in the upper Rhone Valley, yet our simulation predicts little erosion at high elevation due to cold-based ice. Finally, despite the uniform climate forcing, differences in glacier catchment hypsometry produce a time-transgressive Last Glacial Maximum advance, with some glaciers reaching their modelled maximum extent as early as 27 ka and others as late as 21 ka.</t>
  </si>
  <si>
    <t>[Seguinot, Julien; Jouvet, Guillaume; Huss, Matthias; Funk, Martin] Swiss Fed Inst Technol, Lab Hydraul Hydrol &amp; Glaciol, Zurich, Switzerland; [Seguinot, Julien] Hokkaido Univ, Arctic Res Ctr, Sapporo, Hokkaido, Japan; [Ivy-Ochs, Susan] Swiss Fed Inst Technol, Lab Ion Beam Phys, Zurich, Switzerland; [Preusser, Frank] Univ Freiburg, Inst Earth &amp; Environm Sci, Freiburg, Germany</t>
  </si>
  <si>
    <t>Swiss Federal Institutes of Technology Domain; ETH Zurich; Hokkaido University; Swiss Federal Institutes of Technology Domain; ETH Zurich; University of Freiburg</t>
  </si>
  <si>
    <t>Seguinot, J (corresponding author), Swiss Fed Inst Technol, Lab Hydraul Hydrol &amp; Glaciol, Zurich, Switzerland.;Seguinot, J (corresponding author), Hokkaido Univ, Arctic Res Ctr, Sapporo, Hokkaido, Japan.</t>
  </si>
  <si>
    <t>seguinot@vaw.baug.ethz.ch</t>
  </si>
  <si>
    <t>Jouvet, Guillaume/HNC-4394-2023; Huss, Matthias/O-1399-2019; Huss, Matthias/JLL-6340-2023</t>
  </si>
  <si>
    <t>Jouvet, Guillaume/0000-0002-8546-8459; Huss, Matthias/0000-0002-2377-6923; Preusser, Frank/0000-0002-5654-1346; Seguinot, Julien/0000-0002-5315-0761</t>
  </si>
  <si>
    <t>Swiss National Science Foundation [200020-169558, 200021-153179/1]; Swiss National Science Foundation (SNF) [200021_153179, 200020_169558] Funding Source: Swiss National Science Foundation (SNF)</t>
  </si>
  <si>
    <t>Swiss National Science Foundation(Swiss National Science Foundation (SNSF)); Swiss National Science Foundation (SNF)(Swiss National Science Foundation (SNSF))</t>
  </si>
  <si>
    <t>We are very thankful to Constantine Khroulev, Ed Bueler, and Andy Aschwanden for providing constant help and development with PISM, in particular with recent issues with the computation of ice temperature (Github issue no. 371) and with the computation of bedrock deformation (Github issues no. 370 and 377). We are equally thankful to three anonymous reviewers, Giovanni Monagato, and the editor Andreas Vieli for their meticulous readings and constructive inputs during peer-review. We thank Marc Luetscher for an insightful discussion of preliminary results during the EGU General Assembly 2017. The experimental design and article layout used here are based on previous work which received much guidance from Irina Rogozhina and Arjen P. Stroeven. The current work was supported by the Swiss National Science Foundation grants no. 200020-169558 and 200021-153179/1 to Martin Funk. Computer resources were provided by the Swiss National Supercomputing Centre (CSCS) allocations no. s573 and sm13 to Julien Seguinot.</t>
  </si>
  <si>
    <t>10.5194/tc-12-3265-2018</t>
  </si>
  <si>
    <t>GW4MQ</t>
  </si>
  <si>
    <t>WOS:000446889200001</t>
  </si>
  <si>
    <t>Lotti, M; Brocca, S; Mangiagalli, M; Pischedda, A; Orlando, M; Maione, S; De Pascale, D; Pucciarelli, S; Nardini, M; Braslavsky, I</t>
  </si>
  <si>
    <t>Lotti, M.; Brocca, S.; Mangiagalli, M.; Pischedda, A.; Orlando, M.; Maione, S.; De Pascale, D.; Pucciarelli, S.; Nardini, M.; Braslavsky, I.</t>
  </si>
  <si>
    <t>Enzymes and ice binding proteins from Antarctic organisms</t>
  </si>
  <si>
    <t>NEW BIOTECHNOLOGY</t>
  </si>
  <si>
    <t>[Lotti, M.; Brocca, S.; Mangiagalli, M.; Pischedda, A.; Orlando, M.; Maione, S.] Univ Milano Bicocca, Dept Biotechnol &amp; Biosci, Milan, Italy; [De Pascale, D.] CNR, Inst Prot Biochem, Naples, Italy; [Pucciarelli, S.] Univ Camerino, Sch Biosci &amp; Vet Med, Camerino, Italy; [Nardini, M.] Univ Milan, Dept Biosci, Milan, Italy; [Braslavsky, I.] Hebrew Univ Jerusalem, Robert H Smith Fac Agr Food &amp; Environm, Inst Biochem Food Sci &amp; Nutr, Rehovot, Israel</t>
  </si>
  <si>
    <t>University of Milano-Bicocca; Consiglio Nazionale delle Ricerche (CNR); Istituto di Biochimica delle Proteine (IBP-CNR); University of Camerino; University of Milan; Hebrew University of Jerusalem</t>
  </si>
  <si>
    <t>Braslavsky, Ido/O-1859-2013; Brocca, Stefania/AAE-1299-2021; MANGIAGALLI, MARCO/Q-9988-2018</t>
  </si>
  <si>
    <t>MANGIAGALLI, MARCO/0000-0001-8211-165X</t>
  </si>
  <si>
    <t>Progetto Nazionale di Ricerche in Antartide PEA 2014-2016 Genome scanning and characterization of novel antifreeze proteins for industrial application; RISE MSCA Project Advanced bioinformatics for genome and metagenome analyses and discovery of novel biocatalysts from extremophiles: implications for improving industrial bioprocesses (MeTable)</t>
  </si>
  <si>
    <t>This work was supported by the Progetto Nazionale di Ricerche in Antartide PEA 2014-2016 Genome scanning and characterization of novel antifreeze proteins for industrial application and by the RISE MSCA Project Advanced bioinformatics for genome and metagenome analyses and discovery of novel biocatalysts from extremophiles: implications for improving industrial bioprocesses (MeTable).</t>
  </si>
  <si>
    <t>1871-6784</t>
  </si>
  <si>
    <t>1876-4347</t>
  </si>
  <si>
    <t>NEW BIOTECHNOL</t>
  </si>
  <si>
    <t>New Biotech.</t>
  </si>
  <si>
    <t>O16-2</t>
  </si>
  <si>
    <t>S43</t>
  </si>
  <si>
    <t>S44</t>
  </si>
  <si>
    <t>10.1016/j.nbt.2018.05.091</t>
  </si>
  <si>
    <t>Biochemical Research Methods; Biotechnology &amp; Applied Microbiology</t>
  </si>
  <si>
    <t>Biochemistry &amp; Molecular Biology; Biotechnology &amp; Applied Microbiology</t>
  </si>
  <si>
    <t>GU3RH</t>
  </si>
  <si>
    <t>WOS:000445196500097</t>
  </si>
  <si>
    <t>Breakpoint lead-lag analysis of the last deglacial climate change and atmospheric CO2 concentration on global and hemispheric scales</t>
  </si>
  <si>
    <t>Paleoclimatic database; Trend analysis; Rampfit; Breakfit; Ice age termination</t>
  </si>
  <si>
    <t>ICE CORE; GLACIAL MAXIMUM; SOUTHERN-OCEAN; SEA-LEVEL; ANTARCTIC TEMPERATURE; CARBON-CYCLE; CIRCULATION; RECORD; DRIVEN; VARIABILITY</t>
  </si>
  <si>
    <t>Antarctic ice core records show that climate change and atmospheric CO2 concentration (aCO(2)) are closely related over the past 800 thousand years. However, the interpretation of their sequential, and hence the causal relationship has long been controversial. In this study, we revisit this long-standing scientific issue based on 88 well-dated high-resolution climate proxy records derived from ice cores, marine deposits, and stalagmites. We composite global and hemispheric stacks of the last deglacial climate index (DCI) using a normalization scheme instead of a more conventional area-weighting and mixing scheme to enable a better detection of temporal variations. Rampfit and Breakfit techniques are employed to detect the trend transitions in each composited DCI series and in the recently constructed centennial-scale aCO(2) over the period from 22 to 9 thousand years before present. We detect a clear lead of DCI change over aCO(2) variation on both global and hemispheric scales at the early stage of the deglaciation, suggesting that the variation of aCO(2) is an internal feedback in Earth's climate system rather than an initial trigger of the last deglacial warming. During the periods of the Bolling-Allerod and the Younger Dryas, the climate system appeared to have been constrained by a fast coupling mechanism between climate change and aCO(2) with no obvious asynchrony. The northern and southern hemispheric DCI stacks exhibit a seesawing pattern that can be linked to the influences of Atlantic meridional overturning circulation (AMOC) strength, revealing an important role of AMOC in regulating the global climate in the course of the last deglaciation.</t>
  </si>
  <si>
    <t>[Liu, Zhi; Huang, Shaopeng; Jin, Zhangdong] Xi An Jiao Tong Univ, Sch Human Settlements &amp; Civil Engn, Xian 710049, Shaanxi, Peoples R China; [Huang, Shaopeng] Univ Michigan, Dept Earth &amp; Environm Sci, Ann Arbor, MI 48109 USA; [Jin, Zhangdong] Chinese Acad Sci, Inst Earth Environm, State Key Lab Loess &amp; Quaternary Geol, Xian 710075, Shaanxi, Peoples R China</t>
  </si>
  <si>
    <t>Xi'an Jiaotong University; University of Michigan System; University of Michigan; Chinese Academy of Sciences; Institute of Earth Environment, CAS</t>
  </si>
  <si>
    <t>We would like to express our sincere appreciation to all the researchers who made available of the data used in this study. This work was supported by the Open Fund (SKLLQGZR1701) from the State Key Laboratory of Loess and Quaternary Geology, Institute of Earth Environment, Chinese Academy of Sciences. The authors are grateful to the editor and two anonymous reviewers for their comments that help improve the quality of this paper. Wentao Duan and Yali Yang are acknowledged for their assistance.</t>
  </si>
  <si>
    <t>10.1016/j.quaint.2018.05.021</t>
  </si>
  <si>
    <t>GQ2XW</t>
  </si>
  <si>
    <t>WOS:000441524200006</t>
  </si>
  <si>
    <t>Morison, MQ; Macrae, ML; Petrone, RM; Fishback, L</t>
  </si>
  <si>
    <t>Morison, Matthew Q.; Macrae, Merrin L.; Petrone, Richard M.; Fishback, LeeAnn</t>
  </si>
  <si>
    <t>Climate-induced changes in nutrient transformations across landscape units in a thermokarst subarctic peatland</t>
  </si>
  <si>
    <t>Nitrogen; phosphorus; nutrient cycling; peatland; thermokarst</t>
  </si>
  <si>
    <t>NET NITROGEN MINERALIZATION; WATER-TABLE HEIGHT; PHOSPHORUS MINERALIZATION; PERMAFROST CARBON; PLANT-GROWTH; HUDSON-BAY; DYNAMICS; SOIL; TUNDRA; FENS</t>
  </si>
  <si>
    <t>Across the circumpolar north, the degradation of permafrost has resulted in an increase in the extent of thermokarst landforms. Within thermally disturbed ecosystems, climatically driven changes to hydrology and temperature regimes have the potential to modify nutrient cycling processes. To assess the impacts of changing moisture and thermal conditions on the mineralization of nutrients in the Hudson Bay Lowlands, subarctic Canada, soil cores were extracted along gradients of moisture and topographic position (peat plateaus, sedge lawns, channel fens, and thermokarst collapse scars). Soil subsamples were then subjected to a factorial design of temperature (4 degrees C, 12 degrees C, and 20 degrees C) and moisture treatments (saturated, field moist, and air dried) in oxic conditions for three weeks. Nitrogen transformation rates were highly variable across landscape units (ranging from -1 to 96 mu g N-NO3- and from -53 to 73 mu g N-NH4+ g(-1) dry soil for the incubation period). Shoreline collapse scar material showed the greatest potential for nitrification, with rates two orders of magnitude higher than other landscape positions, under warm (20 degrees C) and saturated conditions. This work shows the potential of increased plant-available nitrate for rapid vegetative colonization of thermokarst collapse scars, and provides novel insight into nutrient cycling processes in permafrost peatland landscapes.</t>
  </si>
  <si>
    <t>[Morison, Matthew Q.; Macrae, Merrin L.; Petrone, Richard M.] Univ Waterloo, Dept Geog, Waterloo, ON, Canada; [Fishback, LeeAnn] Churchill Northern Studies Ctr, Churchill, MB, Canada</t>
  </si>
  <si>
    <t>University of Waterloo</t>
  </si>
  <si>
    <t>Morison, MQ (corresponding author), Univ Waterloo, Dept Geog, Waterloo, ON, Canada.</t>
  </si>
  <si>
    <t>mmorison@uwaterloo.ca</t>
  </si>
  <si>
    <t>Morison, Matthew/0000-0002-5989-7559; Macrae, Merrin/0000-0003-3296-3103</t>
  </si>
  <si>
    <t>Natural Sciences and Engineering Research Council; Natural Sciences and Engineering Research Council Northern Supplement; Northern Scientific Training Program</t>
  </si>
  <si>
    <t>Natural Sciences and Engineering Research Council(Natural Sciences and Engineering Research Council of Canada (NSERC)); Natural Sciences and Engineering Research Council Northern Supplement; Northern Scientific Training Program</t>
  </si>
  <si>
    <t>The funding for this research came from Natural Sciences and Engineering Research Council Discovery Grants (Macrae, Petrone), Natural Sciences and Engineering Research Council Northern Supplement (Petrone), and the Northern Scientific Training Program.</t>
  </si>
  <si>
    <t>OCT 9</t>
  </si>
  <si>
    <t>e1519366</t>
  </si>
  <si>
    <t>10.1080/15230430.2018.1519366</t>
  </si>
  <si>
    <t>GX9ML</t>
  </si>
  <si>
    <t>WOS:000448128200001</t>
  </si>
  <si>
    <t>Reese, R; Winkelmann, R; Gudmundsson, GH</t>
  </si>
  <si>
    <t>Reese, Ronja; Winkelmann, Ricarda; Gudmundsson, G. Hilmar</t>
  </si>
  <si>
    <t>Grounding-line flux formula applied as a flux condition in numerical simulations fails for buttressed Antarctic ice streams</t>
  </si>
  <si>
    <t>SEA-LEVEL RISE; SHEET MODELS; SHELF; FLOW; RESOLUTION; DYNAMICS; MISMIP; SENSITIVITY; STABILITY; DISCHARGE</t>
  </si>
  <si>
    <t>Currently, several large-scale ice-flow models impose a condition on ice flux across grounding lines using an analytically motivated parameterisation of grounding-line flux. It has been suggested that employing this analytical expression alleviates the need for highly resolved computational domains around grounding lines of marine ice sheets. While the analytical flux formula is expected to be accurate in an unbuttressed flow-line setting, its validity has hitherto not been assessed for complex and realistic geometries such as those of the Antarctic Ice Sheet. Here the accuracy of this analytical flux formula is tested against an optimised ice flow model that uses a highly resolved computational mesh around the Antarctic grounding lines. We find that when applied to the Antarctic Ice Sheet the analytical expression provides inaccurate estimates of ice fluxes for almost all grounding lines. Furthermore, in many instances direct application of the analytical formula gives rise to unphysical complex-valued ice fluxes. We conclude that grounding lines of the Antarctic Ice Sheet are, in general, too highly buttressed for the analytical parameterisation to be of practical value for the calculation of grounding-line fluxes.</t>
  </si>
  <si>
    <t>[Reese, Ronja; Winkelmann, Ricarda] Potsdam Inst Climate Impact Res PIK, Leibniz Assoc, POB 60 12 03, D-14412 Potsdam, Germany; [Reese, Ronja; Winkelmann, Ricarda] Univ Potsdam, Inst Phys &amp; Astron, Karl Liebknecht Str 24-25, D-14476 Potsdam, Germany; [Gudmundsson, G. Hilmar] Northumbria Univ, Dept Geog &amp; Environm Sci, Newcastle Upon Tyne NE1 8ST, Tyne &amp; Wear, England</t>
  </si>
  <si>
    <t>Potsdam Institut fur Klimafolgenforschung; University of Potsdam; Northumbria University</t>
  </si>
  <si>
    <t>Winkelmann, R (corresponding author), Potsdam Inst Climate Impact Res PIK, Leibniz Assoc, POB 60 12 03, D-14412 Potsdam, Germany.;Winkelmann, R (corresponding author), Univ Potsdam, Inst Phys &amp; Astron, Karl Liebknecht Str 24-25, D-14476 Potsdam, Germany.</t>
  </si>
  <si>
    <t>ricarda.winkelmann@pik-potsdam.de</t>
  </si>
  <si>
    <t>Gudmundsson, Gudmundur Hilmar/0000-0003-4236-5369; Reese, Ronja/0000-0001-7625-040X</t>
  </si>
  <si>
    <t>COMNAP Antarctic Research Fellowship; German Academic National Foundation; postgraduate scholarship programme of the state of Brandenburg; Evangelisches Studienwerk Villigst; NERC [NE/R000719/1] Funding Source: UKRI</t>
  </si>
  <si>
    <t>COMNAP Antarctic Research Fellowship; German Academic National Foundation; postgraduate scholarship programme of the state of Brandenburg; Evangelisches Studienwerk Villigst; NERC(UK Research &amp; Innovation (UKRI)Natural Environment Research Council (NERC))</t>
  </si>
  <si>
    <t>We would like to thank Christian Schoof, the anonymous reviewer and the editor Olivier Gagliardini for their helpful comments on the manuscript. Ronja Reese was supported by the COMNAP Antarctic Research Fellowship 2016-2017, the German Academic National Foundation, the postgraduate scholarship programme of the state of Brandenburg and the Evangelisches Studienwerk Villigst.</t>
  </si>
  <si>
    <t>10.5194/tc-12-3229-2018</t>
  </si>
  <si>
    <t>GW3NT</t>
  </si>
  <si>
    <t>WOS:000446812700002</t>
  </si>
  <si>
    <t>Hebel, I; Rüdinger, MCD; Jaña, RA; Bastias, J</t>
  </si>
  <si>
    <t>Hebel, Ingrid; Ruedinger, Maria Carmen Dacasa; Jana, Ricardo A.; Bastias, Joaquin</t>
  </si>
  <si>
    <t>Genetic Structure and Gene Flow of Moss Sanionia uncinata (Hedw.) Loeske in Maritime Antarctica and Southern-Patagonia</t>
  </si>
  <si>
    <t>gametophytes; ancestral origin; genetic diversity; fine-scale; HYSPLIT</t>
  </si>
  <si>
    <t>REGIONAL BRYOPHYTE RECORDS; VICTORIA LAND; BRYUM-ARGENTEUM; HENNEDIELLA-HEIMII; SHETLAND-ISLANDS; RAPD ANALYSIS; ROSS ISLAND; DISPERSAL; DIVERSITY; POPULATIONS</t>
  </si>
  <si>
    <t>Bryophytes are a major component of vegetation in ice-free coastal regions of Antarctica. Sanionia uncinata (Hedw.) Loeske is distributed from northern and central Maritime Antarctica to Marguerite Bay in the southern part of this biome where it occurs sparsely. Production of sporophytes is rare for S. uncinata in Antarctica, thus a high level of genetic uniformity among populations is expected (Lewis Smith, 1984). Several ice advances and retreats events in last thousands of years in Patagonia and Antarctica could have driven different processes of speciation at fine scale or triggered genetic differentiation among populations, leading to unique genetic populations. A few studies have analyzed the genetic structure of mosses in Antarctica, but none in Maritime Antarctica or in the nearby zones such as southern Patagonia. Based on Amplified Fragment Length Polymorphism (AFLP) and grouping analysis, we determined levels of intra/and inter-population genetic diversity of S. uncinata in sites of this region. The results revealed that gene diversity within populations was low and that populations did not have significant genetic differentiation. Also, no correlation was found between genetic variability and geographic distance (R-2 = 0.031). However, we distinguished two groups of populations. One of them clustered populations with low values of genetic diversity. The other one was made out of populations showing much higher genetic diversity. Cluster 1 was the most geographically widely distributed covering populations from northern part of southern Patagonia to southern part of studied populations in Maritime Antarctica. Cluster 2 had the highest level of polymorphism, but spatially is very restricted to four populations in the Maritime Antarctica and southern Patagonia. We found substructures in some populations of the Maritime Antarctica such as in the Coppermine, Byers and Suffield populations. The underlying causes of this subdivision could be the asexual reproduction and significant abiotic factor affecting the presence of this moss species, but also the autoecious condition of this species. The importance of results is the concept of genetic connectivity among bioregions of South Patagonia and Antarctica suggesting additionally this interaction may have occurred repeatedly after the LGM, resulting in the vegetation that grows in Antarctica today.</t>
  </si>
  <si>
    <t>[Hebel, Ingrid] Univ Magallanes, Dept Agr &amp; Aquiculture, Plant Biotechnol Lab, Punta Arenas, Chile; [Ruedinger, Maria Carmen Dacasa] Publ Enterprise Sachsenforst, Wood &amp; Forestry Competence Ctr, Forest Genet &amp; Forest Plant Breeding, Pirna, Germany; [Jana, Ricardo A.] Chilean Antarctic Inst, Dept Sci, Punta Arenas, Chile; [Bastias, Joaquin] Univ Chile, Dept Geol, Santiago, Chile; [Bastias, Joaquin] Univ Geneva, Dept Earth Sci, Geneva, Switzerland</t>
  </si>
  <si>
    <t>Universidad de Magallanes; Universidad de Chile; University of Geneva</t>
  </si>
  <si>
    <t>Hebel, I (corresponding author), Univ Magallanes, Dept Agr &amp; Aquiculture, Plant Biotechnol Lab, Punta Arenas, Chile.</t>
  </si>
  <si>
    <t>ingrid.hebel@umag.cl</t>
  </si>
  <si>
    <t>Jaña, Ricardo/AAR-1225-2020; Bastias, Joaquin/A-6995-2016; Hebel, Ingrid/AAN-2278-2020</t>
  </si>
  <si>
    <t>Jaña, Ricardo/0000-0003-3319-1168; Bastias, Joaquin/0000-0001-6678-3173; Hebel, Ingrid/0000-0002-3253-1928</t>
  </si>
  <si>
    <t>CONICYT-Programa de Investigacion Asociativa, PIA (Anillos Antarticos) [ACT-105]; Project BMBF-Conicyt Responses of Glaciers, Biosphere and Hydrology to climate variability across the Southern Andes (GABY-VASA); Programa de Mejoramiento Institucional PMI MAG 1203 Gaia-Antartica; [T_17-09]</t>
  </si>
  <si>
    <t>CONICYT-Programa de Investigacion Asociativa, PIA (Anillos Antarticos); Project BMBF-Conicyt Responses of Glaciers, Biosphere and Hydrology to climate variability across the Southern Andes (GABY-VASA); Programa de Mejoramiento Institucional PMI MAG 1203 Gaia-Antartica;</t>
  </si>
  <si>
    <t>Project T_17-09 (INACH). Project ACT-105, CONICYT-Programa de Investigacion Asociativa, PIA (Anillos Antarticos). Project BMBF-Conicyt Responses of Glaciers, Biosphere and Hydrology to climate variability across the Southern Andes (GABY-VASA). Programa de Mejoramiento Institucional PMI MAG 1203 Gaia-Antartica.</t>
  </si>
  <si>
    <t>10.3389/fevo.2018.00152</t>
  </si>
  <si>
    <t>HC6WN</t>
  </si>
  <si>
    <t>WOS:000451942500001</t>
  </si>
  <si>
    <t>Dewaele, L; Lambert, O; Louwye, S</t>
  </si>
  <si>
    <t>Dewaele, Leonard; Lambert, Olivier; Louwye, Stephen</t>
  </si>
  <si>
    <t>A late surviving Pliocene seal from high latitudes of the North Atlantic realm: the latest monachine seal on the southern margin of the North Sea</t>
  </si>
  <si>
    <t>Mammalia; Phocidae; Monachinae; Pliocene; North Atlantic; North Sea</t>
  </si>
  <si>
    <t>MIDDLE MIOCENE; LATE NEOGENE; PART II; CARNIVORA; PHOCIDAE; EVOLUTION; NETHERLANDS; PARATETHYS; HEMISPHERE; PHYLOGENY</t>
  </si>
  <si>
    <t>Background. The family of true seals, the Phocidae, is subdivided into two subfamilies: the southern Monachinae, and the northern Phocinae, following the subfamilies' current distribution: extant Monachinae are largely restricted to the (sub-)Antarctic and the eastern Pacific, with historical distributions of the monk seals of the genus Monachus in the Caribbean, the Mediterranean and around Hawaii; and Phocinae to the northern temperate and Arctic zones. However, the fossil record shows that Monachinae were common in the North Atlantic realm during the late Miocene and early Pliocene. Until now, only one late Pliocene record is known from the Mediterranean, Pliophoca etrusca from Tuscany, Italy, but none from farther north in the North Atlantic. Methods. We present the description of one partial phocid humerus collected in the early 20th century from the Antwerp area (Belgium), with an assessment of its stratigraphic origin using data from the literature. Results. The studied humerus was recovered during construction works at the former Lefevre dock in the Antwerp harbour (currently part of the America dock). Combining the information associated to the specimen with data from the literature and from local boreholes, the upper Pliocene Lillo Formation is ascertained as the lithological unit from which the specimen originates. Morphologically, among other features the shape of the deltopectoral crest and the poor development of the supinator crest indicates a monachine attribution for this specimen. The development of the deltopectoral crest is closer to the condition in extant Monachinae than in extinct Monachinae. Discussion. The presented specimen most likely represents a monachine seal and a literature study clearly shows that it came from the latest early to late Pliocene Lillo Formation. This would be the first known monachine specimen from the latest early to late Pliocene of the North Sea, and more broadly from the northern part of the North Atlantic realm. This humerus differs from the humerus of P. etrusca and suggests a higher diversity of Monachinae in the latest early to late Pliocene than previously assumed.</t>
  </si>
  <si>
    <t>[Dewaele, Leonard; Lambert, Olivier] Royal Belgian Inst Nat Sci, Earth &amp; Hist Life, Brussels, Belgium; [Dewaele, Leonard; Louwye, Stephen] Univ Ghent, Dept Geol, Ghent, Belgium</t>
  </si>
  <si>
    <t>Royal Belgian Institute of Natural Sciences; Ghent University</t>
  </si>
  <si>
    <t>Dewaele, L (corresponding author), Royal Belgian Inst Nat Sci, Earth &amp; Hist Life, Brussels, Belgium.;Dewaele, L (corresponding author), Univ Ghent, Dept Geol, Ghent, Belgium.</t>
  </si>
  <si>
    <t>leonard.dewaele@ugent.be</t>
  </si>
  <si>
    <t>Lambert, Olivier/AEN-2469-2022; Louwye, Stephen/D-3856-2012</t>
  </si>
  <si>
    <t>Lambert, Olivier/0000-0003-0740-5791; Dewaele, Leonard/0000-0003-1188-2515; Louwye, Stephen/0000-0003-4814-4313</t>
  </si>
  <si>
    <t>Research Foundation-Flanders (FWO) [11V9117N]</t>
  </si>
  <si>
    <t>Research Foundation-Flanders (FWO)(FWO)</t>
  </si>
  <si>
    <t>Leonard Dewaele was financially supported by the Research Foundation-Flanders (FWO) through an FWO PhD Fellowship (No. 11V9117N). The funders had no role in study design, data collection and analysis, decision to publish, or preparation of the manuscript.</t>
  </si>
  <si>
    <t>e5734</t>
  </si>
  <si>
    <t>10.7717/peerj.5734</t>
  </si>
  <si>
    <t>GW8GX</t>
  </si>
  <si>
    <t>WOS:000447214700005</t>
  </si>
  <si>
    <t>Landais, A; Capron, E; Masson-Delmotte, V; Toucanne, S; Rhodes, R; Popp, T; Vinther, B; Minster, B; Prié, F</t>
  </si>
  <si>
    <t>Landais, Amaelle; Capron, Emilie; Masson-Delmotte, Valerie; Toucanne, Samuel; Rhodes, Rachael; Popp, Trevor; Vinther, Bo; Minster, Benedicte; Prie, Frederic</t>
  </si>
  <si>
    <t>Ice core evidence for decoupling between midlatitude atmospheric water cycle and Greenland temperature during the last deglaciation</t>
  </si>
  <si>
    <t>ABRUPT CLIMATE-CHANGE; DEUTERIUM-EXCESS; ANTARCTIC ICE; SEA-ICE; ISOTOPIC COMPOSITION; CHRONOLOGY AICC2012; SHEET INSTABILITY; VARIABILITY; PRECIPITATION; MOISTURE</t>
  </si>
  <si>
    <t>The last deglaciation represents the most recent example of natural global warming associated with largescale climate changes. In addition to the long-term global temperature increase, the last deglaciation onset is punctuated by a sequence of abrupt changes in the Northern Hemisphere. Such interplay between orbital-and millennial-scale variability is widely documented in paleoclimatic records but the underlying mechanisms are not fully understood. Limitations arise from the difficulty in constraining the sequence of events between external forcing, high-and low-latitude climate, and environmental changes. Greenland ice cores provide sub-decadal-scale records across the last deglaciation and contain fingerprints of climate variations occurring in different regions of the Northern Hemisphere. Here, we combine new ice d-excess and O-17-excess records, tracing changes in the midlatitudes, with ice delta O-18 records of polar climate. Within Heinrich Stadial 1, we demonstrate a decoupling between climatic conditions in Greenland and those of the lower latitudes. While Greenland temperature remains mostly stable from 17.5 to 14.7 ka, significant change in the midlatitudes of the northern Atlantic takes place at similar to 16:2 ka, associated with warmer and wetter conditions of Greenland moisture sources. We show that this climate modification is coincident with abrupt changes in atmospheric CO2 and CH4 concentrations recorded in an Antarctic ice core. Our coherent ice core chronological framework and comparison with other paleoclimate records suggests a mechanism involving two-step freshwater fluxes in the North Atlantic associated with a southward shift of the Intertropical Convergence Zone.</t>
  </si>
  <si>
    <t>[Landais, Amaelle; Masson-Delmotte, Valerie; Minster, Benedicte; Prie, Frederic] CEA CNRS UVSQ UPS, Lab Sci Climat &amp; Environm, IPSL, UMR 8212, Gif Sur Yvette, France; [Capron, Emilie; Popp, Trevor; Vinther, Bo] Univ Copenhagen, Ctr Ice &amp; Climate, Niels Bohr Inst, Juliane Maries Vej 30, DK-2900 Copenhagen, Denmark; [Capron, Emilie] British Antarctic Survey, Madingley Rd, Cambridge CB3 0ET, England; [Toucanne, Samuel] IFREMER, Lab Geophys &amp; Enregistrement Sedimentaire, CS 10070, F-29280 Plouzane, France; [Rhodes, Rachael] Univ Cambridge, Dept Earth Sci, Downing St, Cambridge CB2 3EQ, England</t>
  </si>
  <si>
    <t>CEA; Centre National de la Recherche Scientifique (CNRS); Universite Paris Saclay; CNRS - National Institute for Earth Sciences &amp; Astronomy (INSU); Universite Paris Cite; University of Copenhagen; Niels Bohr Institute; UK Research &amp; Innovation (UKRI); Natural Environment Research Council (NERC); NERC British Antarctic Survey; Ifremer; University of Cambridge</t>
  </si>
  <si>
    <t>Landais, A (corresponding author), CEA CNRS UVSQ UPS, Lab Sci Climat &amp; Environm, IPSL, UMR 8212, Gif Sur Yvette, France.</t>
  </si>
  <si>
    <t>amaelle.landais@lsce.ipsl.fr</t>
  </si>
  <si>
    <t>Masson-Delmotte, Valerie L/G-1995-2011; Capron, Emilie/ITU-2672-2023; Toucanne, Samuel/H-3437-2011</t>
  </si>
  <si>
    <t>Masson-Delmotte, Valerie L/0000-0001-8296-381X; LANDAIS, Amaelle/0000-0002-5620-5465; Vinther, Bo/0000-0002-6078-771X; Toucanne, Samuel/0000-0002-4858-8953; Rhodes, Rachael/0000-0001-7511-1969</t>
  </si>
  <si>
    <t>European Research Council under the European Union's Seventh Framework Programme (FP7, 2007-2013) RC agreement [306045]; European Union's Seventh Framework Programme for research and innovation under Marie Sklodowska-Curie grant [600207]; European Commission Horizon 2020 Marie Sklodowska-Curie Individual Fellowship [658120]; NERC [bas0100034] Funding Source: UKRI; Marie Curie Actions (MSCA) [658120] Funding Source: Marie Curie Actions (MSCA)</t>
  </si>
  <si>
    <t>European Research Council under the European Union's Seventh Framework Programme (FP7, 2007-2013) RC agreement; European Union's Seventh Framework Programme for research and innovation under Marie Sklodowska-Curie grant; European Commission Horizon 2020 Marie Sklodowska-Curie Individual Fellowship; NERC(UK Research &amp; Innovation (UKRI)Natural Environment Research Council (NERC)); Marie Curie Actions (MSCA)(Marie Curie Actions)</t>
  </si>
  <si>
    <t>The research leading to these results has received funding from the European Research Council under the European Union's Seventh Framework Programme (FP7, 2007-2013) RC agreement number 306045. Emilie Capron is funded by the European Union's Seventh Framework Programme for research and innovation under Marie Sklodowska-Curie grant agreement no. 600207. Rachael H. Rhodes received funding from a European Commission Horizon 2020 Marie Sklodowska-Curie Individual Fellowship (no. 658120, SEADOG). We thank Myriam Guillevic and Jean Jouzel for very useful discussions as well as Christo Buizert and an anonymous reviewer for very useful comments.</t>
  </si>
  <si>
    <t>OCT 8</t>
  </si>
  <si>
    <t>10.5194/cp-14-1405-2018</t>
  </si>
  <si>
    <t>GW2BJ</t>
  </si>
  <si>
    <t>WOS:000446686900001</t>
  </si>
  <si>
    <t>Sierra-Almeida, A; Cavieres, LA; Bravo, LA</t>
  </si>
  <si>
    <t>Sierra-Almeida, Angela; Cavieres, Lohengrin A.; Bravo, Leon A.</t>
  </si>
  <si>
    <t>Warmer Temperatures Affect the in situ Freezing Resistance of the Antarctic Vascular Plants</t>
  </si>
  <si>
    <t>FRONTIERS IN PLANT SCIENCE</t>
  </si>
  <si>
    <t>Antarctica; climate change; Colobanthus quitensis; Deschampsia antarctica; freezing events; LT50; photoinactivation; warming</t>
  </si>
  <si>
    <t>OPEN-TOP CHAMBERS; KING GEORGE ISLAND; CLIMATE-CHANGE; DESCHAMPSIA-ANTARCTICA; FROST-RESISTANCE; COLD RESISTANCE; COLOBANTHUS-QUITENSIS; LEAF TEMPERATURES; SNOW COVER; PENINSULA</t>
  </si>
  <si>
    <t>Although positive effects on growth and reproduction of Antarctic vascular plants have been reported under warmer temperatures, it could also increase the vulnerability of these plants to freezing. Thus, we assessed in situ whether warming decreases the freezing resistance of Colobanthus quitensis and Deschampsia antarctica, and we compared the level and mechanism of freezing resistance of these species in the field with previous reports conducted in lab conditions. We assessed the freezing resistance of C. quitensis and D. antarctica by determining their low temperature damage (LT50), ice nucleation temperature (NT) and freezing point (FP) in three sites of the King George Island. Plants were exposed during two growing seasons to a passive increase in the air temperature (+W). +W increased by 1K the mean air temperatures, but had smaller effects on freezing temperatures. Leaf temperature of both species was on average 1.7K warmer inside +W. Overall, warming decreased the freezing resistance of Antarctic species. The LT50 increased on average 2K for C. quitensis and 2.8K for D. antarctica. In contrast, NT and FP decreased on average c. 1K in leaves of warmed plants of both species. Our results showed an averaged LT50 of 15.3 degrees C for C. quitensis, and of -22.8 degrees C for D. antarctica, with freezing tolerance being the freezing resistance mechanism for both species. These results were partially consistent with previous reports, and likely explanations for such discrepancies were related with methodological differences among studies. Our work is the first study reporting the level and mechanisms of freezing resistance of Antarctic vascular plants measured in situ, and we demonstrated that although both plant species exhibited a great ability to cope with freezing temperatures during the growing season, their vulnerability to suffer freezing damage under a warming scenario increase although the magnitude of this response varied across sites and species. Hence, freezing damage should be considered when predicting changes in plant responses of C. quitensis and D. antarctica under future climate conditions of the Antarctic Peninsula.</t>
  </si>
  <si>
    <t>[Sierra-Almeida, Angela; Cavieres, Lohengrin A.] Univ Concepcion, Fac Ciencias Nat &amp; Oceanog, Dept Bot, Concepcion, Chile; [Sierra-Almeida, Angela; Cavieres, Lohengrin A.] Inst Ecol &amp; Biodiversidad, Santiago, Chile; [Bravo, Leon A.] Univ La Frontera, Dept Ciencias Agron &amp; Recursos Nat, Fac Ciencias Agr &amp; Forestales, Temuco, Chile; [Bravo, Leon A.] Univ La Frontera, Ctr Plant Soil Interact &amp; Nat Resources Biotechno, Sci &amp; Technol Bioresource Nucleus, Temuco, Chile</t>
  </si>
  <si>
    <t>Universidad de Concepcion; Universidad de La Frontera; Universidad de La Frontera</t>
  </si>
  <si>
    <t>Sierra-Almeida, A (corresponding author), Univ Concepcion, Fac Ciencias Nat &amp; Oceanog, Dept Bot, Concepcion, Chile.;Sierra-Almeida, A (corresponding author), Inst Ecol &amp; Biodiversidad, Santiago, Chile.</t>
  </si>
  <si>
    <t>angelasierra@udec.cl</t>
  </si>
  <si>
    <t>Bravo, León/AAO-8437-2020; Cavieres, Lohengrin A./A-9542-2010; Sierra, Angela/F-8409-2014</t>
  </si>
  <si>
    <t>Bravo, León/0000-0003-4705-4842; Cavieres, Lohengrin A./0000-0001-9122-3020; Sierra, Angela/0000-0002-4207-0950</t>
  </si>
  <si>
    <t>PIA-Conicyt [ART-1102]; MINECOM F ICM [P02-005]; CONICYT under the IEB [PFB-23]; Fondecyt [11150710, 1151173]; NEXER-UFRO</t>
  </si>
  <si>
    <t>PIA-Conicyt(Comision Nacional de Investigacion Cientifica y Tecnologica (CONICYT)); MINECOM F ICM; CONICYT under the IEB; Fondecyt(Comision Nacional de Investigacion Cientifica y Tecnologica (CONICYT)CONICYT FONDECYT); NEXER-UFRO</t>
  </si>
  <si>
    <t>This work was supported by PIA-Conicyt under grant ART-1102; MINECOM F ICM under grant P02-005; and CONICYT under PFB-23 supporting the IEB, and Fondecyt 11150710 (AS-A) 1151173 and NEXER-UFRO (LB).</t>
  </si>
  <si>
    <t>1664-462X</t>
  </si>
  <si>
    <t>FRONT PLANT SCI</t>
  </si>
  <si>
    <t>Front. Plant Sci.</t>
  </si>
  <si>
    <t>10.3389/fpls.2018.01456</t>
  </si>
  <si>
    <t>GW0SZ</t>
  </si>
  <si>
    <t>WOS:000446580900001</t>
  </si>
  <si>
    <t>Barnes, DKA; Morley, SA; Bell, J; Brewin, P; Brigden, K; Collins, M; Glass, T; Goodall-Copestake, WP; Henry, L; Laptikhovsky, V; Piechaud, N; Richardson, A; Rose, P; Sands, CJ; Schofield, A; Shreeve, R; Small, A; Stamford, T; Taylor, B</t>
  </si>
  <si>
    <t>Barnes, D. K. A.; Morley, S. A.; Bell, J.; Brewin, P.; Brigden, K.; Collins, M.; Glass, T.; Goodall-Copestake, W. P.; Henry, L.; Laptikhovsky, V.; Piechaud, N.; Richardson, A.; Rose, P.; Sands, C. J.; Schofield, A.; Shreeve, R.; Small, A.; Stamford, T.; Taylor, B.</t>
  </si>
  <si>
    <t>Marine plastics threaten giant Atlantic Marine Protected Areas</t>
  </si>
  <si>
    <t>CURRENT BIOLOGY</t>
  </si>
  <si>
    <t>SEA; ISLANDS; DEBRIS</t>
  </si>
  <si>
    <t>[Barnes, D. K. A.; Morley, S. A.; Goodall-Copestake, W. P.; Sands, C. J.] British Antarctic Survey, NERC, Cambridge, England; [Bell, J.; Collins, M.; Laptikhovsky, V.; Stamford, T.] Ctr Environm Fisheries &amp; Aquaculture Sci, Lowestoft, Suffolk, England; [Brewin, P.; Brigden, K.] South Atlantic Environm Res Inst, Stanley, Falkland Island; [Glass, T.] Tristan da Cunha Conservat Dept, Edinburgh, Midlothian, Scotland; [Henry, L.; Shreeve, R.; Small, A.] St Helena Govt, ENRD, Marine Conservat, Jamestown, St Helena, England; [Piechaud, N.] Univ Plymouth, Plymouth, Devon, England; [Richardson, A.] Ascens Isl Conservat &amp; Fisheries Dept, Lowestoft, Suffolk, England; [Rose, P.] Natl Geog Soc, Pristine Seas, Washington, DC USA; [Schofield, A.] Royal Soc Protect Birds, Sandy, Beds, England; [Taylor, B.] St Helena Natl Trust, Jamestown, St Helena, England</t>
  </si>
  <si>
    <t>UK Research &amp; Innovation (UKRI); Natural Environment Research Council (NERC); NERC British Antarctic Survey; Centre for Environment Fisheries &amp; Aquaculture Science; University of Plymouth; National Geographic Society; Royal Society for Protection of Birds</t>
  </si>
  <si>
    <t>Barnes, DKA (corresponding author), British Antarctic Survey, NERC, Cambridge, England.</t>
  </si>
  <si>
    <t>dkab@bas.ac.uk</t>
  </si>
  <si>
    <t>, Martin/ABE-6728-2020; Goodall-Copestake, William/CAF-6866-2022; Goodall-Copestake, William P/C-1061-2011; Piechaud, Nils/JRX-2586-2023; Collins, Martin A/J-8560-2017; piechaud, nils/ABB-1322-2020</t>
  </si>
  <si>
    <t>, Martin/0000-0001-7132-8650; Piechaud, Nils/0000-0002-7408-7415; Goodall-Copestake, Will/0000-0003-3586-9091; Sands, Chester/0000-0003-1028-0328; , Paul/0000-0002-0261-9646; Brigden, Katie/0000-0001-5165-6024</t>
  </si>
  <si>
    <t>Official Development Assistance; UK Blue Belt programme; National Geographic Pristine Seas; Pew Charitable Trusts; Blue Marine; Darwin Initiative; NERC [bas0100036, NE/R000107/1, bas0100035] Funding Source: UKRI; Natural Environment Research Council [NE/R000107/1] Funding Source: researchfish</t>
  </si>
  <si>
    <t>Official Development Assistance; UK Blue Belt programme; National Geographic Pristine Seas(National Geographic Society); Pew Charitable Trusts; Blue Marine; Darwin Initiative; NERC(UK Research &amp; Innovation (UKRI)Natural Environment Research Council (NERC)); Natural Environment Research Council(UK Research &amp; Innovation (UKRI)Natural Environment Research Council (NERC))</t>
  </si>
  <si>
    <t>We are grateful to the Official Development Assistance, UK Blue Belt programme, National Geographic Pristine Seas, Pew Charitable Trusts, Blue Marine and the Darwin Initiative for funding and to two anonymous referees for comments on the manuscript.</t>
  </si>
  <si>
    <t>CELL PRESS</t>
  </si>
  <si>
    <t>50 HAMPSHIRE ST, FLOOR 5, CAMBRIDGE, MA 02139 USA</t>
  </si>
  <si>
    <t>0960-9822</t>
  </si>
  <si>
    <t>1879-0445</t>
  </si>
  <si>
    <t>CURR BIOL</t>
  </si>
  <si>
    <t>Curr. Biol.</t>
  </si>
  <si>
    <t>R1137</t>
  </si>
  <si>
    <t>R1138</t>
  </si>
  <si>
    <t>10.1016/j.cub.2018.08.064</t>
  </si>
  <si>
    <t>Biochemistry &amp; Molecular Biology; Biology; Cell Biology</t>
  </si>
  <si>
    <t>Biochemistry &amp; Molecular Biology; Life Sciences &amp; Biomedicine - Other Topics; Cell Biology</t>
  </si>
  <si>
    <t>GW2DQ</t>
  </si>
  <si>
    <t>WOS:000446693400007</t>
  </si>
  <si>
    <t>Cabrera, MA; Blamey, JM</t>
  </si>
  <si>
    <t>Cabrera, Ma. Angeles; Blamey, Jenny M.</t>
  </si>
  <si>
    <t>Biotechnological applications of archaeal enzymes from extreme environments</t>
  </si>
  <si>
    <t>Antarctica; Archaea; Extremozymes; Biocatalysis</t>
  </si>
  <si>
    <t>DEPENDENT DNA-LIGASE; COMPLETE GENOME SEQUENCE; ALPHA-AMYLASE GENE; PRELIMINARY CRYSTALLOGRAPHIC ANALYSIS; ORGANIC-SOLVENT TOLERANCE; HYPERTHERMOPHILIC ARCHAEON; BIOCHEMICAL-CHARACTERIZATION; SULFOLOBUS-SOLFATARICUS; PYROCOCCUS-FURIOSUS; THERMOCOCCUS-HYDROTHERMALIS</t>
  </si>
  <si>
    <t>To date, many industrial processes are performed using chemical compounds, which are harmful to nature. An alternative to overcome this problem is biocatalysis, which uses whole cells or enzymes to carry out chemical reactions in an environmentally friendly manner. Enzymes can be used as biocatalyst in food and feed, pharmaceutical, textile, detergent and beverage industries, among others. Since industrial processes require harsh reaction conditions to be performed, these enzymes must possess several characteristics that make them suitable for this purpose. Currently the best option is to use enzymes from extremophilic microorganisms, particularly archaea because of their special characteristics, such as stability to elevated temperatures, extremes of pH, organic solvents, and high ionic strength. Extremozymes, are being used in biotechnological industry and improved through modern technologies, such as protein engineering for best performance. Despite the wide distribution of archaea, exist only few reports about these microorganisms isolated from Antarctica and very little is known about thermophilic or hyperthermophilic archaeal enzymes particularly from Antarctica. This review summarizes current knowledge of archaeal enzymes with biotechnological applications, including two extremozymes from Antarctic archaea with potential industrial use, which are being studied in our laboratory. Both enzymes have been discovered through conventional screening and genome sequencing, respectively.</t>
  </si>
  <si>
    <t>[Cabrera, Ma. Angeles; Blamey, Jenny M.] Fdn Cient &amp; Cultural Biociencia, Jose Domingo Canas 2280, Santiago, Chile; [Cabrera, Ma. Angeles; Blamey, Jenny M.] Univ Santiago Chile, Fac Quim &amp; Biol, Ave Libertador Bernardo OHiggins, Santiago 3363, Chile</t>
  </si>
  <si>
    <t>Blamey, JM (corresponding author), Fdn Cient &amp; Cultural Biociencia, Jose Domingo Canas 2280, Santiago, Chile.</t>
  </si>
  <si>
    <t>Blamey, Jenny M/0000-0002-7640-316X</t>
  </si>
  <si>
    <t>National Commission for Scientific and Technological Research of Chile (CONICYT); Chilean Antarctic Institute (INACH)</t>
  </si>
  <si>
    <t>National Commission for Scientific and Technological Research of Chile (CONICYT)(Comision Nacional de Investigacion Cientifica y Tecnologica (CONICYT)); Chilean Antarctic Institute (INACH)</t>
  </si>
  <si>
    <t>Funding support was provided by National Commission for Scientific and Technological Research of Chile (CONICYT) and Chilean Antarctic Institute (INACH),</t>
  </si>
  <si>
    <t>OCT 5</t>
  </si>
  <si>
    <t>10.1186/s40659-018-0186-3</t>
  </si>
  <si>
    <t>GV8ZV</t>
  </si>
  <si>
    <t>WOS:000446441000002</t>
  </si>
  <si>
    <t>Emetc, V; Tregoning, P; Morlighem, M; Borstad, C; Sambridge, M</t>
  </si>
  <si>
    <t>Emetc, Veronika; Tregoning, Paul; Morlighem, Mathieu; Borstad, Chris; Sambridge, Malcolm</t>
  </si>
  <si>
    <t>A statistical fracture model for Antarctic ice shelves and glaciers</t>
  </si>
  <si>
    <t>OUTLET GLACIERS; CREVASSE FORMATION; MECHANICS APPROACH; BOTTOM CREVASSES; BASAL CREVASSES; MASS-BALANCE; STABILITY; DYNAMICS; SURFACE; DAMAGE</t>
  </si>
  <si>
    <t>Antarctica and Greenland hold enough ice to raise sea level by more than 65 m if both ice sheets were to melt completely. Predicting future ice sheet mass balance depends on our ability to model these ice sheets, which is limited by our current understanding of several key physical processes, such as iceberg calving. Large-scale ice flow models either ignore this process or represent it crudely. To model fractured zones, an important component of many calving models, continuum damage mechanics as well as linear fracture mechanics are commonly used. However, these methods have a large number of uncertainties when applied across the entire Antarctic continent because the models were typically tuned to match processes seen on particular ice shelves. Here we present an alternative, statistics-based method to model the most probable zones of the location of fractures and demonstrate our approach on all main ice shelf regions in Antarctica, including the Antarctic Peninsula. We can predict the location of observed fractures with an average success rate of 84 % for grounded ice and 61 % for floating ice and a mean overestimation error rate of 26 % and 20 %, respectively. We found that Antarctic ice shelves can be classified into groups based on the factors that control fracture location.</t>
  </si>
  <si>
    <t>[Emetc, Veronika; Tregoning, Paul; Sambridge, Malcolm] Australian Natl Univ, Res Sch Earth Sci, Canberra, ACT, Australia; [Morlighem, Mathieu] Univ Calif Irvine, Dept Earth Syst Sci, Irvine, CA USA; [Borstad, Chris] Univ Ctr Svalbard, Dept Arctic Geophys, Longyearbyen, Norway</t>
  </si>
  <si>
    <t>Australian National University; University of California System; University of California Irvine; University Centre Svalbard (UNIS)</t>
  </si>
  <si>
    <t>Emetc, V (corresponding author), Australian Natl Univ, Res Sch Earth Sci, Canberra, ACT, Australia.</t>
  </si>
  <si>
    <t>veronika.emetc@anu.edu.au</t>
  </si>
  <si>
    <t>Morlighem, Mathieu/O-9942-2014; Tregoning, Paul/N-4842-2018; Sambridge, Malcolm/E-6902-2011</t>
  </si>
  <si>
    <t>Morlighem, Mathieu/0000-0001-5219-1310; Tregoning, Paul/0000-0001-7192-5391; Sambridge, Malcolm/0000-0003-2858-3175; Borstad, Christopher/0000-0001-6992-1770</t>
  </si>
  <si>
    <t>ARC [DP140103679]</t>
  </si>
  <si>
    <t>ARC(Australian Research Council)</t>
  </si>
  <si>
    <t>We would like to thank Teresa Neeman for her help with the logistic regression algorithm. We are also grateful to Anthony Purcell for his consistently helpful advice and his help revising the manuscript. Veronika Emetc received a scholarship from ARC Discovery (DP140103679). We would like to thank Julian Byrne for his help with setting up the ISSM software on Terrawulf. We are grateful to the reviewers for their careful and insightful comments on our paper.</t>
  </si>
  <si>
    <t>10.5194/tc-12-3187-2018</t>
  </si>
  <si>
    <t>GW3NQ</t>
  </si>
  <si>
    <t>WOS:000446812400002</t>
  </si>
  <si>
    <t>Greenslade, P</t>
  </si>
  <si>
    <t>Greenslade, Penelope</t>
  </si>
  <si>
    <t>A new species of Friesea (Collembola: Neanuridae) from the Antarctic Continent</t>
  </si>
  <si>
    <t>Friesea eureka sp nov.; Enderby Land; morphology; endemism</t>
  </si>
  <si>
    <t>CHAETOTAXY</t>
  </si>
  <si>
    <t>A new species of Friesea was found in East Antarctica and is described here as Friesea eureka sp. nov. This is the first new collembolan species to be described from the Antarctic continent in 30 years, even though ice-free areas have been intensively surveyed over that time. It brings to five the number of described species of the genus Friesea known from the Antarctic continent and Peninsula, so is the most speciose genus of Collembola in the region. However, one of these, F. grisea Schaffer, comprises a number of cryptic species of different molecular lineages. The new species is distinguished by having 4 + 4 ocelli plus 1 + 1 hardly visible, a very reduced furca, up to four or five faintly clavate tenent hairs, four anal spines and four spinose chaetae in adult. The restricted distribution of the species emphasises the importance of protecting ice-free areas on the continent as they often contain at least one locally endemic faunal species</t>
  </si>
  <si>
    <t>[Greenslade, Penelope] Federat Univ, Sch Hlth &amp; Life Sci, Environm Management, Ballarat, Vic, Australia; [Greenslade, Penelope] Australian Natl Univ, Dept Biol, Canberra, ACT, Australia</t>
  </si>
  <si>
    <t>Federation University Australia; Australian National University</t>
  </si>
  <si>
    <t>Greenslade, P (corresponding author), Federat Univ, Sch Hlth &amp; Life Sci, Environm Management, Ballarat, Vic, Australia.;Greenslade, P (corresponding author), Australian Natl Univ, Dept Biol, Canberra, ACT, Australia.</t>
  </si>
  <si>
    <t>p.greenslade@federation.edu.au</t>
  </si>
  <si>
    <t>Greenslade, Penelope/0000-0002-2123-5306</t>
  </si>
  <si>
    <t>Trans-Antarctic Association Grant</t>
  </si>
  <si>
    <t>This project was partly funded by a Trans-Antarctic Association Grant.</t>
  </si>
  <si>
    <t>33-34</t>
  </si>
  <si>
    <t>10.1080/00222933.2018.1523483</t>
  </si>
  <si>
    <t>HC9XS</t>
  </si>
  <si>
    <t>WOS:000452161800001</t>
  </si>
  <si>
    <t>Yoon, JE; Yoo, KC; Macdonald, AM; Yoon, HI; Park, KT; Yang, EJ; Kim, HC; Lee, JI; Lee, MK; Jung, J; Park, J; Lee, J; Kim, S; Kim, SS; Kim, K; Kim, I</t>
  </si>
  <si>
    <t>Yoon, Joo-Eun; Yoo, Kyu-Cheul; Macdonald, Alison M.; Yoon, Ho-Il; Park, Ki-Tae; Yang, Eun Jin; Kim, Hyun-Cheol; Lee, Jae Il; Lee, Min Kyung; Jung, Jinyoung; Park, Jisoo; Lee, Jiyoung; Kim, Soyeon; Kim, Seong-Su; Kim, Kitae; Kim, Il-Nam</t>
  </si>
  <si>
    <t>Reviews and syntheses: Ocean iron fertilization experiments - past, present, and future looking to a future Korean Iron Fertilization Experiment in the Southern Ocean (KIFES) project</t>
  </si>
  <si>
    <t>SUB-ARCTIC PACIFIC; PARTICULATE ORGANIC-CARBON; HETEROTROPHIC BACTERIAL RESPONSE; ANTARCTIC CIRCUMPOLAR CURRENT; DIATOM RESTING SPORES; VOSTOK ICE CORE; EQUATORIAL PACIFIC; ENRICHMENT EXPERIMENT; ATMOSPHERIC CO2; PHYTOPLANKTON BLOOM</t>
  </si>
  <si>
    <t>Since the start of the industrial revolution, human activities have caused a rapid increase in atmospheric carbon dioxide (CO2) concentrations, which have, in turn, had an impact on climate leading to global warming and ocean acidification. Various approaches have been proposed to reduce atmospheric CO2. The Martin (or iron) hypothesis suggests that ocean iron fertilization (OIF) could be an effective method for stimulating oceanic carbon sequestration through the biological pump in iron-limited, high-nutrient, low-chlorophyll (HNLC) regions. To test the Martin hypothesis, 13 artificial OIF (aOIF) experiments have been performed since 1990 in HNLC regions. These aOIF field experiments have demonstrated that primary production (PP) can be significantly enhanced by the artificial addition of iron. However, except in the Southern Ocean (SO) European Iron Fertilization Experiment (EIFEX), no significant change in the effectiveness of aOIF (i.e., the amount of iron-induced carbon export flux below the winter mixed layer depth, MLD) has been detected. These results, including possible side effects, have been debated amongst those who support and oppose aOIF experimentation, and many questions concerning the effectiveness of scientific aOIF, environmental side effects, and international aOIF law frameworks remain. In the context of increasing global and political concerns associated with climate change, it is valuable to examine the validity and usefulness of the aOIF experiments. Furthermore, it is logical to carry out such experiments because they allow one to study how plankton-based ecosystems work by providing insight into mechanisms operating in real time and under in situ conditions. To maximize the effectiveness of aOIF experiments under international aOIF regulations in the future, we therefore suggest a design that incorporates several components. (1) Experiments conducted in the center of an eddy structure when grazing pressure is low and silicate levels are high (e.g., in the SO south of the polar front during early summer) (2) Shipboard observations extending over a minimum of similar to 40 days, with multiple iron injections (at least two or three iron infusions of similar to 2000 kg with an interval of similar to 10-15 days to fertilize a patch of 300 km(2) and obtain a similar to 2 nM concentration). (3) Tracing of the iron-fertilized patch using both physical (e.g., a drifting buoy) and biogeochemical (e.g., sulfur hexafluoride, photosynthetic quantum efficiency, and partial pressure of CO2) tracers. (4) Employment of neutrally buoyant sediment traps (NBST) and application of the water-column-derived thorium-234 (Th-234) method at two depths (i.e., just below the in situ MLD and at the winter MLD), with autonomous profilers equipped with an underwater video profiler (UVP) and a transmissometer. (5) Monitoring of side effects on marine/ocean ecosystems, including production of climate-relevant gases (e.g., nitrous oxide, N2O; dimethyl sulfide, DMS; and halogenated volatile organic compounds, HVOCs), decline in oxygen inventory, and development of toxic algae blooms, with optical-sensor-equipped autonomous moored profilers and/or autonomous benthic vehicles. Lastly, we introduce the scientific aOIF experimental design guidelines for a future Korean Iron Fertilization Experiment in the Southern Ocean (KIFES).</t>
  </si>
  <si>
    <t>[Yoon, Joo-Eun; Lee, Jiyoung; Kim, Soyeon; Kim, Seong-Su; Kim, Il-Nam] Incheon Natl Univ, Dept Marine Sci, Incheon 22012, South Korea; [Yoo, Kyu-Cheul; Yoon, Ho-Il; Park, Ki-Tae; Yang, Eun Jin; Kim, Hyun-Cheol; Lee, Jae Il; Lee, Min Kyung; Jung, Jinyoung; Park, Jisoo; Kim, Kitae] Korea Polar Res Inst, Incheon 21990, South Korea; [Macdonald, Alison M.] Woods Hole Oceanog Inst, MS 21,266 Woods Hold Rd, Woods Hole, MA 02543 USA</t>
  </si>
  <si>
    <t>Incheon National University; Korea Polar Research Institute (KOPRI); Woods Hole Oceanographic Institution</t>
  </si>
  <si>
    <t>Kim, I (corresponding author), Incheon Natl Univ, Dept Marine Sci, Incheon 22012, South Korea.</t>
  </si>
  <si>
    <t>ilnamkim@inu.ac.kr</t>
  </si>
  <si>
    <t>Park, Ki-Tae/CAF-2480-2022; Kim, Hyun-Cheol/AAP-1250-2020</t>
  </si>
  <si>
    <t>Kim, Hyun-Cheol/0000-0002-6831-9291; Kim, Kitae/0000-0003-0803-3547; Macdonald, Alison/0000-0003-4688-6137; Yang, Eun Jin/0000-0002-8639-5968; Park, Ki-Tae/0000-0003-4874-6189</t>
  </si>
  <si>
    <t>Ministry of Oceans and Fisheries, Korea [PM 16060]; National Research Foundation of Korea (NRF) grant - Korea government (MSIP) [2015R1C1A1A01052051]; Korea-Arctic Ocean Observing System project (K-AOOS) (KOPRI) - MOF, Korea [20160245]; KOPRI project [PE18200]; NOAA [NA11OAR4310063]; internal WHOI funding</t>
  </si>
  <si>
    <t>Ministry of Oceans and Fisheries, Korea; National Research Foundation of Korea (NRF) grant - Korea government (MSIP)(National Research Foundation of Korea); Korea-Arctic Ocean Observing System project (K-AOOS) (KOPRI) - MOF, Korea(Korea Polar Research Institute of Marine Research Placement (KOPRI)Ministry of Oceans &amp; Fisheries (MOF), Republic of Korea); KOPRI project(Korea Polar Research Institute of Marine Research Placement (KOPRI)); NOAA(National Oceanic Atmospheric Admin (NOAA) - USA); internal WHOI funding</t>
  </si>
  <si>
    <t>We thank two reviewers and Victor Smetacek (Alfred Wegener Institute) for their valuable comments on the manuscript. We thank Eunsil Kim (Sangmyung University) for her help in drawing Fig. 2. Thanks to all the people who contributed to the scientific OIF experiments. This research was a part of the project titled the Korean Iron Fertilization Experiment in the Southern Ocean (KOPRI, PM 16060) funded by the Ministry of Oceans and Fisheries, Korea. This work was partly supported by the National Research Foundation of Korea (NRF) grant funded by the Korea government (MSIP) (no. 2015R1C1A1A01052051); the Korea-Arctic Ocean Observing System project (K-AOOS) (KOPRI, 20160245) funded by the MOF, Korea; and the KOPRI project (PE18200). Alison M. Macdonald was supported by NOAA grant no. NA11OAR4310063 and internal WHOI funding. The last two authors (Il-Nam Kim and Kitae Kim) act as co-corresponding authors for this work.</t>
  </si>
  <si>
    <t>10.5194/bg-15-5847-2018</t>
  </si>
  <si>
    <t>GW3FR</t>
  </si>
  <si>
    <t>WOS:000446780600001</t>
  </si>
  <si>
    <t>Koshio, K; Arai, K; Waku, T; Wilson, PW; Hagiwara, Y</t>
  </si>
  <si>
    <t>Koshio, Kazuya; Arai, Kazuhide; Waku, Tomonori; Wilson, Peter W.; Hagiwara, Yoshimichi</t>
  </si>
  <si>
    <t>Suppression of droplets freezing on glass surfaces on which antifreeze polypeptides are adhered by a silane coupling agent</t>
  </si>
  <si>
    <t>ICE ADHESION; ANTIICING COATINGS; WINTER FLOUNDER; WATER DROPLETS; ANTI-ICE; PROTEIN; WETTABILITY; PERFORMANCE; IONS</t>
  </si>
  <si>
    <t>The development of ice-phobic, glass-substrate surfaces is important for many reasons such as poor visibility through the ice-covered windshields of vehicles. The present authors have developed new glass surfaces coated with a silane coupling agent and polypeptides whose amino-acid sequence is identical to a partial sequence of winter flounder antifreeze protein. We have conducted experiments on the freezing of sessile water droplets on the glass surfaces, and measured the droplet temperature, contact angle, contact area and surface roughness. The results show that the supercooling temperature decreased noticeably in the case where a higher concentration solution of polypeptide was used for the coating. The adhesion strength of frozen droplets was lowest in the same case. In addition, we observed many nanoscale humps on the coated surface, which were formed by polypeptide aggregates in the solution. We argue that the combination of the hydrophilic humps and the hydrophobic base surfaces causes water molecules adjacent to the surfaces to have a variety of orientations in that plane, even after the ice layer started to grow. This then induces a misfit of water-molecule spacing in the ice layers and consequent formation of fragile polycrystalline structure. This explains the lower values of ice adhesion strength and supercooling enhancement in the cases of the polypeptide-coated glass plates.</t>
  </si>
  <si>
    <t>[Koshio, Kazuya; Arai, Kazuhide] Kyoto Inst Technol, Grad Sch Sci &amp; Technol, Div Mechanophys, Sakyo Ku, Kyoto, Japan; [Waku, Tomonori] Kyoto Inst Technol, Fac Mol Chem &amp; Engn, Sakyo Ku, Kyoto, Japan; [Wilson, Peter W.] Univ Tasmania, Inst Marine &amp; Antarctic Studies, Hobart, Tas, Australia; [Wilson, Peter W.] Univ S Florida, Honors Coll, Tampa, FL USA; [Hagiwara, Yoshimichi] Kyoto Inst Technol, Fac Mech Engn, Sakyo Ku, Kyoto, Japan</t>
  </si>
  <si>
    <t>Kyoto Institute of Technology; Kyoto Institute of Technology; University of Tasmania; State University System of Florida; University of South Florida; Kyoto Institute of Technology</t>
  </si>
  <si>
    <t>Hagiwara, Y (corresponding author), Kyoto Inst Technol, Fac Mech Engn, Sakyo Ku, Kyoto, Japan.</t>
  </si>
  <si>
    <t>yoshi@kit.ac.ip</t>
  </si>
  <si>
    <t>Wilson, Peter/AAT-6428-2020</t>
  </si>
  <si>
    <t>Wilson, Peter/0000-0002-1535-6398; Hagiwara, Yoshimichi/0000-0002-1425-2431</t>
  </si>
  <si>
    <t>Japan Society for the Promotion of Science [15H02220]; Grants-in-Aid for Scientific Research [15H02220] Funding Source: KAKEN</t>
  </si>
  <si>
    <t>YH acknowledges the financial support of the Japan Society for the Promotion of Science through the Grant-in-Aid for Scientific Research (A) (No. 15H02220). https://www.jsps.go.jp/, https://www.jsps.go.jp/english/index.html.</t>
  </si>
  <si>
    <t>e0204686</t>
  </si>
  <si>
    <t>10.1371/journal.pone.0204686</t>
  </si>
  <si>
    <t>GW0HY</t>
  </si>
  <si>
    <t>WOS:000446545500022</t>
  </si>
  <si>
    <t>Reid, AP; Johnson, CR; Ross, DJ</t>
  </si>
  <si>
    <t>Reid, Anthony P.; Johnson, Craig R.; Ross, D. Jeff</t>
  </si>
  <si>
    <t>Impacts of the New Zealand screwshell Maoricolpus roseus on growth and condition of juvenile commercial scallops Pecten fumatus</t>
  </si>
  <si>
    <t>Mollusc; Invasive species; Competition; Marine; Soft-sediment</t>
  </si>
  <si>
    <t>DENSITY-DEPENDENT GROWTH; CLAM POTAMOCORBULA-AMURENSIS; FRANCISCO BAY CALIFORNIA; PORT-PHILLIP BAY; PLACOPECTEN-MAGELLANICUS; GIANT SCALLOPS; CRASSOSTREA-VIRGINICA; BIOLOGICAL INVASIONS; REMARKABLE INVASION; MARINE COMMUNITIES</t>
  </si>
  <si>
    <t>The invasion of SE Australia by the exotic New Zealand screwshell Maoricolpus roseus has sparked concern over its potential impact on native soft-sediment assemblages and, in particular, on commercially harvested molluscs. Here we quantify the impact of both live and dead and empty M. roseus shells on the growth, condition and survival of juvenile commercial scallops Pecten fumatus. In a manipulative experiment, P. fumatus juveniles exhibited up to 27% slower linear shell growth, 5% lighter shells (dry weight), 12% less somatic tissue (ash-free dry weight) and 17% poorer condition when caged with live M. roseus. Dead and empty screwshells also reduced scallop growth and condition relative to controls but only at low scallop densities. Scallop mortality did not differ between treatments. The level of impact observed was also dependent on the density of P. fumatus. At low scallop densities, the effects of the invasive M. roseus are largely due to competition for space, as the results from treatments containing live screwshells and those containing dead and empty screwshells were comparable. However, at higher scallop densities, the significant difference between the treatments indicates competition for both space and food. Moreover, comparison between the different scallop densities provides evidence of a combination of both inter-and intraspecific effects. Given the widespread distribution of M. roseus and its occurrence at high densities across large areas of seafloor in SE Australia, impacts on scallop growth and condition have the potential to greatly affect both commercial and recreational scallop fisheries in SE Australia.</t>
  </si>
  <si>
    <t>[Reid, Anthony P.; Johnson, Craig R.; Ross, D. Jeff] Univ Tasmania, Inst Marine &amp; Antarctic Studies, Private Bag 129, Hobart, Tas 7001, Australia; [Reid, Anthony P.] Dept Premier &amp; Cabinet, GPO Box 123, Hobart, Tas 7001, Australia</t>
  </si>
  <si>
    <t>Ross, DJ (corresponding author), Univ Tasmania, Inst Marine &amp; Antarctic Studies, Private Bag 129, Hobart, Tas 7001, Australia.</t>
  </si>
  <si>
    <t>jeff.ross@utas.edu.au</t>
  </si>
  <si>
    <t>Australian postgraduate award</t>
  </si>
  <si>
    <t>Australian postgraduate award(Australian Government)</t>
  </si>
  <si>
    <t>We thank the many volunteers and coworkers without whose help this project would not have been possible, particularly S. Ling, T. Sloane, R. Holmes and A. Stephens. Thanks also go to Jolly Roger Holdings for providing juvenile scallops for the experiment. This work was undertaken as part of A.P.R.'s PhD degree at the University of Tasmania, through support from an Australian postgraduate award. The experiments we performed comply with the current laws of Australia, conducted under a permit issued for commercial species under the Living Marine Resources Management Act 1995 in Tasmania.</t>
  </si>
  <si>
    <t>OCT 4</t>
  </si>
  <si>
    <t>10.3354/meps12691</t>
  </si>
  <si>
    <t>GV9IN</t>
  </si>
  <si>
    <t>WOS:000446470100012</t>
  </si>
  <si>
    <t>Jena, B; Kumar, A; Ravichandran, M; Kern, S</t>
  </si>
  <si>
    <t>Jena, Babula; Kumar, Avinash; Ravichandran, M.; Kern, Stefan</t>
  </si>
  <si>
    <t>Mechanism of sea-ice expansion in the Indian Ocean sector of Antarctica: Insights from satellite observation and model reanalysis</t>
  </si>
  <si>
    <t>SOUTHERN-OCEAN; ANNULAR MODE; OZONE HOLE; VARIABILITY; TRENDS; TEMPERATURE; ATMOSPHERE; SALINITY; DRIVEN; COVER</t>
  </si>
  <si>
    <t>In the backdrop of global warming, Antarctic sea-ice variability showed an overall expansion with the regional heterogeneity of increasing and decreasing patterns. Analysis of satellite derived sea-ice extent, during 1979 to 2015, in the Indian Ocean sector of Antarctica (IOA) revealed expansion of 2.4 +/- 1.2% decade(-1). We find strengthening of westerly wind during the austral summer (between 50 degrees S to 62 degrees S) facilitated northward advection of a cool and fresh layer. Also, the strong westerly wind cools the upper ocean due to net heat loss from the ocean surface. The combined effect of northward advection of cold fresh layer and net heat loss from the surface, favours sea-ice expansion in the subsequent seasons, in the IOA region, north of 62 degrees S. However, sea-ice retreat was observed near the Kerguelen Plateau, due to upper ocean warming, and hence a non-annular pattern of sea-ice extent in the IOA was observed.</t>
  </si>
  <si>
    <t>[Jena, Babula; Kumar, Avinash; Ravichandran, M.] Govt India, Minist Earth Sci, ESSO Natl Ctr Antarctic &amp; Ocean Res, Vasco Da Gama, India; [Kern, Stefan] Univ Hamburg, Ctr Earth Syst Res &amp; Sustainabil, Integrated Climate Data Ctr, Hamburg, Germany</t>
  </si>
  <si>
    <t>Ministry of Earth Sciences (MoES) - India; National Centre for Polar and Ocean Research (NCPOR); University of Hamburg</t>
  </si>
  <si>
    <t>Jena, B (corresponding author), Govt India, Minist Earth Sci, ESSO Natl Ctr Antarctic &amp; Ocean Res, Vasco Da Gama, India.</t>
  </si>
  <si>
    <t>bjena@ncaor.gov.in</t>
  </si>
  <si>
    <t>Ravichandran, M./AAM-1351-2020</t>
  </si>
  <si>
    <t>Kern, Stefan/0000-0001-7281-3746; Avinash, Kumar/0000-0002-6511-8435</t>
  </si>
  <si>
    <t>OCT 3</t>
  </si>
  <si>
    <t>e0203222</t>
  </si>
  <si>
    <t>10.1371/journal.pone.0203222</t>
  </si>
  <si>
    <t>GV7VQ</t>
  </si>
  <si>
    <t>WOS:000446342400017</t>
  </si>
  <si>
    <t>Leal, PP; Hurd, CL; Sander, SG; Armstrong, E; Fernández, PA; Suhrhoff, TJ; Roleda, MY</t>
  </si>
  <si>
    <t>Leal, Pablo P.; Hurd, Catriona L.; Sander, Sylvia G.; Armstrong, Evelyn; Fernandez, Pamela A.; Suhrhoff, Tim J.; Roleda, Michael Y.</t>
  </si>
  <si>
    <t>Copper pollution exacerbates the effects of ocean acidification and warming on kelp microscopic early life stages</t>
  </si>
  <si>
    <t>MACROCYSTIS-PYRIFERA LAMINARIALES; MEIOSPORE GERMINATION; UNDARIA-PINNATIFIDA; COMPLEXING LIGANDS; DISSOLVED COPPER; OXIDATIVE STRESS; NEUTRAL LIPIDS; CLIMATE-CHANGE; MARINE DIATOM; TOXICITY</t>
  </si>
  <si>
    <t>Ocean warming (OW), ocean acidification (OA) and their interaction with local drivers, e.g., copper pollution, may negatively affect macroalgae and their microscopic life stages. We evaluated meiospore development of the kelps Macrocystis pyrifera and Undaria pinnatifida exposed to a factorial combination of current and 2100-predicted temperature (12 and 16 degrees C, respectively), pH (8.16 and 7.65, respectively), and two copper levels (no-added-copper and species-specific germination Cu-EC50). Meiospore germination for both species declined by 5-18% under OA and ambient temperature/OA conditions, irrespective of copper exposure. Germling growth rate declined by &gt;40%.day(-1), and gametophyte development was inhibited under Cu-EC50 exposure, compared to the no-added-copper treatment, irrespective of pH and temperature. Following the removal of copper and 9-day recovery under respective pH and temperature treatments, germling growth rates increased by 8-18%.day(-1). The exception was U. pinnatifida under OW/OA, where growth rate remained at 10%.day(-1) before and after copper exposure. Copper-binding ligand concentrations were higher in copper-exposed cultures of both species, suggesting that ligands may act as a defence mechanism of kelp early life stages against copper toxicity. Our study demonstrated that copper pollution is more important than global climate drivers in controlling meiospore development in kelps as it disrupts the completion of their life cycle.</t>
  </si>
  <si>
    <t>[Leal, Pablo P.; Roleda, Michael Y.] Univ Otago, Dept Bot, 479 Great King St, Dunedin 9016, New Zealand; [Leal, Pablo P.; Hurd, Catriona L.] Univ Tasmania, Inst Marine &amp; Antarctic Studies, 20 Castray Esplanade Battery Point, Hobart, Tas 7004, Australia; [Leal, Pablo P.] Inst Fomento Pesquero IFOP, Dept Repoblac &amp; Cult, Balmaceda 252, Puerto Montt 665, Casilla, Chile; [Sander, Sylvia G.; Armstrong, Evelyn] Univ Otago, NIWA, Res Ctr Oceanog, Chem Dept, Union Pl West, Dunedin 9016, New Zealand; [Sander, Sylvia G.] IAEA, Marine Environm Study Lab, 4 Quai Antione 1er, MC-98000 Monaco, Monaco; [Fernandez, Pamela A.] Univ Lagos, Ctr I Mar, Camino Chinquihue Km 6, Puerto Montt 557, Casilla, Chile; [Suhrhoff, Tim J.] Swiss Fed Inst Technol, Inst Geochem &amp; Petrol, Dept Earth Sci, Clausiusstr 25, CH-8092 Zurich, Switzerland; [Roleda, Michael Y.] Norwegian Inst Bioecon Res, Kudalsveien 6, N-8027 Bodo, Norway; [Roleda, Michael Y.] Univ Philippines Diliman, Coll Sci, Marine Sci Inst, Quezon City, Philippines</t>
  </si>
  <si>
    <t>University of Otago; University of Tasmania; Instituto de Fomento Pesquero (Valparaiso); University of Otago; Universidad de Los Lagos; Swiss Federal Institutes of Technology Domain; ETH Zurich; Norwegian Institute of Bioeconomy Research; University of the Philippines System; University of the Philippines Diliman</t>
  </si>
  <si>
    <t>Leal, PP (corresponding author), Univ Otago, Dept Bot, 479 Great King St, Dunedin 9016, New Zealand.;Leal, PP (corresponding author), Univ Tasmania, Inst Marine &amp; Antarctic Studies, 20 Castray Esplanade Battery Point, Hobart, Tas 7004, Australia.;Leal, PP (corresponding author), Inst Fomento Pesquero IFOP, Dept Repoblac &amp; Cult, Balmaceda 252, Puerto Montt 665, Casilla, Chile.</t>
  </si>
  <si>
    <t>pablo.leal@ifop.cl</t>
  </si>
  <si>
    <t>Sander, Sylvia/AAC-3559-2022; Leal, Pablo P./N-3927-2019; Roleda, Michael Y./H-9645-2019; Fernandez, Pamela/AAX-1676-2021; Hurd, Catriona/J-2411-2013</t>
  </si>
  <si>
    <t>Sander, Sylvia/0000-0001-9581-9737; Leal, Pablo P./0000-0002-7616-1850; Roleda, Michael Y./0000-0003-0568-9081; Fernandez, Pamela/0000-0003-3122-0084; Suhrhoff, Tim Jesper/0000-0002-7934-7159; Hurd, Catriona/0000-0001-9965-4917</t>
  </si>
  <si>
    <t>BECASCHILE-CONICYT; Royal Society of New Zealand Mardsen [UOO0914]; New Zealand MBIE programme [C01X1005]; Government of the Principality of Monaco; New Zealand Ministry of Business, Innovation &amp; Employment (MBIE) [C01X1005] Funding Source: New Zealand Ministry of Business, Innovation &amp; Employment (MBIE)</t>
  </si>
  <si>
    <t>BECASCHILE-CONICYT; Royal Society of New Zealand Mardsen(Royal Society of New Zealand); New Zealand MBIE programme(New Zealand Ministry of Business, Innovation and Employment (MBIE)); Government of the Principality of Monaco; New Zealand Ministry of Business, Innovation &amp; Employment (MBIE)(New Zealand Ministry of Business, Innovation and Employment (MBIE))</t>
  </si>
  <si>
    <t>We thank BECASCHILE-CONICYT, the Royal Society of New Zealand Mardsen grant (UOO0914) and the New Zealand MBIE programme C01X1005 for funding this study. The IAEA is grateful to the Government of the Principality of Monaco for the support provided to its Environment Laboratories.</t>
  </si>
  <si>
    <t>10.1038/s41598-018-32899-w</t>
  </si>
  <si>
    <t>GV7US</t>
  </si>
  <si>
    <t>WOS:000446339400047</t>
  </si>
  <si>
    <t>Pischedda, A; Ramasamy, KP; Mangiagalli, M; Chiappori, F; Milanesi, L; Miceli, C; Pucciarelli, S; Lotti, M</t>
  </si>
  <si>
    <t>Pischedda, Alessandro; Ramasamy, Kesava Priyan; Mangiagalli, Marco; Chiappori, Federica; Milanesi, Luciano; Miceli, Cristina; Pucciarelli, Sandra; Lotti, Marina</t>
  </si>
  <si>
    <t>Antarctic marine ciliates under stress: superoxide dismutases from the psychrophilic Euplotes focardii are cold-active yet heat tolerant enzymes</t>
  </si>
  <si>
    <t>MOLECULAR-DYNAMICS SIMULATIONS; BIOCHEMICAL-CHARACTERIZATION; CRYSTAL-STRUCTURE; COPPER CHAPERONE; OXIDATIVE STRESS; PROTEIN; IRON; EXPRESSION; STABILITY; MODEL</t>
  </si>
  <si>
    <t>Oxidative stress is a particularly severe threat to Antarctic marine polar organisms because they are exposed to high dissolved oxygen and to intense UV radiation. This paper reports the features of three superoxide dismutases from the Antarctic psychrophilic ciliate Euplotes focardii that faces two environmental challenges, oxidative stress and low temperature. Two out of these are Cu, Zn superoxide dismutases (named Ef-SOD1a and Ef-SOD1b) and one belongs to the Mn-containing group (Ef-SOD2). Ef-SOD1s and Ef-SOD2 differ in their evolutionary history, expression and overall structural features. Ef-SOD1 genes are expressed at different levels, with Ef-SOD1b mRNA 20-fold higher at the ciliate optimal temperature of growth (4 degrees C). All Ef-SOD enzymes are active at 4 degrees C, consistent with the definition of cold-adapted enzymes. At the same time, they display temperatures of melting in the range 50-70 degrees C and retain residual activity after incubation at 65-75 degrees C. Supported by data of molecular dynamics simulation, we conclude that the E. focardii SODs combine cold activity, local molecular flexibility and thermo tolerance.</t>
  </si>
  <si>
    <t>[Pischedda, Alessandro; Mangiagalli, Marco; Lotti, Marina] Univ Milano Bicocca, Dept Biotechnol &amp; Biosci, Piazza Sci 2, I-20126 Milan, Italy; [Ramasamy, Kesava Priyan; Miceli, Cristina; Pucciarelli, Sandra] Univ Camerino, Sch Biosci &amp; Vet Med, Via Gentile III Varano 1, I-62032 Camerino, MC, Italy; [Chiappori, Federica; Milanesi, Luciano] CNR, Inst Biomed Technol, Segrate, MI, Italy</t>
  </si>
  <si>
    <t>University of Milano-Bicocca; University of Camerino; Consiglio Nazionale delle Ricerche (CNR); Istituto di Tecnologie Biomediche (ITB-CNR)</t>
  </si>
  <si>
    <t>Pucciarelli, S (corresponding author), Univ Camerino, Sch Biosci &amp; Vet Med, Via Gentile III Varano 1, I-62032 Camerino, MC, Italy.</t>
  </si>
  <si>
    <t>sandra.pucciarelli@unicam.it</t>
  </si>
  <si>
    <t>Lotti, Marina/AAU-1630-2020; Chiappori, Federica/S-5689-2019; MANGIAGALLI, MARCO/Q-9988-2018; Milanesi, Luciano/AAE-7230-2019</t>
  </si>
  <si>
    <t>Lotti, Marina/0000-0001-5419-7572; Chiappori, Federica/0000-0001-8099-4348; MANGIAGALLI, MARCO/0000-0001-8211-165X; Milanesi, Luciano/0000-0002-1201-3939; RAMASAMY, KESAVA PRIYAN/0000-0003-0276-2239</t>
  </si>
  <si>
    <t>European Commission Marie Sklodowska-Curie Actions H2020 RISE Metable [645693]; Italian Ministry of Education, University and Research (MIUR) Flagship InterOmics [PB05]; PRIN2015 [20157ATSLF]; Lombardy FRRB [LYRA_2015-0010]; Marie Curie Actions (MSCA) [645693] Funding Source: Marie Curie Actions (MSCA)</t>
  </si>
  <si>
    <t>European Commission Marie Sklodowska-Curie Actions H2020 RISE Metable; Italian Ministry of Education, University and Research (MIUR) Flagship InterOmics; PRIN2015(Ministry of Education, Universities and Research (MIUR)Research Projects of National Relevance (PRIN)); Lombardy FRRB; Marie Curie Actions (MSCA)(Marie Curie Actions)</t>
  </si>
  <si>
    <t>This work was supported by the European Commission Marie Sklodowska-Curie Actions H2020 RISE Metable - 645693. We thank Alberto Barbiroli for help and advice in the SEC-MALS experiments. FC and LM were supported by the Italian Ministry of Education, University and Research (MIUR) Flagship InterOmics (cod. PB05), PRIN2015 (cod. 20157ATSLF) and Lombardy FRRB LYRA_2015-0010 Projects.</t>
  </si>
  <si>
    <t>10.1038/s41598-018-33127-1</t>
  </si>
  <si>
    <t>WOS:000446339400005</t>
  </si>
  <si>
    <t>Jüttner, I; Van de Vijver, B; Williams, DM; Lange-Bertalot, H; Ector, L</t>
  </si>
  <si>
    <t>Juttner, Ingrid; Van de Vijver, Bart; Williams, David M.; Lange-Bertalot, Horst; Ector, Luc</t>
  </si>
  <si>
    <t>The genus Eunotia (Bacillariophyta) in the Falkland Islands and species-area relationships in sub-Antarctic islands</t>
  </si>
  <si>
    <t>DIATOM RESEARCH</t>
  </si>
  <si>
    <t>biogeography; distribution; diversity; Eunotia; Falkland Islands; freshwater; morphology; species-area relationships</t>
  </si>
  <si>
    <t>STROMNESS BAY AREA; DIATOM FLORA; FRESH-WATER; TAXONOMY; REGION; LAKE; BIOGEOGRAPHY; COMMUNITIES; TAXA; MICROORGANISMS</t>
  </si>
  <si>
    <t>We document the morphology of 15 species of Eunotia from freshwater habitats in the Falkland Islands using light and electron microscopy, and describe four new species, Eunotia australovalida, Eunotia inconspicua, Eunotia floweriana and Eunotia latecapitata. Diatom assemblages were studied from a range of habitats on East Falkland, West Falkland, Saunders Island and Pebble Island, which differed in water chemistry and hydrological conditions including streams, ponds, lakes, springs and damp terrestrial habitats. Significant site and species groups obtained by cluster analysis are related to environmental conditions. Island species-area relationships for Eunotia from the sub-Antarctic region, and the wider geographic distributions of seven Eunotia species from the Falkland Islands are shown.</t>
  </si>
  <si>
    <t>[Juttner, Ingrid] Natl Museum Wales, Dept Nat Sci, Cardiff, S Glam, Wales; [Van de Vijver, Bart] Meise Bot Garden, Res Dept, Meise, Belgium; [Van de Vijver, Bart] Univ Antwerp, Dept Biol, Antwerp, Belgium; [Williams, David M.] Nat Hist Museum, Dept Life Sci, London, England; [Lange-Bertalot, Horst] Goethe Univ Frankfurt, Fachbereich Biowissensch, Inst Okol, Evolut,Diversitat, Frankfurt, Germany; [Lange-Bertalot, Horst] Goethe Univ Frankfurt, Forsch Inst Senckenberg, Frankfurt, Germany; [Ector, Luc] LIST, Environm Res &amp; Innovat Dept ERIN, Belvaux, Luxembourg</t>
  </si>
  <si>
    <t>University of Antwerp; Natural History Museum London; Goethe University Frankfurt; Senckenberg Gesellschaft fur Naturforschung (SGN); Goethe University Frankfurt; Luxembourg Institute of Science &amp; Technology</t>
  </si>
  <si>
    <t>Jüttner, I (corresponding author), Natl Museum Wales, Dept Nat Sci, Cardiff, S Glam, Wales.</t>
  </si>
  <si>
    <t>ingrid.juettner@museumwales.ac.uk</t>
  </si>
  <si>
    <t>Juttner, Ingrid/0000-0003-0841-6206; Ector, Luc/0000-0002-4573-9445</t>
  </si>
  <si>
    <t>Shackleton Scholarship Fund; United Kingdom Government under DEFRA; Darwin Initiative [DPLUS017]</t>
  </si>
  <si>
    <t>Shackleton Scholarship Fund; United Kingdom Government under DEFRA; Darwin Initiative</t>
  </si>
  <si>
    <t>We thank the Shackleton Scholarship Fund for funding the field work in the Falkland Islands in November 2015 through a grant to IJ. Samples were also collected by Alan Orange in January 2011, and in January and February 2015 during fieldwork for the project 'Lower Plants Inventory and Conservation in the Falkland Islands', funded by the United Kingdom Government under DEFRA and the Darwin Initiative, grant-no. DPLUS017.</t>
  </si>
  <si>
    <t>0269-249X</t>
  </si>
  <si>
    <t>2159-8347</t>
  </si>
  <si>
    <t>DIATOM RES</t>
  </si>
  <si>
    <t>Diatom Res.</t>
  </si>
  <si>
    <t>OCT 2</t>
  </si>
  <si>
    <t>10.1080/0269249X.2019.1570344</t>
  </si>
  <si>
    <t>HS4OC</t>
  </si>
  <si>
    <t>WOS:000463841700001</t>
  </si>
  <si>
    <t>Bulínová, M; Kochman-Kedziora, N; Kopalová, K; Van De Vijver, B</t>
  </si>
  <si>
    <t>Bulinova, Marie; Kochman-Kedziora, Natalia; Kopalova, Katerina; Van De Vijver, Bart</t>
  </si>
  <si>
    <t>Three new Hantzschia species (Bacillariophyta) from the Maritime Antarctic Region</t>
  </si>
  <si>
    <t>PHYTOTAXA</t>
  </si>
  <si>
    <t>Hantzschia; diatoms; Maritime Antarctic Region; morphology; new species</t>
  </si>
  <si>
    <t>DIATOMS</t>
  </si>
  <si>
    <t>Following an earlier revision of the genus Hantzschia (Bacillariophyta) in the Maritime Antarctic Region, several at present unidentified or poorly known taxa of this aerophilic genus have been investigated using both light and scanning electron microscopy. Based on the morphological analysis of the observations, three new species are currently described: Hantzschia australabundans sp. nov., H. zidarovae sp. nov. and H. zikmundiana sp. nov. The new species differ from comparable taxa in valve outline, structure of the internal proximal raphe endings and structure of the striae and areolae. Additional observations are presented on Hantzschia amphioxys and its forma muelleri, H. abundans and H. incognita, based on observations of Antarctic populations from the South Shetland Islands, Vega Island and James Ross Island. Brief notes on the ecology of all reported species are added.</t>
  </si>
  <si>
    <t>[Bulinova, Marie; Kopalova, Katerina] Charles Univ Prague, Fac Sci, Dept Ecol, Prague, Czech Republic; [Kopalova, Katerina] Acad Sci Czech Republ, Inst Bot, Sect Plant Ecol, Dukelska 135, CZ-37982 Trebon, Czech Republic; [Kochman-Kedziora, Natalia] Univ Rzeszow, Fac Biol &amp; Agr, Podkarpackie Innovat Res Ctr Environm, Zelwerowicza 8B, PL-35601 Rzeszow, Poland; [Van De Vijver, Bart] Bot Garden Meise, Res Dept, Nieuwelaan 38, B-1860 Meise, Belgium; [Van De Vijver, Bart] Univ Antwerp, Dept Biol, ECOBE, Univ Pl 1, B-2610 Antwerp, Belgium</t>
  </si>
  <si>
    <t>Charles University Prague; Czech Academy of Sciences; Institute of Botany of the Czech Academy of Sciences; University of Rzeszow; University of Antwerp</t>
  </si>
  <si>
    <t>Van De Vijver, B (corresponding author), Bot Garden Meise, Res Dept, Nieuwelaan 38, B-1860 Meise, Belgium.;Van De Vijver, B (corresponding author), Univ Antwerp, Dept Biol, ECOBE, Univ Pl 1, B-2610 Antwerp, Belgium.</t>
  </si>
  <si>
    <t>bartvandevijver@plantentuinmeise.be</t>
  </si>
  <si>
    <t>Kopalová, Kateřina/M-6207-2017</t>
  </si>
  <si>
    <t>Kochman-Kedziora, Natalia/0000-0003-1006-1715</t>
  </si>
  <si>
    <t>GA CR (The Czech Science Foundation) [16-17346Y]; Charles University Research Centre program [204069]; Belspo MICROBIAN project; [PICTO-2010-0096]</t>
  </si>
  <si>
    <t>GA CR (The Czech Science Foundation); Charles University Research Centre program; Belspo MICROBIAN project;</t>
  </si>
  <si>
    <t>This study was performed within a project supported by GA CR (The Czech Science Foundation) no. 16-17346Y. The sampling on Vega Island was undertaken within the PICTO-2010-0096 project. Many thanks to Instituto Antartico Argentino-Direccion Nacional del Antarctico for the logistical support during the Antarctic expedition. The authors especially thank all member of Lagos group and Jan Kavan for the sample collection from Vega Island. This work has been also financially supported by the Charles University Research Centre program No. 204069 and the Belspo MICROBIAN project. The editor and an anonymous reviewer are thanked for their interesting remarks and suggestions.</t>
  </si>
  <si>
    <t>250F Marua Road Mt Wellington, AUCKLAND, ST LUKES 1023, NEW ZEALAND</t>
  </si>
  <si>
    <t>1179-3155</t>
  </si>
  <si>
    <t>1179-3163</t>
  </si>
  <si>
    <t>Phytotaxa</t>
  </si>
  <si>
    <t>10.11646/phytotaxa.371.3.2</t>
  </si>
  <si>
    <t>GV4HA</t>
  </si>
  <si>
    <t>WOS:000446057800002</t>
  </si>
  <si>
    <t>Hyder, P; Edwards, JM; Allan, RP; Hewitt, HT; Bracegirdle, TJ; Gregory, JM; Wood, RA; Meijers, AJS; Mulcahy, J; Field, P; Furtado, K; Bodas-Salcedo, A; Williams, KD; Copsey, D; Josey, SA; Liu, CL; Roberts, CD; Sanchez, C; Ridley, J; Thorpe, L; Hardiman, SC; Mayer, M; Berry, DI; Belcher, SE</t>
  </si>
  <si>
    <t>Hyder, Patrick; Edwards, John M.; Allan, Richard P.; Hewitt, Helene T.; Bracegirdle, Thomas J.; Gregory, Jonathan M.; Wood, Richard A.; Meijers, Andrew J. S.; Mulcahy, Jane; Field, Paul; Furtado, Kalli; Bodas-Salcedo, Alejandro; Williams, Keith D.; Copsey, Dan; Josey, Simon A.; Liu, Chunlei; Roberts, Chris D.; Sanchez, Claudio; Ridley, Jeff; Thorpe, Livia; Hardiman, Steven C.; Mayer, Michael; Berry, David I.; Belcher, Stephen E.</t>
  </si>
  <si>
    <t>Critical Southern Ocean climate model biases traced to atmospheric model cloud errors (vol 9, 3625, 2018)</t>
  </si>
  <si>
    <t>[Hyder, Patrick; Edwards, John M.; Hewitt, Helene T.; Gregory, Jonathan M.; Wood, Richard A.; Mulcahy, Jane; Field, Paul; Furtado, Kalli; Bodas-Salcedo, Alejandro; Williams, Keith D.; Copsey, Dan; Roberts, Chris D.; Sanchez, Claudio; Ridley, Jeff; Thorpe, Livia; Hardiman, Steven C.; Belcher, Stephen E.] Met Off, Hadley Ctr, FitzRoy Rd, Exeter, Devon, England; [Allan, Richard P.; Liu, Chunlei] Univ Reading, Dept Meteorol, POB 243Whiteknights Campus Earley Gate, Reading RG6 6BB, Berks, England; [Allan, Richard P.; Liu, Chunlei] Univ Reading, NCEO, POB 243Whiteknights Campus Earley Gate, Reading RG6 6BB, Berks, England; [Bracegirdle, Thomas J.; Meijers, Andrew J. S.] British Antarctic Survey, Madingley Rd, Cambridge CB3 0ET, England; [Gregory, Jonathan M.] Univ Reading, NCAS, POB 243Whiteknights Campus Earley Gate, Reading RG6 6BB, Berks, England; [Field, Paul] Univ Leeds, Sch Earth &amp; Environm, Leeds LS2 9JT, W Yorkshire, England; [Josey, Simon A.; Berry, David I.] Natl Oceanog Ctr, European Way, Southampton SO14 3ZH, Hants, England; [Mayer, Michael] Univ Vienna, Dept Meteorol &amp; Geophys, Althanstr 14, A-1090 Vienna, Austria</t>
  </si>
  <si>
    <t>Met Office - UK; Hadley Centre; University of Reading; University of Reading; UK Research &amp; Innovation (UKRI); Natural Environment Research Council (NERC); NERC National Centre for Earth Observation; UK Research &amp; Innovation (UKRI); Natural Environment Research Council (NERC); NERC British Antarctic Survey; University of Reading; UK Research &amp; Innovation (UKRI); Natural Environment Research Council (NERC); NERC National Centre for Atmospheric Science; University of Leeds; University of Southampton; NERC National Oceanography Centre; University of Vienna</t>
  </si>
  <si>
    <t>Hyder, P (corresponding author), Met Off, Hadley Ctr, FitzRoy Rd, Exeter, Devon, England.</t>
  </si>
  <si>
    <t>patrick.hyder@metoffice.gov.uk</t>
  </si>
  <si>
    <t>Gregory, Jonathan/J-2939-2016; Wood, Richard/HKW-7781-2023; Bracegirdle, Tom/AAD-6060-2020; Roberts, Christopher D/GRR-4034-2022; Belcher, Stephen/G-2911-2011; Allan, Richard Philip/B-5782-2008; Hardiman, Steven/HDO-0165-2022; Furtado, Kalli J/T-9845-2018; Berry, David I/C-1268-2011; Roberts, Christopher David/AAA-6692-2020; Roberts, Christopher D/F-6197-2011</t>
  </si>
  <si>
    <t>Gregory, Jonathan/0000-0003-1296-8644; Roberts, Christopher D/0000-0002-2958-6637; Allan, Richard Philip/0000-0003-0264-9447; Furtado, Kalli J/0000-0002-5166-112X; Roberts, Christopher David/0000-0002-2958-6637; Roberts, Christopher D/0000-0002-2958-6637</t>
  </si>
  <si>
    <t>NERC [NE/K005480/1, NE/N006054/1, nceo020006, NE/N006038/1] Funding Source: UKRI; Austrian Science Fund FWF [P 28818] Funding Source: Medline</t>
  </si>
  <si>
    <t>NERC(UK Research &amp; Innovation (UKRI)Natural Environment Research Council (NERC)); Austrian Science Fund FWF(Austrian Science Fund (FWF))</t>
  </si>
  <si>
    <t>10.1038/s41467-018-06662-8</t>
  </si>
  <si>
    <t>GV3UG</t>
  </si>
  <si>
    <t>WOS:000446021800002</t>
  </si>
  <si>
    <t>Pujana, RR; Iglesias, A; Raffi, ME; Olivero, EB</t>
  </si>
  <si>
    <t>Pujana, R. R.; Iglesias, A.; Raffi, M. E.; Olivero, E. B.</t>
  </si>
  <si>
    <t>Angiosperm fossil woods from the Upper Cretaceous of Western Antarctica (Santa Marta Formation)</t>
  </si>
  <si>
    <t>CRETACEOUS RESEARCH</t>
  </si>
  <si>
    <t>Fossil wood; Wood anatomy; Angiosperms; Antarctica; Upper Cretaceous</t>
  </si>
  <si>
    <t>BEND NATIONAL-PARK; JAMES-ROSS-ISLAND; GONDWANAN POLAR FORESTS; EARLY TERTIARY; LIVINGSTON ISLAND; WILLIAMS POINT; 1ST RECORD; PALEOCENE; ANATOMY; EOCENE</t>
  </si>
  <si>
    <t>We identified six fossil-species of angiosperms based on fossil woods from two small collections from the Beta Member (lower Campanian) of the Santa Marta Formation on James Ross Island: 1) Paraphyllanthoxylon antarcticum sp. nov., a new species of Paraphyllanthoxylon (Angiosperm incertae sedis) which represents the first Antarctic record of that fossil-genus; three previously known Antarctic fossil-species, but from new localities, 2) Laurelites jamesrossii (Laurales), 3) Hedycaryoxylon tambourissoides (Monimiaceae) and 4) Eucryphiaceoxylon eucryphioides (Cunoniaceae); 5) Weinmannioxylon trichospermoides sp. nov., a new species of Weinmannioxylon (Cunoniaceae); 6) and Cretaceoxylon heteropunctatum gen. et sp. nov., a new fossil-genus and fossil-species with uncertain affinity, but with similar wood anatomy and vessel-ray parenchyma pits to the Santalales and Malpighiales. The richness of angiosperm woody species is increased for the Late Cretaceous of Antarctica. The fossil woods are used to interpret ancient forests composition and to make some climatic inferences during the Campanian of the Antarctic Peninsula. (C) 2018 Elsevier Ltd. All rights reserved.</t>
  </si>
  <si>
    <t>[Pujana, R. R.] Consejo Nacl Invest Cient &amp; Tecn, Museo Argentino Ciencias Nat, 470 Angel Gallardo, RA-1405 Buenos Aires, DF, Argentina; [Iglesias, A.] Consejo Nacl Invest Cient &amp; Tecn, Inst Invest Biodiversidad &amp; Medio Ambiente, 1250 Quintral, RA-8400 San Carlos De Bariloche, Rio Negro, Argentina; [Raffi, M. E.; Olivero, E. B.] Consejo Nacl Invest Cient &amp; Tecn, CADIC, 200 Bernardo Houssay, RA-9410 Ushuaia, Argentina; [Raffi, M. E.; Olivero, E. B.] Univ Nacl Tierra Fuego, Inst Ciencias Polares Ambiente Recursos Nat ICPA, Ushuaia, Argentina</t>
  </si>
  <si>
    <t>Museo Argentino de Ciencias Naturales Bernardino Rivadavia (MACN); Consejo Nacional de Investigaciones Cientificas y Tecnicas (CONICET); Consejo Nacional de Investigaciones Cientificas y Tecnicas (CONICET); Consejo Nacional de Investigaciones Cientificas y Tecnicas (CONICET)</t>
  </si>
  <si>
    <t>Pujana, RR (corresponding author), Consejo Nacl Invest Cient &amp; Tecn, Museo Argentino Ciencias Nat, 470 Angel Gallardo, RA-1405 Buenos Aires, DF, Argentina.</t>
  </si>
  <si>
    <t>rpujana@macn.gov.ar</t>
  </si>
  <si>
    <t>Pujana, Roberto Roman/0000-0001-8006-3332; Iglesias, Ari/0000-0002-9098-8758</t>
  </si>
  <si>
    <t>CONICET [PIP 2014-0259]; ANPCyT [PICTO2010-0093]; PIDUNTDF-A; Instituto Antartico Argentino (DNA-IAA)</t>
  </si>
  <si>
    <t>CONICET(Consejo Nacional de Investigaciones Cientificas y Tecnicas (CONICET)); ANPCyT(ANPCyT); PIDUNTDF-A; Instituto Antartico Argentino (DNA-IAA)</t>
  </si>
  <si>
    <t>The authors would like to thank the two anonymous reviewers and the editor for the corrections and suggestions, that are particularly time-consuming in systematic articles, that contributed to improving the final version of the paper. We also thank M. Reguero, J. O'Gorman, R. Coria, M. Fernandez, F. Milanese, for valuable help at field works. We also thank to IAA technicians J. Dellacha, J. Lusky, G. Mamani, and M.A. Rios for project collaboration. Financial support has been provided by CONICET (PIP 2014-0259), ANPCyT (PICTO2010-0093), PIDUNTDF-A and the Instituto Antartico Argentino (DNA-IAA).</t>
  </si>
  <si>
    <t>0195-6671</t>
  </si>
  <si>
    <t>1095-998X</t>
  </si>
  <si>
    <t>CRETACEOUS RES</t>
  </si>
  <si>
    <t>Cretac. Res.</t>
  </si>
  <si>
    <t>OCT</t>
  </si>
  <si>
    <t>10.1016/j.cretres.2018.06.009</t>
  </si>
  <si>
    <t>GR1TG</t>
  </si>
  <si>
    <t>WOS:000442334000030</t>
  </si>
  <si>
    <t>Rowe, RK</t>
  </si>
  <si>
    <t>Rowe, R. Kerry</t>
  </si>
  <si>
    <t>Environmental geotechnics: looking back, looking forward</t>
  </si>
  <si>
    <t>ITALIAN GEOTECHNICAL JOURNAL-RIVISTA ITALIANA DI GEOTECNICA</t>
  </si>
  <si>
    <t>LANDFILL LEACHATE COLLECTION; HYDRAULIC CONDUCTIVITY; GEOMEMBRANE WRINKLES; BENTONITE EROSION; COMPOSITE LINERS; BARRIER SYSTEM; DIFFUSION; CLAY; MIGRATION; LEAKAGE</t>
  </si>
  <si>
    <t>Looking back, this paper highlights some significant advances with respect to the design and construction of leachate collection systems (LCSs), compacted clay liners (CCLs), geosynthetic clay liners (GCLs), and geomembranes (GMBs) over the past three to five decades. Looking forward, the paper identifies challenges still to be addressed from both the perspective of (i) the application of existing knowledge more consistently in engineering design and construction, and (ii) areas needing more research. It highlights the fact that while very important advances have been made in understanding the performance of barrier system components, too little attention is generally being paid to the interactions between the components of the system and how they can degrade or improve overall system performance and consequent environmental protection. The reasons that the observed leakages through composite liners are orders of magnitude higher than usually predicted in design are discussed. In this context the need for good construction quality assurance (CQA) involving consistent qualified visual inspection during construction is highlighted. Other areas discussed include the need to minimize wrinkles which play a very significant role in observed leakages, the effect of desiccation of a CCL once it is covered by a GMB, the benefits of including an electrical leak location survey in the CQA plan both before and after the GMB is covered, and finally the need for protection layers that not only minimizes short-term ductile puncture but also maintain low tensile strains in the GMB. Areas identified as requiring more research include improving the design of LCSs for landfills with much higher organic content than is normal for western countries, the performance of geocomposite drains as leak detection and secondary LCSs in landfills under the sustained long-term compressive loading (and consequent tensile strains) due to overlying waste, and the effectiveness of new coextruded GMB products that are effective barriers to contaminants like benzene for other contaminants of concern in redeveloping formerly contaminated land.</t>
  </si>
  <si>
    <t>[Rowe, R. Kerry] Queens RMC Queens Univ, Geotech &amp; Geoenvironm Engn, GeoEngn Ctr, Kingston, ON, Canada</t>
  </si>
  <si>
    <t>Queens University - Canada</t>
  </si>
  <si>
    <t>Rowe, RK (corresponding author), Queens RMC Queens Univ, Geotech &amp; Geoenvironm Engn, GeoEngn Ctr, Kingston, ON, Canada.</t>
  </si>
  <si>
    <t>Natural Science and Engineering Research Council of Canada (NSERC); Terrafix Geosynthetics Inc.; Solmax-GSE; Naue; Ontario Ministry of Environment; Antarctic Department of Conservation and Management (Australian Antarctic Division); Raven Industries; Kuraray Americas Inc.; Thiel Engineering</t>
  </si>
  <si>
    <t>Natural Science and Engineering Research Council of Canada (NSERC)(Natural Sciences and Engineering Research Council of Canada (NSERC)); Terrafix Geosynthetics Inc.; Solmax-GSE; Naue; Ontario Ministry of Environment; Antarctic Department of Conservation and Management (Australian Antarctic Division); Raven Industries; Kuraray Americas Inc.; Thiel Engineering</t>
  </si>
  <si>
    <t>With many thanks to the Italian Geotechnical Society (Associazione Geotecnica Italiana - AGI) for inviting me to present the distinguished 16th Croce Lecture in Rome, December 2017. The research presented in this paper was funded by the Natural Science and Engineering Research Council of Canada (NSERC). The author is very grateful to his colleagues in the GeoEngineering Centre at Queen's-RMC, especially Drs. Richard Brachman, Andy Take, Greg Siemens and Fady Abdelaal and Australian collaborator Ds. Malek Bouazza, A. El-Zein and R. McWatters. Industrial partners, Terrafix Geosynthetics Inc., Solmax-GSE, Naue, Ontario Ministry of Environment, the Antarctic Department of Conservation and Management (Australian Antarctic Division), Raven Industries, Kuraray Americas Inc., and Thiel Engineering for their support with various aspects of this research. Many past and present graduate students who co-authored papers that are referenced as well as J. Garcia for assistance with modeling of GCL over desiccated clay. Special thanks to Regan McIsaac for figures 4-6, Daniele Cazzuffi for figure 9, Abigail Gilson-Beck for figures 12 and 13, Rebecca McWatters for figure 15-17 and 19-21. Abigail Gilson-Beck, Edgard Chow, Mohamed Morsy, Rick Thiel and Yan Yu all provided extremely helpful comments and edits on the original draft; their help is very greatly appreciated. Special thanks also to Prof. Eng. Nicola Moraci and Eng. Daniele Cazzuffi for assistance in preparation of the lecture and reviewing the draft. The views expressed herein are those of the author and not necessarily those of the many people who have assisted with the research or reviewed of the manuscript.</t>
  </si>
  <si>
    <t>PATRON EDITORE S R L</t>
  </si>
  <si>
    <t>VIA BADINI 12, QUARTO INFERIORE, BOLOGNA, 00000, ITALY</t>
  </si>
  <si>
    <t>0557-1405</t>
  </si>
  <si>
    <t>ITAL GEOTECH J</t>
  </si>
  <si>
    <t>Ital. Geotech. J.</t>
  </si>
  <si>
    <t>OCT-DEC</t>
  </si>
  <si>
    <t>10.19199/2018.4.0557-1405.008</t>
  </si>
  <si>
    <t>Engineering, Geological</t>
  </si>
  <si>
    <t>HM6YP</t>
  </si>
  <si>
    <t>WOS:000459624500002</t>
  </si>
  <si>
    <t>Xie, AH; Wang, SM; Wang, YC; Li, CJ</t>
  </si>
  <si>
    <t>Xie, AiHong; Wang, ShiMeng; Wang, YiCheng; Li, ChuanJin</t>
  </si>
  <si>
    <t>Comparison of temperature extremes between Zhongshan Station and Great Wall Station in Antarctica</t>
  </si>
  <si>
    <t>SCIENCES IN COLD AND ARID REGIONS</t>
  </si>
  <si>
    <t>temperature extremes; Great Wall Station; Zhongshan Station; West Antarctica; East Antarctica; inverse variations; climate events</t>
  </si>
  <si>
    <t>CLIMATE-CHANGE; EAST ANTARCTICA; SURFACE TEMPERATURES; GREENLAND; PENINSULA; IMPACTS</t>
  </si>
  <si>
    <t>Although temperature extremes have led to more and more disasters, there are as yet few studies on the extremes and many disagreements on temperature changes in Antarctica. Based on daily minimum, maximum, and mean air temperatures (T-min, T-max, T-mean) at Great Wall Station (GW) and Zhongshan Station (ZS), we compared the temperature extremes and revealed a strong warming trend in T-min, a slight warming trend in T-mean, cooling in T-max, a decreasing trend in the daily temperature range, and the typical characteristic of coreless winter temperature. There are different seasonal variabilities, with the least in summer. The continentality index and seasonality show that the marine air mass has more effect on GW than ZS. Following the terminology of the Fifth Assessment Report of the Intergovernmental Panel on Climate Change (IPCC AR5), we defined nine indices of temperature extremes, based on the Antarctic geographical environment. Extreme-warm days have decreased, while extreme-warm nights have shown a nonsignificant trend. The number of melting days has increased at GW, while little change at ZS. More importantly, we have found inverse variations in temperature patterns between the two stations, which need further investigation into the dynamics of climate change in Antarctica.</t>
  </si>
  <si>
    <t>[Xie, AiHong; Wang, ShiMeng; Wang, YiCheng; Li, ChuanJin] Chinese Acad Sci, Northwest Inst Ecoenvironm &amp; Resources, State Key Lab Cryospher Sci, Lanzhou 730000, Gansu, Peoples R China; [Wang, YiCheng] Gansu Meteorol Adm, Lanzhou 730020, Gansu, Peoples R China</t>
  </si>
  <si>
    <t>Chinese Academy of Sciences</t>
  </si>
  <si>
    <t>Wang, SM (corresponding author), Chinese Acad Sci, Northwest Inst Ecoenvironm &amp; Resources, State Key Lab Cryospher Sci, Lanzhou 730000, Gansu, Peoples R China.;Xie, AH (corresponding author), Chinese Acad Sci, Northwest Inst Ecoenvironm &amp; Resources, 320 West Donggang Rd, Lanzhou 730000, Gansu, Peoples R China.</t>
  </si>
  <si>
    <t>xieaih@lzb.ac.cn; wangshimeng@lzb.ac.cn</t>
  </si>
  <si>
    <t>Chinese National Antarctic Research Expedition - National Natural Science Foundation of China [41476164, 41671073, 41425003, 41671063]; State Key Laboratory of Cryospheric Science</t>
  </si>
  <si>
    <t>Chinese National Antarctic Research Expedition - National Natural Science Foundation of China; State Key Laboratory of Cryospheric Science</t>
  </si>
  <si>
    <t>We are thankful for the logistical support provided by the Chinese National Antarctic Research Expedition. This research is funded by the National Natural Science Foundation of China (Grant Nos. 41476164, 41671073, 41425003, and 41671063) and the State Key Laboratory of Cryospheric Science. Our sincere appreciation goes to Professor LinGen Bian for providing the meteorological data and to Professors Tuo Chen, CunDe Xiao, ShiChang Kang, and Ian Allison for their insightful comments and suggestions.</t>
  </si>
  <si>
    <t>1674-3822</t>
  </si>
  <si>
    <t>SCI COLD ARID REG</t>
  </si>
  <si>
    <t>Sci. Cold Arid Reg.</t>
  </si>
  <si>
    <t>10.3724/SP.J.1226.2018.00369</t>
  </si>
  <si>
    <t>HJ9ON</t>
  </si>
  <si>
    <t>WOS:000457528800002</t>
  </si>
  <si>
    <t>Thoen, IU; Simoes, JC; Lindau, FGL; Sneed, SR</t>
  </si>
  <si>
    <t>Thoen, Isaias Ullmann; Simoes, Jefferson Cardia; Ley Lindau, Filipe Gaudie; Sneed, Sharon Ruchanan</t>
  </si>
  <si>
    <t>Ionic content in an ice core from the West Antarctic Ice Sheet: 1882-2008 A.D</t>
  </si>
  <si>
    <t>BRAZILIAN JOURNAL OF GEOLOGY</t>
  </si>
  <si>
    <t>aerosols; ice core; West Antarctic Ice Sheet; trace analysis; ion chromatography</t>
  </si>
  <si>
    <t>CHEMISTRY; SULFATE; VARIABILITY; RECORDS; ITASE; SNOW</t>
  </si>
  <si>
    <t>The study of atmospheric aerosols through polar ice cores is one of the most common and robust tools for the investigation of past changes in the circulation and chemistry of the atmosphere. Only a few subannual resolution records are available for the development of paleochemical and environmental interpretations. Here, we report the ionic content record for the period of 1882-2008 A.D. in an ice core recovered at the ice divide of the West Antarctic Ice Sheet. The ion concentrations found in the core were determined by ion chromatography on more than 2,000 samples and the basic statistics were calculated for major inorganic and organic ions. The dating of the core layers was based on the seasonality of SO42-, NO3-, and Na+, checked by the identification of the Krakatau (1883), Agung (1963) and Pinatubo/Hudson (1991) volcanic eruption signals. Significant aerosol input events were identified and grouped considering the ions present, their provenance and the season. The ionic balance, together with the decomposition of some origin indicators, showed that 36% of the ionic charge is derived from sea salt aerosols, 13% from mineral dust, and 17% from biogenic marine activity, while 34% are mainly products of chemical reactivity in the atmosphere.</t>
  </si>
  <si>
    <t>[Thoen, Isaias Ullmann; Simoes, Jefferson Cardia; Ley Lindau, Filipe Gaudie] Univ Fed Rio Grande do Sul, Ctr Polar &amp; Climat, Porto Alegre, RS, Brazil; [Simoes, Jefferson Cardia; Sneed, Sharon Ruchanan] Univ Maine, Climate Change Inst, Sawyer Environm Res Ctr, Orono, ME USA</t>
  </si>
  <si>
    <t>Universidade Federal do Rio Grande do Sul; University of Maine System; University of Maine Orono</t>
  </si>
  <si>
    <t>Thoen, IU (corresponding author), Univ Fed Rio Grande do Sul, Ctr Polar &amp; Climat, Porto Alegre, RS, Brazil.</t>
  </si>
  <si>
    <t>00120894@ufrgs.br; Jefferson.simoes@ufrgs.br; filipelindau@hotmail.com; sharon.sneed@maine.edu</t>
  </si>
  <si>
    <t>Gaudie Ley Lindau, Filipe/JOK-3096-2023; Simoes, Jefferson Cardia/D-7232-2013</t>
  </si>
  <si>
    <t>Simoes, Jefferson Cardia/0000-0001-5555-3401; Thoen, Isaias/0000-0002-2419-8838; Gaudie Ley Lindau, Filipe/0000-0001-7603-7203</t>
  </si>
  <si>
    <t>Brazilian Antarctic Programme (PROANTAR); Brazilian National Council for Scientific and Technological Development (CNPq) [407888/2013-6]</t>
  </si>
  <si>
    <t>Brazilian Antarctic Programme (PROANTAR); Brazilian National Council for Scientific and Technological Development (CNPq)(Conselho Nacional de Desenvolvimento Cientifico e Tecnologico (CNPQ))</t>
  </si>
  <si>
    <t>This research is part of the Brazilian Antarctic Programme (PROANTAR) and was funded from the Brazilian National Council for Scientific and Technological Development (CNPq), project 407888/2013-6. The authors are grateful for the participation in fieldwork of colleagues Luiz Fernando M. Reis, Francisco Eliseu Aquino and Marcelo Arevalo.</t>
  </si>
  <si>
    <t>SOC BRASILEIRA GEOLOGIA</t>
  </si>
  <si>
    <t>CAIXA POSTAL 11348, SAO PAULO, SP 05422-970, BRAZIL</t>
  </si>
  <si>
    <t>2317-4889</t>
  </si>
  <si>
    <t>2317-4692</t>
  </si>
  <si>
    <t>BRAZ J GEOL</t>
  </si>
  <si>
    <t>Braz. J. Geol.</t>
  </si>
  <si>
    <t>10.1590/2317-4889201820180037</t>
  </si>
  <si>
    <t>HH0WS</t>
  </si>
  <si>
    <t>WOS:000455441300012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</si>
</sst>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68</v>
      </c>
      <c r="AH2">
        <v>25</v>
      </c>
      <c r="AI2">
        <v>26</v>
      </c>
      <c r="AJ2">
        <v>4</v>
      </c>
      <c r="AK2">
        <v>35</v>
      </c>
      <c r="AL2" t="s">
        <v>92</v>
      </c>
      <c r="AM2" t="s">
        <v>93</v>
      </c>
      <c r="AN2" t="s">
        <v>94</v>
      </c>
      <c r="AO2" t="s">
        <v>95</v>
      </c>
      <c r="AP2" t="s">
        <v>96</v>
      </c>
      <c r="AQ2" t="s">
        <v>74</v>
      </c>
      <c r="AR2" t="s">
        <v>97</v>
      </c>
      <c r="AS2" t="s">
        <v>98</v>
      </c>
      <c r="AT2" t="s">
        <v>74</v>
      </c>
      <c r="AU2">
        <v>2019</v>
      </c>
      <c r="AV2">
        <v>25</v>
      </c>
      <c r="AW2">
        <v>8</v>
      </c>
      <c r="AX2" t="s">
        <v>74</v>
      </c>
      <c r="AY2" t="s">
        <v>74</v>
      </c>
      <c r="AZ2" t="s">
        <v>74</v>
      </c>
      <c r="BA2" t="s">
        <v>74</v>
      </c>
      <c r="BB2">
        <v>2142</v>
      </c>
      <c r="BC2">
        <v>2159</v>
      </c>
      <c r="BD2" t="s">
        <v>74</v>
      </c>
      <c r="BE2" t="s">
        <v>99</v>
      </c>
      <c r="BF2" t="str">
        <f>HYPERLINK("http://dx.doi.org/10.1080/10807039.2018.1490887","http://dx.doi.org/10.1080/10807039.2018.1490887")</f>
        <v>http://dx.doi.org/10.1080/10807039.2018.1490887</v>
      </c>
      <c r="BG2" t="s">
        <v>74</v>
      </c>
      <c r="BH2" t="s">
        <v>74</v>
      </c>
      <c r="BI2">
        <v>18</v>
      </c>
      <c r="BJ2" t="s">
        <v>100</v>
      </c>
      <c r="BK2" t="s">
        <v>101</v>
      </c>
      <c r="BL2" t="s">
        <v>102</v>
      </c>
      <c r="BM2" t="s">
        <v>103</v>
      </c>
      <c r="BN2" t="s">
        <v>74</v>
      </c>
      <c r="BO2" t="s">
        <v>74</v>
      </c>
      <c r="BP2" t="s">
        <v>74</v>
      </c>
      <c r="BQ2" t="s">
        <v>74</v>
      </c>
      <c r="BR2" t="s">
        <v>104</v>
      </c>
      <c r="BS2" t="s">
        <v>105</v>
      </c>
      <c r="BT2" t="str">
        <f>HYPERLINK("https%3A%2F%2Fwww.webofscience.com%2Fwos%2Fwoscc%2Ffull-record%2FWOS:000509880400016","View Full Record in Web of Science")</f>
        <v>View Full Record in Web of Science</v>
      </c>
    </row>
    <row r="3" spans="1:72" x14ac:dyDescent="0.15">
      <c r="A3" t="s">
        <v>72</v>
      </c>
      <c r="B3" t="s">
        <v>106</v>
      </c>
      <c r="C3" t="s">
        <v>74</v>
      </c>
      <c r="D3" t="s">
        <v>74</v>
      </c>
      <c r="E3" t="s">
        <v>74</v>
      </c>
      <c r="F3" t="s">
        <v>107</v>
      </c>
      <c r="G3" t="s">
        <v>74</v>
      </c>
      <c r="H3" t="s">
        <v>74</v>
      </c>
      <c r="I3" t="s">
        <v>108</v>
      </c>
      <c r="J3" t="s">
        <v>109</v>
      </c>
      <c r="K3" t="s">
        <v>74</v>
      </c>
      <c r="L3" t="s">
        <v>74</v>
      </c>
      <c r="M3" t="s">
        <v>78</v>
      </c>
      <c r="N3" t="s">
        <v>79</v>
      </c>
      <c r="O3" t="s">
        <v>74</v>
      </c>
      <c r="P3" t="s">
        <v>74</v>
      </c>
      <c r="Q3" t="s">
        <v>74</v>
      </c>
      <c r="R3" t="s">
        <v>74</v>
      </c>
      <c r="S3" t="s">
        <v>74</v>
      </c>
      <c r="T3" t="s">
        <v>110</v>
      </c>
      <c r="U3" t="s">
        <v>111</v>
      </c>
      <c r="V3" t="s">
        <v>112</v>
      </c>
      <c r="W3" t="s">
        <v>113</v>
      </c>
      <c r="X3" t="s">
        <v>114</v>
      </c>
      <c r="Y3" t="s">
        <v>115</v>
      </c>
      <c r="Z3" t="s">
        <v>116</v>
      </c>
      <c r="AA3" t="s">
        <v>117</v>
      </c>
      <c r="AB3" t="s">
        <v>118</v>
      </c>
      <c r="AC3" t="s">
        <v>119</v>
      </c>
      <c r="AD3" t="s">
        <v>120</v>
      </c>
      <c r="AE3" t="s">
        <v>121</v>
      </c>
      <c r="AF3" t="s">
        <v>74</v>
      </c>
      <c r="AG3">
        <v>51</v>
      </c>
      <c r="AH3">
        <v>17</v>
      </c>
      <c r="AI3">
        <v>17</v>
      </c>
      <c r="AJ3">
        <v>1</v>
      </c>
      <c r="AK3">
        <v>21</v>
      </c>
      <c r="AL3" t="s">
        <v>122</v>
      </c>
      <c r="AM3" t="s">
        <v>123</v>
      </c>
      <c r="AN3" t="s">
        <v>124</v>
      </c>
      <c r="AO3" t="s">
        <v>125</v>
      </c>
      <c r="AP3" t="s">
        <v>74</v>
      </c>
      <c r="AQ3" t="s">
        <v>74</v>
      </c>
      <c r="AR3" t="s">
        <v>109</v>
      </c>
      <c r="AS3" t="s">
        <v>126</v>
      </c>
      <c r="AT3" t="s">
        <v>74</v>
      </c>
      <c r="AU3">
        <v>2019</v>
      </c>
      <c r="AV3">
        <v>7</v>
      </c>
      <c r="AW3" t="s">
        <v>74</v>
      </c>
      <c r="AX3" t="s">
        <v>74</v>
      </c>
      <c r="AY3" t="s">
        <v>74</v>
      </c>
      <c r="AZ3" t="s">
        <v>74</v>
      </c>
      <c r="BA3" t="s">
        <v>74</v>
      </c>
      <c r="BB3">
        <v>165646</v>
      </c>
      <c r="BC3">
        <v>165658</v>
      </c>
      <c r="BD3" t="s">
        <v>74</v>
      </c>
      <c r="BE3" t="s">
        <v>127</v>
      </c>
      <c r="BF3" t="str">
        <f>HYPERLINK("http://dx.doi.org/10.1109/ACCESS.2019.2952928","http://dx.doi.org/10.1109/ACCESS.2019.2952928")</f>
        <v>http://dx.doi.org/10.1109/ACCESS.2019.2952928</v>
      </c>
      <c r="BG3" t="s">
        <v>74</v>
      </c>
      <c r="BH3" t="s">
        <v>74</v>
      </c>
      <c r="BI3">
        <v>13</v>
      </c>
      <c r="BJ3" t="s">
        <v>128</v>
      </c>
      <c r="BK3" t="s">
        <v>101</v>
      </c>
      <c r="BL3" t="s">
        <v>129</v>
      </c>
      <c r="BM3" t="s">
        <v>130</v>
      </c>
      <c r="BN3" t="s">
        <v>74</v>
      </c>
      <c r="BO3" t="s">
        <v>131</v>
      </c>
      <c r="BP3" t="s">
        <v>74</v>
      </c>
      <c r="BQ3" t="s">
        <v>74</v>
      </c>
      <c r="BR3" t="s">
        <v>104</v>
      </c>
      <c r="BS3" t="s">
        <v>132</v>
      </c>
      <c r="BT3" t="str">
        <f>HYPERLINK("https%3A%2F%2Fwww.webofscience.com%2Fwos%2Fwoscc%2Ffull-record%2FWOS:000509486300004","View Full Record in Web of Science")</f>
        <v>View Full Record in Web of Science</v>
      </c>
    </row>
    <row r="4" spans="1:72" x14ac:dyDescent="0.15">
      <c r="A4" t="s">
        <v>133</v>
      </c>
      <c r="B4" t="s">
        <v>134</v>
      </c>
      <c r="C4" t="s">
        <v>74</v>
      </c>
      <c r="D4" t="s">
        <v>135</v>
      </c>
      <c r="E4" t="s">
        <v>74</v>
      </c>
      <c r="F4" t="s">
        <v>136</v>
      </c>
      <c r="G4" t="s">
        <v>74</v>
      </c>
      <c r="H4" t="s">
        <v>74</v>
      </c>
      <c r="I4" t="s">
        <v>137</v>
      </c>
      <c r="J4" t="s">
        <v>138</v>
      </c>
      <c r="K4" t="s">
        <v>139</v>
      </c>
      <c r="L4" t="s">
        <v>74</v>
      </c>
      <c r="M4" t="s">
        <v>78</v>
      </c>
      <c r="N4" t="s">
        <v>140</v>
      </c>
      <c r="O4" t="s">
        <v>74</v>
      </c>
      <c r="P4" t="s">
        <v>74</v>
      </c>
      <c r="Q4" t="s">
        <v>74</v>
      </c>
      <c r="R4" t="s">
        <v>74</v>
      </c>
      <c r="S4" t="s">
        <v>74</v>
      </c>
      <c r="T4" t="s">
        <v>74</v>
      </c>
      <c r="U4" t="s">
        <v>141</v>
      </c>
      <c r="V4" t="s">
        <v>142</v>
      </c>
      <c r="W4" t="s">
        <v>143</v>
      </c>
      <c r="X4" t="s">
        <v>144</v>
      </c>
      <c r="Y4" t="s">
        <v>145</v>
      </c>
      <c r="Z4" t="s">
        <v>146</v>
      </c>
      <c r="AA4" t="s">
        <v>74</v>
      </c>
      <c r="AB4" t="s">
        <v>74</v>
      </c>
      <c r="AC4" t="s">
        <v>147</v>
      </c>
      <c r="AD4" t="s">
        <v>148</v>
      </c>
      <c r="AE4" t="s">
        <v>149</v>
      </c>
      <c r="AF4" t="s">
        <v>74</v>
      </c>
      <c r="AG4">
        <v>228</v>
      </c>
      <c r="AH4">
        <v>3</v>
      </c>
      <c r="AI4">
        <v>3</v>
      </c>
      <c r="AJ4">
        <v>2</v>
      </c>
      <c r="AK4">
        <v>25</v>
      </c>
      <c r="AL4" t="s">
        <v>150</v>
      </c>
      <c r="AM4" t="s">
        <v>151</v>
      </c>
      <c r="AN4" t="s">
        <v>152</v>
      </c>
      <c r="AO4" t="s">
        <v>153</v>
      </c>
      <c r="AP4" t="s">
        <v>74</v>
      </c>
      <c r="AQ4" t="s">
        <v>154</v>
      </c>
      <c r="AR4" t="s">
        <v>155</v>
      </c>
      <c r="AS4" t="s">
        <v>156</v>
      </c>
      <c r="AT4" t="s">
        <v>74</v>
      </c>
      <c r="AU4">
        <v>2019</v>
      </c>
      <c r="AV4">
        <v>47</v>
      </c>
      <c r="AW4" t="s">
        <v>74</v>
      </c>
      <c r="AX4" t="s">
        <v>74</v>
      </c>
      <c r="AY4" t="s">
        <v>74</v>
      </c>
      <c r="AZ4" t="s">
        <v>74</v>
      </c>
      <c r="BA4" t="s">
        <v>74</v>
      </c>
      <c r="BB4">
        <v>21</v>
      </c>
      <c r="BC4">
        <v>59</v>
      </c>
      <c r="BD4" t="s">
        <v>74</v>
      </c>
      <c r="BE4" t="s">
        <v>74</v>
      </c>
      <c r="BF4" t="s">
        <v>74</v>
      </c>
      <c r="BG4" t="s">
        <v>157</v>
      </c>
      <c r="BH4" t="s">
        <v>74</v>
      </c>
      <c r="BI4">
        <v>39</v>
      </c>
      <c r="BJ4" t="s">
        <v>158</v>
      </c>
      <c r="BK4" t="s">
        <v>159</v>
      </c>
      <c r="BL4" t="s">
        <v>160</v>
      </c>
      <c r="BM4" t="s">
        <v>161</v>
      </c>
      <c r="BN4" t="s">
        <v>74</v>
      </c>
      <c r="BO4" t="s">
        <v>162</v>
      </c>
      <c r="BP4" t="s">
        <v>74</v>
      </c>
      <c r="BQ4" t="s">
        <v>74</v>
      </c>
      <c r="BR4" t="s">
        <v>104</v>
      </c>
      <c r="BS4" t="s">
        <v>163</v>
      </c>
      <c r="BT4" t="str">
        <f>HYPERLINK("https%3A%2F%2Fwww.webofscience.com%2Fwos%2Fwoscc%2Ffull-record%2FWOS:000508936200003","View Full Record in Web of Science")</f>
        <v>View Full Record in Web of Science</v>
      </c>
    </row>
    <row r="5" spans="1:72" x14ac:dyDescent="0.15">
      <c r="A5" t="s">
        <v>164</v>
      </c>
      <c r="B5" t="s">
        <v>165</v>
      </c>
      <c r="C5" t="s">
        <v>74</v>
      </c>
      <c r="D5" t="s">
        <v>166</v>
      </c>
      <c r="E5" t="s">
        <v>74</v>
      </c>
      <c r="F5" t="s">
        <v>167</v>
      </c>
      <c r="G5" t="s">
        <v>74</v>
      </c>
      <c r="H5" t="s">
        <v>168</v>
      </c>
      <c r="I5" t="s">
        <v>169</v>
      </c>
      <c r="J5" t="s">
        <v>170</v>
      </c>
      <c r="K5" t="s">
        <v>171</v>
      </c>
      <c r="L5" t="s">
        <v>74</v>
      </c>
      <c r="M5" t="s">
        <v>78</v>
      </c>
      <c r="N5" t="s">
        <v>172</v>
      </c>
      <c r="O5" t="s">
        <v>173</v>
      </c>
      <c r="P5" t="s">
        <v>174</v>
      </c>
      <c r="Q5" t="s">
        <v>175</v>
      </c>
      <c r="R5" t="s">
        <v>74</v>
      </c>
      <c r="S5" t="s">
        <v>74</v>
      </c>
      <c r="T5" t="s">
        <v>74</v>
      </c>
      <c r="U5" t="s">
        <v>74</v>
      </c>
      <c r="V5" t="s">
        <v>176</v>
      </c>
      <c r="W5" t="s">
        <v>177</v>
      </c>
      <c r="X5" t="s">
        <v>178</v>
      </c>
      <c r="Y5" t="s">
        <v>179</v>
      </c>
      <c r="Z5" t="s">
        <v>180</v>
      </c>
      <c r="AA5" t="s">
        <v>74</v>
      </c>
      <c r="AB5" t="s">
        <v>181</v>
      </c>
      <c r="AC5" t="s">
        <v>74</v>
      </c>
      <c r="AD5" t="s">
        <v>74</v>
      </c>
      <c r="AE5" t="s">
        <v>74</v>
      </c>
      <c r="AF5" t="s">
        <v>74</v>
      </c>
      <c r="AG5">
        <v>10</v>
      </c>
      <c r="AH5">
        <v>3</v>
      </c>
      <c r="AI5">
        <v>3</v>
      </c>
      <c r="AJ5">
        <v>0</v>
      </c>
      <c r="AK5">
        <v>0</v>
      </c>
      <c r="AL5" t="s">
        <v>182</v>
      </c>
      <c r="AM5" t="s">
        <v>183</v>
      </c>
      <c r="AN5" t="s">
        <v>184</v>
      </c>
      <c r="AO5" t="s">
        <v>185</v>
      </c>
      <c r="AP5" t="s">
        <v>74</v>
      </c>
      <c r="AQ5" t="s">
        <v>186</v>
      </c>
      <c r="AR5" t="s">
        <v>187</v>
      </c>
      <c r="AS5" t="s">
        <v>74</v>
      </c>
      <c r="AT5" t="s">
        <v>74</v>
      </c>
      <c r="AU5">
        <v>2019</v>
      </c>
      <c r="AV5">
        <v>207</v>
      </c>
      <c r="AW5" t="s">
        <v>74</v>
      </c>
      <c r="AX5" t="s">
        <v>74</v>
      </c>
      <c r="AY5" t="s">
        <v>74</v>
      </c>
      <c r="AZ5" t="s">
        <v>74</v>
      </c>
      <c r="BA5" t="s">
        <v>74</v>
      </c>
      <c r="BB5" t="s">
        <v>74</v>
      </c>
      <c r="BC5" t="s">
        <v>74</v>
      </c>
      <c r="BD5">
        <v>5003</v>
      </c>
      <c r="BE5" t="s">
        <v>188</v>
      </c>
      <c r="BF5" t="str">
        <f>HYPERLINK("http://dx.doi.org/10.1051/epjconf/201920705003","http://dx.doi.org/10.1051/epjconf/201920705003")</f>
        <v>http://dx.doi.org/10.1051/epjconf/201920705003</v>
      </c>
      <c r="BG5" t="s">
        <v>74</v>
      </c>
      <c r="BH5" t="s">
        <v>74</v>
      </c>
      <c r="BI5">
        <v>4</v>
      </c>
      <c r="BJ5" t="s">
        <v>189</v>
      </c>
      <c r="BK5" t="s">
        <v>190</v>
      </c>
      <c r="BL5" t="s">
        <v>191</v>
      </c>
      <c r="BM5" t="s">
        <v>192</v>
      </c>
      <c r="BN5" t="s">
        <v>74</v>
      </c>
      <c r="BO5" t="s">
        <v>193</v>
      </c>
      <c r="BP5" t="s">
        <v>74</v>
      </c>
      <c r="BQ5" t="s">
        <v>74</v>
      </c>
      <c r="BR5" t="s">
        <v>104</v>
      </c>
      <c r="BS5" t="s">
        <v>194</v>
      </c>
      <c r="BT5" t="str">
        <f>HYPERLINK("https%3A%2F%2Fwww.webofscience.com%2Fwos%2Fwoscc%2Ffull-record%2FWOS:000507941600031","View Full Record in Web of Science")</f>
        <v>View Full Record in Web of Science</v>
      </c>
    </row>
    <row r="6" spans="1:72" x14ac:dyDescent="0.15">
      <c r="A6" t="s">
        <v>72</v>
      </c>
      <c r="B6" t="s">
        <v>195</v>
      </c>
      <c r="C6" t="s">
        <v>74</v>
      </c>
      <c r="D6" t="s">
        <v>74</v>
      </c>
      <c r="E6" t="s">
        <v>74</v>
      </c>
      <c r="F6" t="s">
        <v>196</v>
      </c>
      <c r="G6" t="s">
        <v>74</v>
      </c>
      <c r="H6" t="s">
        <v>74</v>
      </c>
      <c r="I6" t="s">
        <v>197</v>
      </c>
      <c r="J6" t="s">
        <v>198</v>
      </c>
      <c r="K6" t="s">
        <v>74</v>
      </c>
      <c r="L6" t="s">
        <v>74</v>
      </c>
      <c r="M6" t="s">
        <v>78</v>
      </c>
      <c r="N6" t="s">
        <v>79</v>
      </c>
      <c r="O6" t="s">
        <v>74</v>
      </c>
      <c r="P6" t="s">
        <v>74</v>
      </c>
      <c r="Q6" t="s">
        <v>74</v>
      </c>
      <c r="R6" t="s">
        <v>74</v>
      </c>
      <c r="S6" t="s">
        <v>74</v>
      </c>
      <c r="T6" t="s">
        <v>199</v>
      </c>
      <c r="U6" t="s">
        <v>200</v>
      </c>
      <c r="V6" t="s">
        <v>201</v>
      </c>
      <c r="W6" t="s">
        <v>202</v>
      </c>
      <c r="X6" t="s">
        <v>203</v>
      </c>
      <c r="Y6" t="s">
        <v>204</v>
      </c>
      <c r="Z6" t="s">
        <v>205</v>
      </c>
      <c r="AA6" t="s">
        <v>206</v>
      </c>
      <c r="AB6" t="s">
        <v>207</v>
      </c>
      <c r="AC6" t="s">
        <v>208</v>
      </c>
      <c r="AD6" t="s">
        <v>208</v>
      </c>
      <c r="AE6" t="s">
        <v>209</v>
      </c>
      <c r="AF6" t="s">
        <v>74</v>
      </c>
      <c r="AG6">
        <v>97</v>
      </c>
      <c r="AH6">
        <v>9</v>
      </c>
      <c r="AI6">
        <v>9</v>
      </c>
      <c r="AJ6">
        <v>4</v>
      </c>
      <c r="AK6">
        <v>13</v>
      </c>
      <c r="AL6" t="s">
        <v>210</v>
      </c>
      <c r="AM6" t="s">
        <v>211</v>
      </c>
      <c r="AN6" t="s">
        <v>212</v>
      </c>
      <c r="AO6" t="s">
        <v>213</v>
      </c>
      <c r="AP6" t="s">
        <v>214</v>
      </c>
      <c r="AQ6" t="s">
        <v>74</v>
      </c>
      <c r="AR6" t="s">
        <v>215</v>
      </c>
      <c r="AS6" t="s">
        <v>216</v>
      </c>
      <c r="AT6" t="s">
        <v>74</v>
      </c>
      <c r="AU6">
        <v>2019</v>
      </c>
      <c r="AV6">
        <v>51</v>
      </c>
      <c r="AW6">
        <v>1</v>
      </c>
      <c r="AX6" t="s">
        <v>74</v>
      </c>
      <c r="AY6" t="s">
        <v>74</v>
      </c>
      <c r="AZ6" t="s">
        <v>74</v>
      </c>
      <c r="BA6" t="s">
        <v>74</v>
      </c>
      <c r="BB6">
        <v>440</v>
      </c>
      <c r="BC6">
        <v>459</v>
      </c>
      <c r="BD6" t="s">
        <v>74</v>
      </c>
      <c r="BE6" t="s">
        <v>217</v>
      </c>
      <c r="BF6" t="str">
        <f>HYPERLINK("http://dx.doi.org/10.1080/15230430.2019.1660125","http://dx.doi.org/10.1080/15230430.2019.1660125")</f>
        <v>http://dx.doi.org/10.1080/15230430.2019.1660125</v>
      </c>
      <c r="BG6" t="s">
        <v>74</v>
      </c>
      <c r="BH6" t="s">
        <v>74</v>
      </c>
      <c r="BI6">
        <v>20</v>
      </c>
      <c r="BJ6" t="s">
        <v>218</v>
      </c>
      <c r="BK6" t="s">
        <v>101</v>
      </c>
      <c r="BL6" t="s">
        <v>219</v>
      </c>
      <c r="BM6" t="s">
        <v>220</v>
      </c>
      <c r="BN6" t="s">
        <v>74</v>
      </c>
      <c r="BO6" t="s">
        <v>221</v>
      </c>
      <c r="BP6" t="s">
        <v>74</v>
      </c>
      <c r="BQ6" t="s">
        <v>74</v>
      </c>
      <c r="BR6" t="s">
        <v>104</v>
      </c>
      <c r="BS6" t="s">
        <v>222</v>
      </c>
      <c r="BT6" t="str">
        <f>HYPERLINK("https%3A%2F%2Fwww.webofscience.com%2Fwos%2Fwoscc%2Ffull-record%2FWOS:000508175700002","View Full Record in Web of Science")</f>
        <v>View Full Record in Web of Science</v>
      </c>
    </row>
    <row r="7" spans="1:72" x14ac:dyDescent="0.15">
      <c r="A7" t="s">
        <v>72</v>
      </c>
      <c r="B7" t="s">
        <v>223</v>
      </c>
      <c r="C7" t="s">
        <v>74</v>
      </c>
      <c r="D7" t="s">
        <v>74</v>
      </c>
      <c r="E7" t="s">
        <v>74</v>
      </c>
      <c r="F7" t="s">
        <v>224</v>
      </c>
      <c r="G7" t="s">
        <v>74</v>
      </c>
      <c r="H7" t="s">
        <v>74</v>
      </c>
      <c r="I7" t="s">
        <v>225</v>
      </c>
      <c r="J7" t="s">
        <v>198</v>
      </c>
      <c r="K7" t="s">
        <v>74</v>
      </c>
      <c r="L7" t="s">
        <v>74</v>
      </c>
      <c r="M7" t="s">
        <v>78</v>
      </c>
      <c r="N7" t="s">
        <v>79</v>
      </c>
      <c r="O7" t="s">
        <v>74</v>
      </c>
      <c r="P7" t="s">
        <v>74</v>
      </c>
      <c r="Q7" t="s">
        <v>74</v>
      </c>
      <c r="R7" t="s">
        <v>74</v>
      </c>
      <c r="S7" t="s">
        <v>74</v>
      </c>
      <c r="T7" t="s">
        <v>226</v>
      </c>
      <c r="U7" t="s">
        <v>227</v>
      </c>
      <c r="V7" t="s">
        <v>228</v>
      </c>
      <c r="W7" t="s">
        <v>229</v>
      </c>
      <c r="X7" t="s">
        <v>230</v>
      </c>
      <c r="Y7" t="s">
        <v>231</v>
      </c>
      <c r="Z7" t="s">
        <v>232</v>
      </c>
      <c r="AA7" t="s">
        <v>233</v>
      </c>
      <c r="AB7" t="s">
        <v>234</v>
      </c>
      <c r="AC7" t="s">
        <v>74</v>
      </c>
      <c r="AD7" t="s">
        <v>74</v>
      </c>
      <c r="AE7" t="s">
        <v>74</v>
      </c>
      <c r="AF7" t="s">
        <v>74</v>
      </c>
      <c r="AG7">
        <v>32</v>
      </c>
      <c r="AH7">
        <v>3</v>
      </c>
      <c r="AI7">
        <v>3</v>
      </c>
      <c r="AJ7">
        <v>0</v>
      </c>
      <c r="AK7">
        <v>6</v>
      </c>
      <c r="AL7" t="s">
        <v>210</v>
      </c>
      <c r="AM7" t="s">
        <v>211</v>
      </c>
      <c r="AN7" t="s">
        <v>212</v>
      </c>
      <c r="AO7" t="s">
        <v>213</v>
      </c>
      <c r="AP7" t="s">
        <v>214</v>
      </c>
      <c r="AQ7" t="s">
        <v>74</v>
      </c>
      <c r="AR7" t="s">
        <v>215</v>
      </c>
      <c r="AS7" t="s">
        <v>216</v>
      </c>
      <c r="AT7" t="s">
        <v>74</v>
      </c>
      <c r="AU7">
        <v>2019</v>
      </c>
      <c r="AV7">
        <v>51</v>
      </c>
      <c r="AW7">
        <v>1</v>
      </c>
      <c r="AX7" t="s">
        <v>74</v>
      </c>
      <c r="AY7" t="s">
        <v>74</v>
      </c>
      <c r="AZ7" t="s">
        <v>74</v>
      </c>
      <c r="BA7" t="s">
        <v>74</v>
      </c>
      <c r="BB7">
        <v>460</v>
      </c>
      <c r="BC7">
        <v>470</v>
      </c>
      <c r="BD7" t="s">
        <v>74</v>
      </c>
      <c r="BE7" t="s">
        <v>235</v>
      </c>
      <c r="BF7" t="str">
        <f>HYPERLINK("http://dx.doi.org/10.1080/15230430.2019.1676951","http://dx.doi.org/10.1080/15230430.2019.1676951")</f>
        <v>http://dx.doi.org/10.1080/15230430.2019.1676951</v>
      </c>
      <c r="BG7" t="s">
        <v>74</v>
      </c>
      <c r="BH7" t="s">
        <v>74</v>
      </c>
      <c r="BI7">
        <v>11</v>
      </c>
      <c r="BJ7" t="s">
        <v>218</v>
      </c>
      <c r="BK7" t="s">
        <v>101</v>
      </c>
      <c r="BL7" t="s">
        <v>219</v>
      </c>
      <c r="BM7" t="s">
        <v>220</v>
      </c>
      <c r="BN7" t="s">
        <v>74</v>
      </c>
      <c r="BO7" t="s">
        <v>221</v>
      </c>
      <c r="BP7" t="s">
        <v>74</v>
      </c>
      <c r="BQ7" t="s">
        <v>74</v>
      </c>
      <c r="BR7" t="s">
        <v>104</v>
      </c>
      <c r="BS7" t="s">
        <v>236</v>
      </c>
      <c r="BT7" t="str">
        <f>HYPERLINK("https%3A%2F%2Fwww.webofscience.com%2Fwos%2Fwoscc%2Ffull-record%2FWOS:000508175700003","View Full Record in Web of Science")</f>
        <v>View Full Record in Web of Science</v>
      </c>
    </row>
    <row r="8" spans="1:72" x14ac:dyDescent="0.15">
      <c r="A8" t="s">
        <v>72</v>
      </c>
      <c r="B8" t="s">
        <v>237</v>
      </c>
      <c r="C8" t="s">
        <v>74</v>
      </c>
      <c r="D8" t="s">
        <v>74</v>
      </c>
      <c r="E8" t="s">
        <v>74</v>
      </c>
      <c r="F8" t="s">
        <v>238</v>
      </c>
      <c r="G8" t="s">
        <v>74</v>
      </c>
      <c r="H8" t="s">
        <v>74</v>
      </c>
      <c r="I8" t="s">
        <v>239</v>
      </c>
      <c r="J8" t="s">
        <v>198</v>
      </c>
      <c r="K8" t="s">
        <v>74</v>
      </c>
      <c r="L8" t="s">
        <v>74</v>
      </c>
      <c r="M8" t="s">
        <v>78</v>
      </c>
      <c r="N8" t="s">
        <v>79</v>
      </c>
      <c r="O8" t="s">
        <v>74</v>
      </c>
      <c r="P8" t="s">
        <v>74</v>
      </c>
      <c r="Q8" t="s">
        <v>74</v>
      </c>
      <c r="R8" t="s">
        <v>74</v>
      </c>
      <c r="S8" t="s">
        <v>74</v>
      </c>
      <c r="T8" t="s">
        <v>240</v>
      </c>
      <c r="U8" t="s">
        <v>241</v>
      </c>
      <c r="V8" t="s">
        <v>242</v>
      </c>
      <c r="W8" t="s">
        <v>243</v>
      </c>
      <c r="X8" t="s">
        <v>244</v>
      </c>
      <c r="Y8" t="s">
        <v>245</v>
      </c>
      <c r="Z8" t="s">
        <v>246</v>
      </c>
      <c r="AA8" t="s">
        <v>247</v>
      </c>
      <c r="AB8" t="s">
        <v>248</v>
      </c>
      <c r="AC8" t="s">
        <v>249</v>
      </c>
      <c r="AD8" t="s">
        <v>250</v>
      </c>
      <c r="AE8" t="s">
        <v>251</v>
      </c>
      <c r="AF8" t="s">
        <v>74</v>
      </c>
      <c r="AG8">
        <v>46</v>
      </c>
      <c r="AH8">
        <v>11</v>
      </c>
      <c r="AI8">
        <v>11</v>
      </c>
      <c r="AJ8">
        <v>1</v>
      </c>
      <c r="AK8">
        <v>6</v>
      </c>
      <c r="AL8" t="s">
        <v>210</v>
      </c>
      <c r="AM8" t="s">
        <v>211</v>
      </c>
      <c r="AN8" t="s">
        <v>212</v>
      </c>
      <c r="AO8" t="s">
        <v>213</v>
      </c>
      <c r="AP8" t="s">
        <v>214</v>
      </c>
      <c r="AQ8" t="s">
        <v>74</v>
      </c>
      <c r="AR8" t="s">
        <v>215</v>
      </c>
      <c r="AS8" t="s">
        <v>216</v>
      </c>
      <c r="AT8" t="s">
        <v>74</v>
      </c>
      <c r="AU8">
        <v>2019</v>
      </c>
      <c r="AV8">
        <v>51</v>
      </c>
      <c r="AW8">
        <v>1</v>
      </c>
      <c r="AX8" t="s">
        <v>74</v>
      </c>
      <c r="AY8" t="s">
        <v>74</v>
      </c>
      <c r="AZ8" t="s">
        <v>74</v>
      </c>
      <c r="BA8" t="s">
        <v>74</v>
      </c>
      <c r="BB8">
        <v>471</v>
      </c>
      <c r="BC8">
        <v>489</v>
      </c>
      <c r="BD8" t="s">
        <v>74</v>
      </c>
      <c r="BE8" t="s">
        <v>252</v>
      </c>
      <c r="BF8" t="str">
        <f>HYPERLINK("http://dx.doi.org/10.1080/15230430.2019.1676939","http://dx.doi.org/10.1080/15230430.2019.1676939")</f>
        <v>http://dx.doi.org/10.1080/15230430.2019.1676939</v>
      </c>
      <c r="BG8" t="s">
        <v>74</v>
      </c>
      <c r="BH8" t="s">
        <v>74</v>
      </c>
      <c r="BI8">
        <v>19</v>
      </c>
      <c r="BJ8" t="s">
        <v>218</v>
      </c>
      <c r="BK8" t="s">
        <v>101</v>
      </c>
      <c r="BL8" t="s">
        <v>219</v>
      </c>
      <c r="BM8" t="s">
        <v>220</v>
      </c>
      <c r="BN8" t="s">
        <v>74</v>
      </c>
      <c r="BO8" t="s">
        <v>131</v>
      </c>
      <c r="BP8" t="s">
        <v>74</v>
      </c>
      <c r="BQ8" t="s">
        <v>74</v>
      </c>
      <c r="BR8" t="s">
        <v>104</v>
      </c>
      <c r="BS8" t="s">
        <v>253</v>
      </c>
      <c r="BT8" t="str">
        <f>HYPERLINK("https%3A%2F%2Fwww.webofscience.com%2Fwos%2Fwoscc%2Ffull-record%2FWOS:000508175700004","View Full Record in Web of Science")</f>
        <v>View Full Record in Web of Science</v>
      </c>
    </row>
    <row r="9" spans="1:72" x14ac:dyDescent="0.15">
      <c r="A9" t="s">
        <v>72</v>
      </c>
      <c r="B9" t="s">
        <v>254</v>
      </c>
      <c r="C9" t="s">
        <v>74</v>
      </c>
      <c r="D9" t="s">
        <v>74</v>
      </c>
      <c r="E9" t="s">
        <v>74</v>
      </c>
      <c r="F9" t="s">
        <v>255</v>
      </c>
      <c r="G9" t="s">
        <v>74</v>
      </c>
      <c r="H9" t="s">
        <v>74</v>
      </c>
      <c r="I9" t="s">
        <v>256</v>
      </c>
      <c r="J9" t="s">
        <v>198</v>
      </c>
      <c r="K9" t="s">
        <v>74</v>
      </c>
      <c r="L9" t="s">
        <v>74</v>
      </c>
      <c r="M9" t="s">
        <v>78</v>
      </c>
      <c r="N9" t="s">
        <v>79</v>
      </c>
      <c r="O9" t="s">
        <v>74</v>
      </c>
      <c r="P9" t="s">
        <v>74</v>
      </c>
      <c r="Q9" t="s">
        <v>74</v>
      </c>
      <c r="R9" t="s">
        <v>74</v>
      </c>
      <c r="S9" t="s">
        <v>74</v>
      </c>
      <c r="T9" t="s">
        <v>257</v>
      </c>
      <c r="U9" t="s">
        <v>258</v>
      </c>
      <c r="V9" t="s">
        <v>259</v>
      </c>
      <c r="W9" t="s">
        <v>260</v>
      </c>
      <c r="X9" t="s">
        <v>261</v>
      </c>
      <c r="Y9" t="s">
        <v>262</v>
      </c>
      <c r="Z9" t="s">
        <v>263</v>
      </c>
      <c r="AA9" t="s">
        <v>264</v>
      </c>
      <c r="AB9" t="s">
        <v>265</v>
      </c>
      <c r="AC9" t="s">
        <v>266</v>
      </c>
      <c r="AD9" t="s">
        <v>267</v>
      </c>
      <c r="AE9" t="s">
        <v>268</v>
      </c>
      <c r="AF9" t="s">
        <v>74</v>
      </c>
      <c r="AG9">
        <v>58</v>
      </c>
      <c r="AH9">
        <v>8</v>
      </c>
      <c r="AI9">
        <v>8</v>
      </c>
      <c r="AJ9">
        <v>0</v>
      </c>
      <c r="AK9">
        <v>14</v>
      </c>
      <c r="AL9" t="s">
        <v>210</v>
      </c>
      <c r="AM9" t="s">
        <v>211</v>
      </c>
      <c r="AN9" t="s">
        <v>212</v>
      </c>
      <c r="AO9" t="s">
        <v>213</v>
      </c>
      <c r="AP9" t="s">
        <v>214</v>
      </c>
      <c r="AQ9" t="s">
        <v>74</v>
      </c>
      <c r="AR9" t="s">
        <v>215</v>
      </c>
      <c r="AS9" t="s">
        <v>216</v>
      </c>
      <c r="AT9" t="s">
        <v>74</v>
      </c>
      <c r="AU9">
        <v>2019</v>
      </c>
      <c r="AV9">
        <v>51</v>
      </c>
      <c r="AW9">
        <v>1</v>
      </c>
      <c r="AX9" t="s">
        <v>74</v>
      </c>
      <c r="AY9" t="s">
        <v>74</v>
      </c>
      <c r="AZ9" t="s">
        <v>74</v>
      </c>
      <c r="BA9" t="s">
        <v>74</v>
      </c>
      <c r="BB9">
        <v>490</v>
      </c>
      <c r="BC9">
        <v>505</v>
      </c>
      <c r="BD9" t="s">
        <v>74</v>
      </c>
      <c r="BE9" t="s">
        <v>269</v>
      </c>
      <c r="BF9" t="str">
        <f>HYPERLINK("http://dx.doi.org/10.1080/15230430.2019.1679939","http://dx.doi.org/10.1080/15230430.2019.1679939")</f>
        <v>http://dx.doi.org/10.1080/15230430.2019.1679939</v>
      </c>
      <c r="BG9" t="s">
        <v>74</v>
      </c>
      <c r="BH9" t="s">
        <v>74</v>
      </c>
      <c r="BI9">
        <v>16</v>
      </c>
      <c r="BJ9" t="s">
        <v>218</v>
      </c>
      <c r="BK9" t="s">
        <v>101</v>
      </c>
      <c r="BL9" t="s">
        <v>219</v>
      </c>
      <c r="BM9" t="s">
        <v>220</v>
      </c>
      <c r="BN9" t="s">
        <v>74</v>
      </c>
      <c r="BO9" t="s">
        <v>270</v>
      </c>
      <c r="BP9" t="s">
        <v>74</v>
      </c>
      <c r="BQ9" t="s">
        <v>74</v>
      </c>
      <c r="BR9" t="s">
        <v>104</v>
      </c>
      <c r="BS9" t="s">
        <v>271</v>
      </c>
      <c r="BT9" t="str">
        <f>HYPERLINK("https%3A%2F%2Fwww.webofscience.com%2Fwos%2Fwoscc%2Ffull-record%2FWOS:000508175700005","View Full Record in Web of Science")</f>
        <v>View Full Record in Web of Science</v>
      </c>
    </row>
    <row r="10" spans="1:72" x14ac:dyDescent="0.15">
      <c r="A10" t="s">
        <v>72</v>
      </c>
      <c r="B10" t="s">
        <v>272</v>
      </c>
      <c r="C10" t="s">
        <v>74</v>
      </c>
      <c r="D10" t="s">
        <v>74</v>
      </c>
      <c r="E10" t="s">
        <v>74</v>
      </c>
      <c r="F10" t="s">
        <v>273</v>
      </c>
      <c r="G10" t="s">
        <v>74</v>
      </c>
      <c r="H10" t="s">
        <v>74</v>
      </c>
      <c r="I10" t="s">
        <v>274</v>
      </c>
      <c r="J10" t="s">
        <v>198</v>
      </c>
      <c r="K10" t="s">
        <v>74</v>
      </c>
      <c r="L10" t="s">
        <v>74</v>
      </c>
      <c r="M10" t="s">
        <v>78</v>
      </c>
      <c r="N10" t="s">
        <v>79</v>
      </c>
      <c r="O10" t="s">
        <v>74</v>
      </c>
      <c r="P10" t="s">
        <v>74</v>
      </c>
      <c r="Q10" t="s">
        <v>74</v>
      </c>
      <c r="R10" t="s">
        <v>74</v>
      </c>
      <c r="S10" t="s">
        <v>74</v>
      </c>
      <c r="T10" t="s">
        <v>275</v>
      </c>
      <c r="U10" t="s">
        <v>276</v>
      </c>
      <c r="V10" t="s">
        <v>277</v>
      </c>
      <c r="W10" t="s">
        <v>278</v>
      </c>
      <c r="X10" t="s">
        <v>279</v>
      </c>
      <c r="Y10" t="s">
        <v>280</v>
      </c>
      <c r="Z10" t="s">
        <v>281</v>
      </c>
      <c r="AA10" t="s">
        <v>282</v>
      </c>
      <c r="AB10" t="s">
        <v>283</v>
      </c>
      <c r="AC10" t="s">
        <v>74</v>
      </c>
      <c r="AD10" t="s">
        <v>74</v>
      </c>
      <c r="AE10" t="s">
        <v>74</v>
      </c>
      <c r="AF10" t="s">
        <v>74</v>
      </c>
      <c r="AG10">
        <v>89</v>
      </c>
      <c r="AH10">
        <v>12</v>
      </c>
      <c r="AI10">
        <v>12</v>
      </c>
      <c r="AJ10">
        <v>4</v>
      </c>
      <c r="AK10">
        <v>15</v>
      </c>
      <c r="AL10" t="s">
        <v>210</v>
      </c>
      <c r="AM10" t="s">
        <v>211</v>
      </c>
      <c r="AN10" t="s">
        <v>212</v>
      </c>
      <c r="AO10" t="s">
        <v>213</v>
      </c>
      <c r="AP10" t="s">
        <v>214</v>
      </c>
      <c r="AQ10" t="s">
        <v>74</v>
      </c>
      <c r="AR10" t="s">
        <v>215</v>
      </c>
      <c r="AS10" t="s">
        <v>216</v>
      </c>
      <c r="AT10" t="s">
        <v>74</v>
      </c>
      <c r="AU10">
        <v>2019</v>
      </c>
      <c r="AV10">
        <v>51</v>
      </c>
      <c r="AW10">
        <v>1</v>
      </c>
      <c r="AX10" t="s">
        <v>74</v>
      </c>
      <c r="AY10" t="s">
        <v>74</v>
      </c>
      <c r="AZ10" t="s">
        <v>74</v>
      </c>
      <c r="BA10" t="s">
        <v>74</v>
      </c>
      <c r="BB10">
        <v>506</v>
      </c>
      <c r="BC10">
        <v>520</v>
      </c>
      <c r="BD10" t="s">
        <v>74</v>
      </c>
      <c r="BE10" t="s">
        <v>284</v>
      </c>
      <c r="BF10" t="str">
        <f>HYPERLINK("http://dx.doi.org/10.1080/15230430.2019.1679940","http://dx.doi.org/10.1080/15230430.2019.1679940")</f>
        <v>http://dx.doi.org/10.1080/15230430.2019.1679940</v>
      </c>
      <c r="BG10" t="s">
        <v>74</v>
      </c>
      <c r="BH10" t="s">
        <v>74</v>
      </c>
      <c r="BI10">
        <v>15</v>
      </c>
      <c r="BJ10" t="s">
        <v>218</v>
      </c>
      <c r="BK10" t="s">
        <v>101</v>
      </c>
      <c r="BL10" t="s">
        <v>219</v>
      </c>
      <c r="BM10" t="s">
        <v>220</v>
      </c>
      <c r="BN10" t="s">
        <v>74</v>
      </c>
      <c r="BO10" t="s">
        <v>285</v>
      </c>
      <c r="BP10" t="s">
        <v>74</v>
      </c>
      <c r="BQ10" t="s">
        <v>74</v>
      </c>
      <c r="BR10" t="s">
        <v>104</v>
      </c>
      <c r="BS10" t="s">
        <v>286</v>
      </c>
      <c r="BT10" t="str">
        <f>HYPERLINK("https%3A%2F%2Fwww.webofscience.com%2Fwos%2Fwoscc%2Ffull-record%2FWOS:000508175700006","View Full Record in Web of Science")</f>
        <v>View Full Record in Web of Science</v>
      </c>
    </row>
    <row r="11" spans="1:72" x14ac:dyDescent="0.15">
      <c r="A11" t="s">
        <v>72</v>
      </c>
      <c r="B11" t="s">
        <v>287</v>
      </c>
      <c r="C11" t="s">
        <v>74</v>
      </c>
      <c r="D11" t="s">
        <v>74</v>
      </c>
      <c r="E11" t="s">
        <v>74</v>
      </c>
      <c r="F11" t="s">
        <v>288</v>
      </c>
      <c r="G11" t="s">
        <v>74</v>
      </c>
      <c r="H11" t="s">
        <v>74</v>
      </c>
      <c r="I11" t="s">
        <v>289</v>
      </c>
      <c r="J11" t="s">
        <v>198</v>
      </c>
      <c r="K11" t="s">
        <v>74</v>
      </c>
      <c r="L11" t="s">
        <v>74</v>
      </c>
      <c r="M11" t="s">
        <v>78</v>
      </c>
      <c r="N11" t="s">
        <v>79</v>
      </c>
      <c r="O11" t="s">
        <v>74</v>
      </c>
      <c r="P11" t="s">
        <v>74</v>
      </c>
      <c r="Q11" t="s">
        <v>74</v>
      </c>
      <c r="R11" t="s">
        <v>74</v>
      </c>
      <c r="S11" t="s">
        <v>74</v>
      </c>
      <c r="T11" t="s">
        <v>290</v>
      </c>
      <c r="U11" t="s">
        <v>291</v>
      </c>
      <c r="V11" t="s">
        <v>292</v>
      </c>
      <c r="W11" t="s">
        <v>293</v>
      </c>
      <c r="X11" t="s">
        <v>294</v>
      </c>
      <c r="Y11" t="s">
        <v>295</v>
      </c>
      <c r="Z11" t="s">
        <v>296</v>
      </c>
      <c r="AA11" t="s">
        <v>297</v>
      </c>
      <c r="AB11" t="s">
        <v>298</v>
      </c>
      <c r="AC11" t="s">
        <v>299</v>
      </c>
      <c r="AD11" t="s">
        <v>300</v>
      </c>
      <c r="AE11" t="s">
        <v>301</v>
      </c>
      <c r="AF11" t="s">
        <v>74</v>
      </c>
      <c r="AG11">
        <v>49</v>
      </c>
      <c r="AH11">
        <v>16</v>
      </c>
      <c r="AI11">
        <v>16</v>
      </c>
      <c r="AJ11">
        <v>2</v>
      </c>
      <c r="AK11">
        <v>14</v>
      </c>
      <c r="AL11" t="s">
        <v>210</v>
      </c>
      <c r="AM11" t="s">
        <v>211</v>
      </c>
      <c r="AN11" t="s">
        <v>212</v>
      </c>
      <c r="AO11" t="s">
        <v>213</v>
      </c>
      <c r="AP11" t="s">
        <v>214</v>
      </c>
      <c r="AQ11" t="s">
        <v>74</v>
      </c>
      <c r="AR11" t="s">
        <v>215</v>
      </c>
      <c r="AS11" t="s">
        <v>216</v>
      </c>
      <c r="AT11" t="s">
        <v>74</v>
      </c>
      <c r="AU11">
        <v>2019</v>
      </c>
      <c r="AV11">
        <v>51</v>
      </c>
      <c r="AW11">
        <v>1</v>
      </c>
      <c r="AX11" t="s">
        <v>74</v>
      </c>
      <c r="AY11" t="s">
        <v>74</v>
      </c>
      <c r="AZ11" t="s">
        <v>74</v>
      </c>
      <c r="BA11" t="s">
        <v>74</v>
      </c>
      <c r="BB11">
        <v>521</v>
      </c>
      <c r="BC11">
        <v>532</v>
      </c>
      <c r="BD11" t="s">
        <v>74</v>
      </c>
      <c r="BE11" t="s">
        <v>302</v>
      </c>
      <c r="BF11" t="str">
        <f>HYPERLINK("http://dx.doi.org/10.1080/15230430.2019.1688751","http://dx.doi.org/10.1080/15230430.2019.1688751")</f>
        <v>http://dx.doi.org/10.1080/15230430.2019.1688751</v>
      </c>
      <c r="BG11" t="s">
        <v>74</v>
      </c>
      <c r="BH11" t="s">
        <v>74</v>
      </c>
      <c r="BI11">
        <v>12</v>
      </c>
      <c r="BJ11" t="s">
        <v>218</v>
      </c>
      <c r="BK11" t="s">
        <v>101</v>
      </c>
      <c r="BL11" t="s">
        <v>219</v>
      </c>
      <c r="BM11" t="s">
        <v>220</v>
      </c>
      <c r="BN11" t="s">
        <v>74</v>
      </c>
      <c r="BO11" t="s">
        <v>131</v>
      </c>
      <c r="BP11" t="s">
        <v>74</v>
      </c>
      <c r="BQ11" t="s">
        <v>74</v>
      </c>
      <c r="BR11" t="s">
        <v>104</v>
      </c>
      <c r="BS11" t="s">
        <v>303</v>
      </c>
      <c r="BT11" t="str">
        <f>HYPERLINK("https%3A%2F%2Fwww.webofscience.com%2Fwos%2Fwoscc%2Ffull-record%2FWOS:000508175700007","View Full Record in Web of Science")</f>
        <v>View Full Record in Web of Science</v>
      </c>
    </row>
    <row r="12" spans="1:72" x14ac:dyDescent="0.15">
      <c r="A12" t="s">
        <v>72</v>
      </c>
      <c r="B12" t="s">
        <v>304</v>
      </c>
      <c r="C12" t="s">
        <v>74</v>
      </c>
      <c r="D12" t="s">
        <v>74</v>
      </c>
      <c r="E12" t="s">
        <v>74</v>
      </c>
      <c r="F12" t="s">
        <v>305</v>
      </c>
      <c r="G12" t="s">
        <v>74</v>
      </c>
      <c r="H12" t="s">
        <v>74</v>
      </c>
      <c r="I12" t="s">
        <v>306</v>
      </c>
      <c r="J12" t="s">
        <v>198</v>
      </c>
      <c r="K12" t="s">
        <v>74</v>
      </c>
      <c r="L12" t="s">
        <v>74</v>
      </c>
      <c r="M12" t="s">
        <v>78</v>
      </c>
      <c r="N12" t="s">
        <v>79</v>
      </c>
      <c r="O12" t="s">
        <v>74</v>
      </c>
      <c r="P12" t="s">
        <v>74</v>
      </c>
      <c r="Q12" t="s">
        <v>74</v>
      </c>
      <c r="R12" t="s">
        <v>74</v>
      </c>
      <c r="S12" t="s">
        <v>74</v>
      </c>
      <c r="T12" t="s">
        <v>307</v>
      </c>
      <c r="U12" t="s">
        <v>308</v>
      </c>
      <c r="V12" t="s">
        <v>309</v>
      </c>
      <c r="W12" t="s">
        <v>310</v>
      </c>
      <c r="X12" t="s">
        <v>311</v>
      </c>
      <c r="Y12" t="s">
        <v>312</v>
      </c>
      <c r="Z12" t="s">
        <v>313</v>
      </c>
      <c r="AA12" t="s">
        <v>74</v>
      </c>
      <c r="AB12" t="s">
        <v>314</v>
      </c>
      <c r="AC12" t="s">
        <v>315</v>
      </c>
      <c r="AD12" t="s">
        <v>316</v>
      </c>
      <c r="AE12" t="s">
        <v>317</v>
      </c>
      <c r="AF12" t="s">
        <v>74</v>
      </c>
      <c r="AG12">
        <v>72</v>
      </c>
      <c r="AH12">
        <v>7</v>
      </c>
      <c r="AI12">
        <v>7</v>
      </c>
      <c r="AJ12">
        <v>5</v>
      </c>
      <c r="AK12">
        <v>28</v>
      </c>
      <c r="AL12" t="s">
        <v>210</v>
      </c>
      <c r="AM12" t="s">
        <v>211</v>
      </c>
      <c r="AN12" t="s">
        <v>212</v>
      </c>
      <c r="AO12" t="s">
        <v>213</v>
      </c>
      <c r="AP12" t="s">
        <v>214</v>
      </c>
      <c r="AQ12" t="s">
        <v>74</v>
      </c>
      <c r="AR12" t="s">
        <v>215</v>
      </c>
      <c r="AS12" t="s">
        <v>216</v>
      </c>
      <c r="AT12" t="s">
        <v>74</v>
      </c>
      <c r="AU12">
        <v>2019</v>
      </c>
      <c r="AV12">
        <v>51</v>
      </c>
      <c r="AW12">
        <v>1</v>
      </c>
      <c r="AX12" t="s">
        <v>74</v>
      </c>
      <c r="AY12" t="s">
        <v>74</v>
      </c>
      <c r="AZ12" t="s">
        <v>74</v>
      </c>
      <c r="BA12" t="s">
        <v>74</v>
      </c>
      <c r="BB12">
        <v>533</v>
      </c>
      <c r="BC12">
        <v>548</v>
      </c>
      <c r="BD12" t="s">
        <v>74</v>
      </c>
      <c r="BE12" t="s">
        <v>318</v>
      </c>
      <c r="BF12" t="str">
        <f>HYPERLINK("http://dx.doi.org/10.1080/15230430.2019.1692412","http://dx.doi.org/10.1080/15230430.2019.1692412")</f>
        <v>http://dx.doi.org/10.1080/15230430.2019.1692412</v>
      </c>
      <c r="BG12" t="s">
        <v>74</v>
      </c>
      <c r="BH12" t="s">
        <v>74</v>
      </c>
      <c r="BI12">
        <v>16</v>
      </c>
      <c r="BJ12" t="s">
        <v>218</v>
      </c>
      <c r="BK12" t="s">
        <v>101</v>
      </c>
      <c r="BL12" t="s">
        <v>219</v>
      </c>
      <c r="BM12" t="s">
        <v>220</v>
      </c>
      <c r="BN12" t="s">
        <v>74</v>
      </c>
      <c r="BO12" t="s">
        <v>131</v>
      </c>
      <c r="BP12" t="s">
        <v>74</v>
      </c>
      <c r="BQ12" t="s">
        <v>74</v>
      </c>
      <c r="BR12" t="s">
        <v>104</v>
      </c>
      <c r="BS12" t="s">
        <v>319</v>
      </c>
      <c r="BT12" t="str">
        <f>HYPERLINK("https%3A%2F%2Fwww.webofscience.com%2Fwos%2Fwoscc%2Ffull-record%2FWOS:000508175700008","View Full Record in Web of Science")</f>
        <v>View Full Record in Web of Science</v>
      </c>
    </row>
    <row r="13" spans="1:72" x14ac:dyDescent="0.15">
      <c r="A13" t="s">
        <v>72</v>
      </c>
      <c r="B13" t="s">
        <v>320</v>
      </c>
      <c r="C13" t="s">
        <v>74</v>
      </c>
      <c r="D13" t="s">
        <v>74</v>
      </c>
      <c r="E13" t="s">
        <v>74</v>
      </c>
      <c r="F13" t="s">
        <v>321</v>
      </c>
      <c r="G13" t="s">
        <v>74</v>
      </c>
      <c r="H13" t="s">
        <v>74</v>
      </c>
      <c r="I13" t="s">
        <v>322</v>
      </c>
      <c r="J13" t="s">
        <v>198</v>
      </c>
      <c r="K13" t="s">
        <v>74</v>
      </c>
      <c r="L13" t="s">
        <v>74</v>
      </c>
      <c r="M13" t="s">
        <v>78</v>
      </c>
      <c r="N13" t="s">
        <v>323</v>
      </c>
      <c r="O13" t="s">
        <v>74</v>
      </c>
      <c r="P13" t="s">
        <v>74</v>
      </c>
      <c r="Q13" t="s">
        <v>74</v>
      </c>
      <c r="R13" t="s">
        <v>74</v>
      </c>
      <c r="S13" t="s">
        <v>74</v>
      </c>
      <c r="T13" t="s">
        <v>74</v>
      </c>
      <c r="U13" t="s">
        <v>74</v>
      </c>
      <c r="V13" t="s">
        <v>74</v>
      </c>
      <c r="W13" t="s">
        <v>324</v>
      </c>
      <c r="X13" t="s">
        <v>325</v>
      </c>
      <c r="Y13" t="s">
        <v>326</v>
      </c>
      <c r="Z13" t="s">
        <v>327</v>
      </c>
      <c r="AA13" t="s">
        <v>74</v>
      </c>
      <c r="AB13" t="s">
        <v>74</v>
      </c>
      <c r="AC13" t="s">
        <v>74</v>
      </c>
      <c r="AD13" t="s">
        <v>74</v>
      </c>
      <c r="AE13" t="s">
        <v>74</v>
      </c>
      <c r="AF13" t="s">
        <v>74</v>
      </c>
      <c r="AG13">
        <v>0</v>
      </c>
      <c r="AH13">
        <v>0</v>
      </c>
      <c r="AI13">
        <v>0</v>
      </c>
      <c r="AJ13">
        <v>0</v>
      </c>
      <c r="AK13">
        <v>0</v>
      </c>
      <c r="AL13" t="s">
        <v>210</v>
      </c>
      <c r="AM13" t="s">
        <v>211</v>
      </c>
      <c r="AN13" t="s">
        <v>212</v>
      </c>
      <c r="AO13" t="s">
        <v>213</v>
      </c>
      <c r="AP13" t="s">
        <v>214</v>
      </c>
      <c r="AQ13" t="s">
        <v>74</v>
      </c>
      <c r="AR13" t="s">
        <v>215</v>
      </c>
      <c r="AS13" t="s">
        <v>216</v>
      </c>
      <c r="AT13" t="s">
        <v>74</v>
      </c>
      <c r="AU13">
        <v>2019</v>
      </c>
      <c r="AV13">
        <v>51</v>
      </c>
      <c r="AW13">
        <v>1</v>
      </c>
      <c r="AX13" t="s">
        <v>74</v>
      </c>
      <c r="AY13" t="s">
        <v>74</v>
      </c>
      <c r="AZ13" t="s">
        <v>74</v>
      </c>
      <c r="BA13" t="s">
        <v>74</v>
      </c>
      <c r="BB13">
        <v>549</v>
      </c>
      <c r="BC13">
        <v>550</v>
      </c>
      <c r="BD13" t="s">
        <v>74</v>
      </c>
      <c r="BE13" t="s">
        <v>328</v>
      </c>
      <c r="BF13" t="str">
        <f>HYPERLINK("http://dx.doi.org/10.1080/15230430.2019.1688992","http://dx.doi.org/10.1080/15230430.2019.1688992")</f>
        <v>http://dx.doi.org/10.1080/15230430.2019.1688992</v>
      </c>
      <c r="BG13" t="s">
        <v>74</v>
      </c>
      <c r="BH13" t="s">
        <v>74</v>
      </c>
      <c r="BI13">
        <v>2</v>
      </c>
      <c r="BJ13" t="s">
        <v>218</v>
      </c>
      <c r="BK13" t="s">
        <v>101</v>
      </c>
      <c r="BL13" t="s">
        <v>219</v>
      </c>
      <c r="BM13" t="s">
        <v>220</v>
      </c>
      <c r="BN13" t="s">
        <v>74</v>
      </c>
      <c r="BO13" t="s">
        <v>131</v>
      </c>
      <c r="BP13" t="s">
        <v>74</v>
      </c>
      <c r="BQ13" t="s">
        <v>74</v>
      </c>
      <c r="BR13" t="s">
        <v>104</v>
      </c>
      <c r="BS13" t="s">
        <v>329</v>
      </c>
      <c r="BT13" t="str">
        <f>HYPERLINK("https%3A%2F%2Fwww.webofscience.com%2Fwos%2Fwoscc%2Ffull-record%2FWOS:000508175700009","View Full Record in Web of Science")</f>
        <v>View Full Record in Web of Science</v>
      </c>
    </row>
    <row r="14" spans="1:72" x14ac:dyDescent="0.15">
      <c r="A14" t="s">
        <v>72</v>
      </c>
      <c r="B14" t="s">
        <v>330</v>
      </c>
      <c r="C14" t="s">
        <v>74</v>
      </c>
      <c r="D14" t="s">
        <v>74</v>
      </c>
      <c r="E14" t="s">
        <v>74</v>
      </c>
      <c r="F14" t="s">
        <v>331</v>
      </c>
      <c r="G14" t="s">
        <v>74</v>
      </c>
      <c r="H14" t="s">
        <v>74</v>
      </c>
      <c r="I14" t="s">
        <v>332</v>
      </c>
      <c r="J14" t="s">
        <v>333</v>
      </c>
      <c r="K14" t="s">
        <v>74</v>
      </c>
      <c r="L14" t="s">
        <v>74</v>
      </c>
      <c r="M14" t="s">
        <v>78</v>
      </c>
      <c r="N14" t="s">
        <v>79</v>
      </c>
      <c r="O14" t="s">
        <v>74</v>
      </c>
      <c r="P14" t="s">
        <v>74</v>
      </c>
      <c r="Q14" t="s">
        <v>74</v>
      </c>
      <c r="R14" t="s">
        <v>74</v>
      </c>
      <c r="S14" t="s">
        <v>74</v>
      </c>
      <c r="T14" t="s">
        <v>334</v>
      </c>
      <c r="U14" t="s">
        <v>74</v>
      </c>
      <c r="V14" t="s">
        <v>335</v>
      </c>
      <c r="W14" t="s">
        <v>336</v>
      </c>
      <c r="X14" t="s">
        <v>337</v>
      </c>
      <c r="Y14" t="s">
        <v>338</v>
      </c>
      <c r="Z14" t="s">
        <v>339</v>
      </c>
      <c r="AA14" t="s">
        <v>74</v>
      </c>
      <c r="AB14" t="s">
        <v>340</v>
      </c>
      <c r="AC14" t="s">
        <v>74</v>
      </c>
      <c r="AD14" t="s">
        <v>74</v>
      </c>
      <c r="AE14" t="s">
        <v>74</v>
      </c>
      <c r="AF14" t="s">
        <v>74</v>
      </c>
      <c r="AG14">
        <v>22</v>
      </c>
      <c r="AH14">
        <v>0</v>
      </c>
      <c r="AI14">
        <v>0</v>
      </c>
      <c r="AJ14">
        <v>1</v>
      </c>
      <c r="AK14">
        <v>11</v>
      </c>
      <c r="AL14" t="s">
        <v>341</v>
      </c>
      <c r="AM14" t="s">
        <v>342</v>
      </c>
      <c r="AN14" t="s">
        <v>343</v>
      </c>
      <c r="AO14" t="s">
        <v>344</v>
      </c>
      <c r="AP14" t="s">
        <v>74</v>
      </c>
      <c r="AQ14" t="s">
        <v>74</v>
      </c>
      <c r="AR14" t="s">
        <v>345</v>
      </c>
      <c r="AS14" t="s">
        <v>346</v>
      </c>
      <c r="AT14" t="s">
        <v>74</v>
      </c>
      <c r="AU14">
        <v>2019</v>
      </c>
      <c r="AV14" t="s">
        <v>74</v>
      </c>
      <c r="AW14">
        <v>13</v>
      </c>
      <c r="AX14" t="s">
        <v>74</v>
      </c>
      <c r="AY14" t="s">
        <v>74</v>
      </c>
      <c r="AZ14" t="s">
        <v>74</v>
      </c>
      <c r="BA14" t="s">
        <v>74</v>
      </c>
      <c r="BB14">
        <v>192</v>
      </c>
      <c r="BC14">
        <v>199</v>
      </c>
      <c r="BD14" t="s">
        <v>74</v>
      </c>
      <c r="BE14" t="s">
        <v>347</v>
      </c>
      <c r="BF14" t="str">
        <f>HYPERLINK("http://dx.doi.org/10.24919/2519-058x.13.188692","http://dx.doi.org/10.24919/2519-058x.13.188692")</f>
        <v>http://dx.doi.org/10.24919/2519-058x.13.188692</v>
      </c>
      <c r="BG14" t="s">
        <v>74</v>
      </c>
      <c r="BH14" t="s">
        <v>74</v>
      </c>
      <c r="BI14">
        <v>8</v>
      </c>
      <c r="BJ14" t="s">
        <v>348</v>
      </c>
      <c r="BK14" t="s">
        <v>349</v>
      </c>
      <c r="BL14" t="s">
        <v>348</v>
      </c>
      <c r="BM14" t="s">
        <v>350</v>
      </c>
      <c r="BN14" t="s">
        <v>74</v>
      </c>
      <c r="BO14" t="s">
        <v>131</v>
      </c>
      <c r="BP14" t="s">
        <v>74</v>
      </c>
      <c r="BQ14" t="s">
        <v>74</v>
      </c>
      <c r="BR14" t="s">
        <v>104</v>
      </c>
      <c r="BS14" t="s">
        <v>351</v>
      </c>
      <c r="BT14" t="str">
        <f>HYPERLINK("https%3A%2F%2Fwww.webofscience.com%2Fwos%2Fwoscc%2Ffull-record%2FWOS:000508576400019","View Full Record in Web of Science")</f>
        <v>View Full Record in Web of Science</v>
      </c>
    </row>
    <row r="15" spans="1:72" x14ac:dyDescent="0.15">
      <c r="A15" t="s">
        <v>72</v>
      </c>
      <c r="B15" t="s">
        <v>352</v>
      </c>
      <c r="C15" t="s">
        <v>74</v>
      </c>
      <c r="D15" t="s">
        <v>74</v>
      </c>
      <c r="E15" t="s">
        <v>74</v>
      </c>
      <c r="F15" t="s">
        <v>353</v>
      </c>
      <c r="G15" t="s">
        <v>74</v>
      </c>
      <c r="H15" t="s">
        <v>74</v>
      </c>
      <c r="I15" t="s">
        <v>354</v>
      </c>
      <c r="J15" t="s">
        <v>355</v>
      </c>
      <c r="K15" t="s">
        <v>74</v>
      </c>
      <c r="L15" t="s">
        <v>74</v>
      </c>
      <c r="M15" t="s">
        <v>78</v>
      </c>
      <c r="N15" t="s">
        <v>79</v>
      </c>
      <c r="O15" t="s">
        <v>74</v>
      </c>
      <c r="P15" t="s">
        <v>74</v>
      </c>
      <c r="Q15" t="s">
        <v>74</v>
      </c>
      <c r="R15" t="s">
        <v>74</v>
      </c>
      <c r="S15" t="s">
        <v>74</v>
      </c>
      <c r="T15" t="s">
        <v>356</v>
      </c>
      <c r="U15" t="s">
        <v>357</v>
      </c>
      <c r="V15" t="s">
        <v>358</v>
      </c>
      <c r="W15" t="s">
        <v>359</v>
      </c>
      <c r="X15" t="s">
        <v>360</v>
      </c>
      <c r="Y15" t="s">
        <v>361</v>
      </c>
      <c r="Z15" t="s">
        <v>362</v>
      </c>
      <c r="AA15" t="s">
        <v>363</v>
      </c>
      <c r="AB15" t="s">
        <v>364</v>
      </c>
      <c r="AC15" t="s">
        <v>365</v>
      </c>
      <c r="AD15" t="s">
        <v>365</v>
      </c>
      <c r="AE15" t="s">
        <v>366</v>
      </c>
      <c r="AF15" t="s">
        <v>74</v>
      </c>
      <c r="AG15">
        <v>242</v>
      </c>
      <c r="AH15">
        <v>7</v>
      </c>
      <c r="AI15">
        <v>8</v>
      </c>
      <c r="AJ15">
        <v>1</v>
      </c>
      <c r="AK15">
        <v>12</v>
      </c>
      <c r="AL15" t="s">
        <v>367</v>
      </c>
      <c r="AM15" t="s">
        <v>368</v>
      </c>
      <c r="AN15" t="s">
        <v>369</v>
      </c>
      <c r="AO15" t="s">
        <v>370</v>
      </c>
      <c r="AP15" t="s">
        <v>371</v>
      </c>
      <c r="AQ15" t="s">
        <v>74</v>
      </c>
      <c r="AR15" t="s">
        <v>372</v>
      </c>
      <c r="AS15" t="s">
        <v>373</v>
      </c>
      <c r="AT15" t="s">
        <v>74</v>
      </c>
      <c r="AU15">
        <v>2019</v>
      </c>
      <c r="AV15">
        <v>22</v>
      </c>
      <c r="AW15">
        <v>3</v>
      </c>
      <c r="AX15" t="s">
        <v>74</v>
      </c>
      <c r="AY15" t="s">
        <v>74</v>
      </c>
      <c r="AZ15" t="s">
        <v>74</v>
      </c>
      <c r="BA15" t="s">
        <v>74</v>
      </c>
      <c r="BB15" t="s">
        <v>74</v>
      </c>
      <c r="BC15" t="s">
        <v>74</v>
      </c>
      <c r="BD15">
        <v>78</v>
      </c>
      <c r="BE15" t="s">
        <v>374</v>
      </c>
      <c r="BF15" t="str">
        <f>HYPERLINK("http://dx.doi.org/10.26879/1009","http://dx.doi.org/10.26879/1009")</f>
        <v>http://dx.doi.org/10.26879/1009</v>
      </c>
      <c r="BG15" t="s">
        <v>74</v>
      </c>
      <c r="BH15" t="s">
        <v>74</v>
      </c>
      <c r="BI15">
        <v>92</v>
      </c>
      <c r="BJ15" t="s">
        <v>375</v>
      </c>
      <c r="BK15" t="s">
        <v>101</v>
      </c>
      <c r="BL15" t="s">
        <v>375</v>
      </c>
      <c r="BM15" t="s">
        <v>376</v>
      </c>
      <c r="BN15" t="s">
        <v>74</v>
      </c>
      <c r="BO15" t="s">
        <v>131</v>
      </c>
      <c r="BP15" t="s">
        <v>74</v>
      </c>
      <c r="BQ15" t="s">
        <v>74</v>
      </c>
      <c r="BR15" t="s">
        <v>104</v>
      </c>
      <c r="BS15" t="s">
        <v>377</v>
      </c>
      <c r="BT15" t="str">
        <f>HYPERLINK("https%3A%2F%2Fwww.webofscience.com%2Fwos%2Fwoscc%2Ffull-record%2FWOS:000505914600026","View Full Record in Web of Science")</f>
        <v>View Full Record in Web of Science</v>
      </c>
    </row>
    <row r="16" spans="1:72" x14ac:dyDescent="0.15">
      <c r="A16" t="s">
        <v>72</v>
      </c>
      <c r="B16" t="s">
        <v>378</v>
      </c>
      <c r="C16" t="s">
        <v>74</v>
      </c>
      <c r="D16" t="s">
        <v>74</v>
      </c>
      <c r="E16" t="s">
        <v>74</v>
      </c>
      <c r="F16" t="s">
        <v>379</v>
      </c>
      <c r="G16" t="s">
        <v>74</v>
      </c>
      <c r="H16" t="s">
        <v>74</v>
      </c>
      <c r="I16" t="s">
        <v>380</v>
      </c>
      <c r="J16" t="s">
        <v>355</v>
      </c>
      <c r="K16" t="s">
        <v>74</v>
      </c>
      <c r="L16" t="s">
        <v>74</v>
      </c>
      <c r="M16" t="s">
        <v>78</v>
      </c>
      <c r="N16" t="s">
        <v>79</v>
      </c>
      <c r="O16" t="s">
        <v>74</v>
      </c>
      <c r="P16" t="s">
        <v>74</v>
      </c>
      <c r="Q16" t="s">
        <v>74</v>
      </c>
      <c r="R16" t="s">
        <v>74</v>
      </c>
      <c r="S16" t="s">
        <v>74</v>
      </c>
      <c r="T16" t="s">
        <v>381</v>
      </c>
      <c r="U16" t="s">
        <v>382</v>
      </c>
      <c r="V16" t="s">
        <v>383</v>
      </c>
      <c r="W16" t="s">
        <v>384</v>
      </c>
      <c r="X16" t="s">
        <v>385</v>
      </c>
      <c r="Y16" t="s">
        <v>386</v>
      </c>
      <c r="Z16" t="s">
        <v>387</v>
      </c>
      <c r="AA16" t="s">
        <v>74</v>
      </c>
      <c r="AB16" t="s">
        <v>74</v>
      </c>
      <c r="AC16" t="s">
        <v>74</v>
      </c>
      <c r="AD16" t="s">
        <v>74</v>
      </c>
      <c r="AE16" t="s">
        <v>74</v>
      </c>
      <c r="AF16" t="s">
        <v>74</v>
      </c>
      <c r="AG16">
        <v>43</v>
      </c>
      <c r="AH16">
        <v>6</v>
      </c>
      <c r="AI16">
        <v>8</v>
      </c>
      <c r="AJ16">
        <v>0</v>
      </c>
      <c r="AK16">
        <v>0</v>
      </c>
      <c r="AL16" t="s">
        <v>367</v>
      </c>
      <c r="AM16" t="s">
        <v>368</v>
      </c>
      <c r="AN16" t="s">
        <v>369</v>
      </c>
      <c r="AO16" t="s">
        <v>370</v>
      </c>
      <c r="AP16" t="s">
        <v>371</v>
      </c>
      <c r="AQ16" t="s">
        <v>74</v>
      </c>
      <c r="AR16" t="s">
        <v>372</v>
      </c>
      <c r="AS16" t="s">
        <v>373</v>
      </c>
      <c r="AT16" t="s">
        <v>74</v>
      </c>
      <c r="AU16">
        <v>2019</v>
      </c>
      <c r="AV16">
        <v>22</v>
      </c>
      <c r="AW16">
        <v>3</v>
      </c>
      <c r="AX16" t="s">
        <v>74</v>
      </c>
      <c r="AY16" t="s">
        <v>74</v>
      </c>
      <c r="AZ16" t="s">
        <v>74</v>
      </c>
      <c r="BA16" t="s">
        <v>74</v>
      </c>
      <c r="BB16" t="s">
        <v>74</v>
      </c>
      <c r="BC16" t="s">
        <v>74</v>
      </c>
      <c r="BD16">
        <v>57</v>
      </c>
      <c r="BE16" t="s">
        <v>388</v>
      </c>
      <c r="BF16" t="str">
        <f>HYPERLINK("http://dx.doi.org/10.26879/1007","http://dx.doi.org/10.26879/1007")</f>
        <v>http://dx.doi.org/10.26879/1007</v>
      </c>
      <c r="BG16" t="s">
        <v>74</v>
      </c>
      <c r="BH16" t="s">
        <v>74</v>
      </c>
      <c r="BI16">
        <v>17</v>
      </c>
      <c r="BJ16" t="s">
        <v>375</v>
      </c>
      <c r="BK16" t="s">
        <v>101</v>
      </c>
      <c r="BL16" t="s">
        <v>375</v>
      </c>
      <c r="BM16" t="s">
        <v>376</v>
      </c>
      <c r="BN16" t="s">
        <v>74</v>
      </c>
      <c r="BO16" t="s">
        <v>131</v>
      </c>
      <c r="BP16" t="s">
        <v>74</v>
      </c>
      <c r="BQ16" t="s">
        <v>74</v>
      </c>
      <c r="BR16" t="s">
        <v>104</v>
      </c>
      <c r="BS16" t="s">
        <v>389</v>
      </c>
      <c r="BT16" t="str">
        <f>HYPERLINK("https%3A%2F%2Fwww.webofscience.com%2Fwos%2Fwoscc%2Ffull-record%2FWOS:000505914600027","View Full Record in Web of Science")</f>
        <v>View Full Record in Web of Science</v>
      </c>
    </row>
    <row r="17" spans="1:72" x14ac:dyDescent="0.15">
      <c r="A17" t="s">
        <v>390</v>
      </c>
      <c r="B17" t="s">
        <v>391</v>
      </c>
      <c r="C17" t="s">
        <v>391</v>
      </c>
      <c r="D17" t="s">
        <v>74</v>
      </c>
      <c r="E17" t="s">
        <v>74</v>
      </c>
      <c r="F17" t="s">
        <v>392</v>
      </c>
      <c r="G17" t="s">
        <v>391</v>
      </c>
      <c r="H17" t="s">
        <v>74</v>
      </c>
      <c r="I17" t="s">
        <v>393</v>
      </c>
      <c r="J17" t="s">
        <v>394</v>
      </c>
      <c r="K17" t="s">
        <v>74</v>
      </c>
      <c r="L17" t="s">
        <v>74</v>
      </c>
      <c r="M17" t="s">
        <v>78</v>
      </c>
      <c r="N17" t="s">
        <v>140</v>
      </c>
      <c r="O17" t="s">
        <v>74</v>
      </c>
      <c r="P17" t="s">
        <v>74</v>
      </c>
      <c r="Q17" t="s">
        <v>74</v>
      </c>
      <c r="R17" t="s">
        <v>74</v>
      </c>
      <c r="S17" t="s">
        <v>74</v>
      </c>
      <c r="T17" t="s">
        <v>74</v>
      </c>
      <c r="U17" t="s">
        <v>74</v>
      </c>
      <c r="V17" t="s">
        <v>74</v>
      </c>
      <c r="W17" t="s">
        <v>74</v>
      </c>
      <c r="X17" t="s">
        <v>74</v>
      </c>
      <c r="Y17" t="s">
        <v>74</v>
      </c>
      <c r="Z17" t="s">
        <v>74</v>
      </c>
      <c r="AA17" t="s">
        <v>74</v>
      </c>
      <c r="AB17" t="s">
        <v>74</v>
      </c>
      <c r="AC17" t="s">
        <v>74</v>
      </c>
      <c r="AD17" t="s">
        <v>74</v>
      </c>
      <c r="AE17" t="s">
        <v>74</v>
      </c>
      <c r="AF17" t="s">
        <v>74</v>
      </c>
      <c r="AG17">
        <v>0</v>
      </c>
      <c r="AH17">
        <v>0</v>
      </c>
      <c r="AI17">
        <v>0</v>
      </c>
      <c r="AJ17">
        <v>0</v>
      </c>
      <c r="AK17">
        <v>0</v>
      </c>
      <c r="AL17" t="s">
        <v>395</v>
      </c>
      <c r="AM17" t="s">
        <v>396</v>
      </c>
      <c r="AN17" t="s">
        <v>397</v>
      </c>
      <c r="AO17" t="s">
        <v>74</v>
      </c>
      <c r="AP17" t="s">
        <v>74</v>
      </c>
      <c r="AQ17" t="s">
        <v>398</v>
      </c>
      <c r="AR17" t="s">
        <v>74</v>
      </c>
      <c r="AS17" t="s">
        <v>74</v>
      </c>
      <c r="AT17" t="s">
        <v>74</v>
      </c>
      <c r="AU17">
        <v>2019</v>
      </c>
      <c r="AV17" t="s">
        <v>74</v>
      </c>
      <c r="AW17" t="s">
        <v>74</v>
      </c>
      <c r="AX17" t="s">
        <v>74</v>
      </c>
      <c r="AY17" t="s">
        <v>74</v>
      </c>
      <c r="AZ17" t="s">
        <v>74</v>
      </c>
      <c r="BA17" t="s">
        <v>74</v>
      </c>
      <c r="BB17">
        <v>27</v>
      </c>
      <c r="BC17">
        <v>42</v>
      </c>
      <c r="BD17" t="s">
        <v>74</v>
      </c>
      <c r="BE17" t="s">
        <v>74</v>
      </c>
      <c r="BF17" t="s">
        <v>74</v>
      </c>
      <c r="BG17" t="s">
        <v>399</v>
      </c>
      <c r="BH17" t="s">
        <v>74</v>
      </c>
      <c r="BI17">
        <v>16</v>
      </c>
      <c r="BJ17" t="s">
        <v>400</v>
      </c>
      <c r="BK17" t="s">
        <v>401</v>
      </c>
      <c r="BL17" t="s">
        <v>402</v>
      </c>
      <c r="BM17" t="s">
        <v>403</v>
      </c>
      <c r="BN17" t="s">
        <v>74</v>
      </c>
      <c r="BO17" t="s">
        <v>404</v>
      </c>
      <c r="BP17" t="s">
        <v>74</v>
      </c>
      <c r="BQ17" t="s">
        <v>74</v>
      </c>
      <c r="BR17" t="s">
        <v>104</v>
      </c>
      <c r="BS17" t="s">
        <v>405</v>
      </c>
      <c r="BT17" t="str">
        <f>HYPERLINK("https%3A%2F%2Fwww.webofscience.com%2Fwos%2Fwoscc%2Ffull-record%2FWOS:000505954100004","View Full Record in Web of Science")</f>
        <v>View Full Record in Web of Science</v>
      </c>
    </row>
    <row r="18" spans="1:72" x14ac:dyDescent="0.15">
      <c r="A18" t="s">
        <v>390</v>
      </c>
      <c r="B18" t="s">
        <v>391</v>
      </c>
      <c r="C18" t="s">
        <v>391</v>
      </c>
      <c r="D18" t="s">
        <v>74</v>
      </c>
      <c r="E18" t="s">
        <v>74</v>
      </c>
      <c r="F18" t="s">
        <v>392</v>
      </c>
      <c r="G18" t="s">
        <v>391</v>
      </c>
      <c r="H18" t="s">
        <v>74</v>
      </c>
      <c r="I18" t="s">
        <v>406</v>
      </c>
      <c r="J18" t="s">
        <v>394</v>
      </c>
      <c r="K18" t="s">
        <v>74</v>
      </c>
      <c r="L18" t="s">
        <v>74</v>
      </c>
      <c r="M18" t="s">
        <v>78</v>
      </c>
      <c r="N18" t="s">
        <v>140</v>
      </c>
      <c r="O18" t="s">
        <v>74</v>
      </c>
      <c r="P18" t="s">
        <v>74</v>
      </c>
      <c r="Q18" t="s">
        <v>74</v>
      </c>
      <c r="R18" t="s">
        <v>74</v>
      </c>
      <c r="S18" t="s">
        <v>74</v>
      </c>
      <c r="T18" t="s">
        <v>74</v>
      </c>
      <c r="U18" t="s">
        <v>74</v>
      </c>
      <c r="V18" t="s">
        <v>74</v>
      </c>
      <c r="W18" t="s">
        <v>74</v>
      </c>
      <c r="X18" t="s">
        <v>74</v>
      </c>
      <c r="Y18" t="s">
        <v>74</v>
      </c>
      <c r="Z18" t="s">
        <v>74</v>
      </c>
      <c r="AA18" t="s">
        <v>74</v>
      </c>
      <c r="AB18" t="s">
        <v>74</v>
      </c>
      <c r="AC18" t="s">
        <v>74</v>
      </c>
      <c r="AD18" t="s">
        <v>74</v>
      </c>
      <c r="AE18" t="s">
        <v>74</v>
      </c>
      <c r="AF18" t="s">
        <v>74</v>
      </c>
      <c r="AG18">
        <v>0</v>
      </c>
      <c r="AH18">
        <v>0</v>
      </c>
      <c r="AI18">
        <v>0</v>
      </c>
      <c r="AJ18">
        <v>0</v>
      </c>
      <c r="AK18">
        <v>0</v>
      </c>
      <c r="AL18" t="s">
        <v>395</v>
      </c>
      <c r="AM18" t="s">
        <v>396</v>
      </c>
      <c r="AN18" t="s">
        <v>397</v>
      </c>
      <c r="AO18" t="s">
        <v>74</v>
      </c>
      <c r="AP18" t="s">
        <v>74</v>
      </c>
      <c r="AQ18" t="s">
        <v>398</v>
      </c>
      <c r="AR18" t="s">
        <v>74</v>
      </c>
      <c r="AS18" t="s">
        <v>74</v>
      </c>
      <c r="AT18" t="s">
        <v>74</v>
      </c>
      <c r="AU18">
        <v>2019</v>
      </c>
      <c r="AV18" t="s">
        <v>74</v>
      </c>
      <c r="AW18" t="s">
        <v>74</v>
      </c>
      <c r="AX18" t="s">
        <v>74</v>
      </c>
      <c r="AY18" t="s">
        <v>74</v>
      </c>
      <c r="AZ18" t="s">
        <v>74</v>
      </c>
      <c r="BA18" t="s">
        <v>74</v>
      </c>
      <c r="BB18">
        <v>43</v>
      </c>
      <c r="BC18">
        <v>66</v>
      </c>
      <c r="BD18" t="s">
        <v>74</v>
      </c>
      <c r="BE18" t="s">
        <v>74</v>
      </c>
      <c r="BF18" t="s">
        <v>74</v>
      </c>
      <c r="BG18" t="s">
        <v>399</v>
      </c>
      <c r="BH18" t="s">
        <v>74</v>
      </c>
      <c r="BI18">
        <v>24</v>
      </c>
      <c r="BJ18" t="s">
        <v>400</v>
      </c>
      <c r="BK18" t="s">
        <v>401</v>
      </c>
      <c r="BL18" t="s">
        <v>402</v>
      </c>
      <c r="BM18" t="s">
        <v>403</v>
      </c>
      <c r="BN18" t="s">
        <v>74</v>
      </c>
      <c r="BO18" t="s">
        <v>404</v>
      </c>
      <c r="BP18" t="s">
        <v>74</v>
      </c>
      <c r="BQ18" t="s">
        <v>74</v>
      </c>
      <c r="BR18" t="s">
        <v>104</v>
      </c>
      <c r="BS18" t="s">
        <v>407</v>
      </c>
      <c r="BT18" t="str">
        <f>HYPERLINK("https%3A%2F%2Fwww.webofscience.com%2Fwos%2Fwoscc%2Ffull-record%2FWOS:000505954100005","View Full Record in Web of Science")</f>
        <v>View Full Record in Web of Science</v>
      </c>
    </row>
    <row r="19" spans="1:72" x14ac:dyDescent="0.15">
      <c r="A19" t="s">
        <v>390</v>
      </c>
      <c r="B19" t="s">
        <v>391</v>
      </c>
      <c r="C19" t="s">
        <v>391</v>
      </c>
      <c r="D19" t="s">
        <v>74</v>
      </c>
      <c r="E19" t="s">
        <v>74</v>
      </c>
      <c r="F19" t="s">
        <v>392</v>
      </c>
      <c r="G19" t="s">
        <v>391</v>
      </c>
      <c r="H19" t="s">
        <v>74</v>
      </c>
      <c r="I19" t="s">
        <v>408</v>
      </c>
      <c r="J19" t="s">
        <v>394</v>
      </c>
      <c r="K19" t="s">
        <v>74</v>
      </c>
      <c r="L19" t="s">
        <v>74</v>
      </c>
      <c r="M19" t="s">
        <v>78</v>
      </c>
      <c r="N19" t="s">
        <v>140</v>
      </c>
      <c r="O19" t="s">
        <v>74</v>
      </c>
      <c r="P19" t="s">
        <v>74</v>
      </c>
      <c r="Q19" t="s">
        <v>74</v>
      </c>
      <c r="R19" t="s">
        <v>74</v>
      </c>
      <c r="S19" t="s">
        <v>74</v>
      </c>
      <c r="T19" t="s">
        <v>74</v>
      </c>
      <c r="U19" t="s">
        <v>74</v>
      </c>
      <c r="V19" t="s">
        <v>74</v>
      </c>
      <c r="W19" t="s">
        <v>74</v>
      </c>
      <c r="X19" t="s">
        <v>74</v>
      </c>
      <c r="Y19" t="s">
        <v>74</v>
      </c>
      <c r="Z19" t="s">
        <v>74</v>
      </c>
      <c r="AA19" t="s">
        <v>74</v>
      </c>
      <c r="AB19" t="s">
        <v>74</v>
      </c>
      <c r="AC19" t="s">
        <v>74</v>
      </c>
      <c r="AD19" t="s">
        <v>74</v>
      </c>
      <c r="AE19" t="s">
        <v>74</v>
      </c>
      <c r="AF19" t="s">
        <v>74</v>
      </c>
      <c r="AG19">
        <v>0</v>
      </c>
      <c r="AH19">
        <v>0</v>
      </c>
      <c r="AI19">
        <v>0</v>
      </c>
      <c r="AJ19">
        <v>0</v>
      </c>
      <c r="AK19">
        <v>1</v>
      </c>
      <c r="AL19" t="s">
        <v>395</v>
      </c>
      <c r="AM19" t="s">
        <v>396</v>
      </c>
      <c r="AN19" t="s">
        <v>397</v>
      </c>
      <c r="AO19" t="s">
        <v>74</v>
      </c>
      <c r="AP19" t="s">
        <v>74</v>
      </c>
      <c r="AQ19" t="s">
        <v>398</v>
      </c>
      <c r="AR19" t="s">
        <v>74</v>
      </c>
      <c r="AS19" t="s">
        <v>74</v>
      </c>
      <c r="AT19" t="s">
        <v>74</v>
      </c>
      <c r="AU19">
        <v>2019</v>
      </c>
      <c r="AV19" t="s">
        <v>74</v>
      </c>
      <c r="AW19" t="s">
        <v>74</v>
      </c>
      <c r="AX19" t="s">
        <v>74</v>
      </c>
      <c r="AY19" t="s">
        <v>74</v>
      </c>
      <c r="AZ19" t="s">
        <v>74</v>
      </c>
      <c r="BA19" t="s">
        <v>74</v>
      </c>
      <c r="BB19">
        <v>67</v>
      </c>
      <c r="BC19">
        <v>81</v>
      </c>
      <c r="BD19" t="s">
        <v>74</v>
      </c>
      <c r="BE19" t="s">
        <v>74</v>
      </c>
      <c r="BF19" t="s">
        <v>74</v>
      </c>
      <c r="BG19" t="s">
        <v>399</v>
      </c>
      <c r="BH19" t="s">
        <v>74</v>
      </c>
      <c r="BI19">
        <v>15</v>
      </c>
      <c r="BJ19" t="s">
        <v>400</v>
      </c>
      <c r="BK19" t="s">
        <v>401</v>
      </c>
      <c r="BL19" t="s">
        <v>402</v>
      </c>
      <c r="BM19" t="s">
        <v>403</v>
      </c>
      <c r="BN19" t="s">
        <v>74</v>
      </c>
      <c r="BO19" t="s">
        <v>404</v>
      </c>
      <c r="BP19" t="s">
        <v>74</v>
      </c>
      <c r="BQ19" t="s">
        <v>74</v>
      </c>
      <c r="BR19" t="s">
        <v>104</v>
      </c>
      <c r="BS19" t="s">
        <v>409</v>
      </c>
      <c r="BT19" t="str">
        <f>HYPERLINK("https%3A%2F%2Fwww.webofscience.com%2Fwos%2Fwoscc%2Ffull-record%2FWOS:000505954100006","View Full Record in Web of Science")</f>
        <v>View Full Record in Web of Science</v>
      </c>
    </row>
    <row r="20" spans="1:72" x14ac:dyDescent="0.15">
      <c r="A20" t="s">
        <v>390</v>
      </c>
      <c r="B20" t="s">
        <v>391</v>
      </c>
      <c r="C20" t="s">
        <v>391</v>
      </c>
      <c r="D20" t="s">
        <v>74</v>
      </c>
      <c r="E20" t="s">
        <v>74</v>
      </c>
      <c r="F20" t="s">
        <v>392</v>
      </c>
      <c r="G20" t="s">
        <v>391</v>
      </c>
      <c r="H20" t="s">
        <v>74</v>
      </c>
      <c r="I20" t="s">
        <v>410</v>
      </c>
      <c r="J20" t="s">
        <v>394</v>
      </c>
      <c r="K20" t="s">
        <v>74</v>
      </c>
      <c r="L20" t="s">
        <v>74</v>
      </c>
      <c r="M20" t="s">
        <v>78</v>
      </c>
      <c r="N20" t="s">
        <v>140</v>
      </c>
      <c r="O20" t="s">
        <v>74</v>
      </c>
      <c r="P20" t="s">
        <v>74</v>
      </c>
      <c r="Q20" t="s">
        <v>74</v>
      </c>
      <c r="R20" t="s">
        <v>74</v>
      </c>
      <c r="S20" t="s">
        <v>74</v>
      </c>
      <c r="T20" t="s">
        <v>74</v>
      </c>
      <c r="U20" t="s">
        <v>74</v>
      </c>
      <c r="V20" t="s">
        <v>74</v>
      </c>
      <c r="W20" t="s">
        <v>74</v>
      </c>
      <c r="X20" t="s">
        <v>74</v>
      </c>
      <c r="Y20" t="s">
        <v>74</v>
      </c>
      <c r="Z20" t="s">
        <v>74</v>
      </c>
      <c r="AA20" t="s">
        <v>74</v>
      </c>
      <c r="AB20" t="s">
        <v>74</v>
      </c>
      <c r="AC20" t="s">
        <v>411</v>
      </c>
      <c r="AD20" t="s">
        <v>412</v>
      </c>
      <c r="AE20" t="s">
        <v>413</v>
      </c>
      <c r="AF20" t="s">
        <v>74</v>
      </c>
      <c r="AG20">
        <v>0</v>
      </c>
      <c r="AH20">
        <v>0</v>
      </c>
      <c r="AI20">
        <v>0</v>
      </c>
      <c r="AJ20">
        <v>0</v>
      </c>
      <c r="AK20">
        <v>0</v>
      </c>
      <c r="AL20" t="s">
        <v>395</v>
      </c>
      <c r="AM20" t="s">
        <v>396</v>
      </c>
      <c r="AN20" t="s">
        <v>397</v>
      </c>
      <c r="AO20" t="s">
        <v>74</v>
      </c>
      <c r="AP20" t="s">
        <v>74</v>
      </c>
      <c r="AQ20" t="s">
        <v>398</v>
      </c>
      <c r="AR20" t="s">
        <v>74</v>
      </c>
      <c r="AS20" t="s">
        <v>74</v>
      </c>
      <c r="AT20" t="s">
        <v>74</v>
      </c>
      <c r="AU20">
        <v>2019</v>
      </c>
      <c r="AV20" t="s">
        <v>74</v>
      </c>
      <c r="AW20" t="s">
        <v>74</v>
      </c>
      <c r="AX20" t="s">
        <v>74</v>
      </c>
      <c r="AY20" t="s">
        <v>74</v>
      </c>
      <c r="AZ20" t="s">
        <v>74</v>
      </c>
      <c r="BA20" t="s">
        <v>74</v>
      </c>
      <c r="BB20">
        <v>83</v>
      </c>
      <c r="BC20">
        <v>104</v>
      </c>
      <c r="BD20" t="s">
        <v>74</v>
      </c>
      <c r="BE20" t="s">
        <v>74</v>
      </c>
      <c r="BF20" t="s">
        <v>74</v>
      </c>
      <c r="BG20" t="s">
        <v>399</v>
      </c>
      <c r="BH20" t="s">
        <v>74</v>
      </c>
      <c r="BI20">
        <v>22</v>
      </c>
      <c r="BJ20" t="s">
        <v>400</v>
      </c>
      <c r="BK20" t="s">
        <v>401</v>
      </c>
      <c r="BL20" t="s">
        <v>402</v>
      </c>
      <c r="BM20" t="s">
        <v>403</v>
      </c>
      <c r="BN20" t="s">
        <v>74</v>
      </c>
      <c r="BO20" t="s">
        <v>404</v>
      </c>
      <c r="BP20" t="s">
        <v>74</v>
      </c>
      <c r="BQ20" t="s">
        <v>74</v>
      </c>
      <c r="BR20" t="s">
        <v>104</v>
      </c>
      <c r="BS20" t="s">
        <v>414</v>
      </c>
      <c r="BT20" t="str">
        <f>HYPERLINK("https%3A%2F%2Fwww.webofscience.com%2Fwos%2Fwoscc%2Ffull-record%2FWOS:000505954100007","View Full Record in Web of Science")</f>
        <v>View Full Record in Web of Science</v>
      </c>
    </row>
    <row r="21" spans="1:72" x14ac:dyDescent="0.15">
      <c r="A21" t="s">
        <v>390</v>
      </c>
      <c r="B21" t="s">
        <v>391</v>
      </c>
      <c r="C21" t="s">
        <v>391</v>
      </c>
      <c r="D21" t="s">
        <v>74</v>
      </c>
      <c r="E21" t="s">
        <v>74</v>
      </c>
      <c r="F21" t="s">
        <v>392</v>
      </c>
      <c r="G21" t="s">
        <v>391</v>
      </c>
      <c r="H21" t="s">
        <v>74</v>
      </c>
      <c r="I21" t="s">
        <v>415</v>
      </c>
      <c r="J21" t="s">
        <v>394</v>
      </c>
      <c r="K21" t="s">
        <v>74</v>
      </c>
      <c r="L21" t="s">
        <v>74</v>
      </c>
      <c r="M21" t="s">
        <v>78</v>
      </c>
      <c r="N21" t="s">
        <v>140</v>
      </c>
      <c r="O21" t="s">
        <v>74</v>
      </c>
      <c r="P21" t="s">
        <v>74</v>
      </c>
      <c r="Q21" t="s">
        <v>74</v>
      </c>
      <c r="R21" t="s">
        <v>74</v>
      </c>
      <c r="S21" t="s">
        <v>74</v>
      </c>
      <c r="T21" t="s">
        <v>74</v>
      </c>
      <c r="U21" t="s">
        <v>74</v>
      </c>
      <c r="V21" t="s">
        <v>74</v>
      </c>
      <c r="W21" t="s">
        <v>74</v>
      </c>
      <c r="X21" t="s">
        <v>74</v>
      </c>
      <c r="Y21" t="s">
        <v>74</v>
      </c>
      <c r="Z21" t="s">
        <v>74</v>
      </c>
      <c r="AA21" t="s">
        <v>74</v>
      </c>
      <c r="AB21" t="s">
        <v>74</v>
      </c>
      <c r="AC21" t="s">
        <v>74</v>
      </c>
      <c r="AD21" t="s">
        <v>74</v>
      </c>
      <c r="AE21" t="s">
        <v>74</v>
      </c>
      <c r="AF21" t="s">
        <v>74</v>
      </c>
      <c r="AG21">
        <v>0</v>
      </c>
      <c r="AH21">
        <v>0</v>
      </c>
      <c r="AI21">
        <v>0</v>
      </c>
      <c r="AJ21">
        <v>0</v>
      </c>
      <c r="AK21">
        <v>0</v>
      </c>
      <c r="AL21" t="s">
        <v>395</v>
      </c>
      <c r="AM21" t="s">
        <v>396</v>
      </c>
      <c r="AN21" t="s">
        <v>397</v>
      </c>
      <c r="AO21" t="s">
        <v>74</v>
      </c>
      <c r="AP21" t="s">
        <v>74</v>
      </c>
      <c r="AQ21" t="s">
        <v>398</v>
      </c>
      <c r="AR21" t="s">
        <v>74</v>
      </c>
      <c r="AS21" t="s">
        <v>74</v>
      </c>
      <c r="AT21" t="s">
        <v>74</v>
      </c>
      <c r="AU21">
        <v>2019</v>
      </c>
      <c r="AV21" t="s">
        <v>74</v>
      </c>
      <c r="AW21" t="s">
        <v>74</v>
      </c>
      <c r="AX21" t="s">
        <v>74</v>
      </c>
      <c r="AY21" t="s">
        <v>74</v>
      </c>
      <c r="AZ21" t="s">
        <v>74</v>
      </c>
      <c r="BA21" t="s">
        <v>74</v>
      </c>
      <c r="BB21">
        <v>105</v>
      </c>
      <c r="BC21">
        <v>125</v>
      </c>
      <c r="BD21" t="s">
        <v>74</v>
      </c>
      <c r="BE21" t="s">
        <v>74</v>
      </c>
      <c r="BF21" t="s">
        <v>74</v>
      </c>
      <c r="BG21" t="s">
        <v>399</v>
      </c>
      <c r="BH21" t="s">
        <v>74</v>
      </c>
      <c r="BI21">
        <v>21</v>
      </c>
      <c r="BJ21" t="s">
        <v>400</v>
      </c>
      <c r="BK21" t="s">
        <v>401</v>
      </c>
      <c r="BL21" t="s">
        <v>402</v>
      </c>
      <c r="BM21" t="s">
        <v>403</v>
      </c>
      <c r="BN21" t="s">
        <v>74</v>
      </c>
      <c r="BO21" t="s">
        <v>404</v>
      </c>
      <c r="BP21" t="s">
        <v>74</v>
      </c>
      <c r="BQ21" t="s">
        <v>74</v>
      </c>
      <c r="BR21" t="s">
        <v>104</v>
      </c>
      <c r="BS21" t="s">
        <v>416</v>
      </c>
      <c r="BT21" t="str">
        <f>HYPERLINK("https%3A%2F%2Fwww.webofscience.com%2Fwos%2Fwoscc%2Ffull-record%2FWOS:000505954100008","View Full Record in Web of Science")</f>
        <v>View Full Record in Web of Science</v>
      </c>
    </row>
    <row r="22" spans="1:72" x14ac:dyDescent="0.15">
      <c r="A22" t="s">
        <v>390</v>
      </c>
      <c r="B22" t="s">
        <v>391</v>
      </c>
      <c r="C22" t="s">
        <v>391</v>
      </c>
      <c r="D22" t="s">
        <v>74</v>
      </c>
      <c r="E22" t="s">
        <v>74</v>
      </c>
      <c r="F22" t="s">
        <v>392</v>
      </c>
      <c r="G22" t="s">
        <v>391</v>
      </c>
      <c r="H22" t="s">
        <v>74</v>
      </c>
      <c r="I22" t="s">
        <v>417</v>
      </c>
      <c r="J22" t="s">
        <v>394</v>
      </c>
      <c r="K22" t="s">
        <v>74</v>
      </c>
      <c r="L22" t="s">
        <v>74</v>
      </c>
      <c r="M22" t="s">
        <v>78</v>
      </c>
      <c r="N22" t="s">
        <v>140</v>
      </c>
      <c r="O22" t="s">
        <v>74</v>
      </c>
      <c r="P22" t="s">
        <v>74</v>
      </c>
      <c r="Q22" t="s">
        <v>74</v>
      </c>
      <c r="R22" t="s">
        <v>74</v>
      </c>
      <c r="S22" t="s">
        <v>74</v>
      </c>
      <c r="T22" t="s">
        <v>74</v>
      </c>
      <c r="U22" t="s">
        <v>74</v>
      </c>
      <c r="V22" t="s">
        <v>74</v>
      </c>
      <c r="W22" t="s">
        <v>74</v>
      </c>
      <c r="X22" t="s">
        <v>74</v>
      </c>
      <c r="Y22" t="s">
        <v>74</v>
      </c>
      <c r="Z22" t="s">
        <v>74</v>
      </c>
      <c r="AA22" t="s">
        <v>74</v>
      </c>
      <c r="AB22" t="s">
        <v>74</v>
      </c>
      <c r="AC22" t="s">
        <v>74</v>
      </c>
      <c r="AD22" t="s">
        <v>74</v>
      </c>
      <c r="AE22" t="s">
        <v>74</v>
      </c>
      <c r="AF22" t="s">
        <v>74</v>
      </c>
      <c r="AG22">
        <v>0</v>
      </c>
      <c r="AH22">
        <v>0</v>
      </c>
      <c r="AI22">
        <v>0</v>
      </c>
      <c r="AJ22">
        <v>0</v>
      </c>
      <c r="AK22">
        <v>0</v>
      </c>
      <c r="AL22" t="s">
        <v>395</v>
      </c>
      <c r="AM22" t="s">
        <v>396</v>
      </c>
      <c r="AN22" t="s">
        <v>397</v>
      </c>
      <c r="AO22" t="s">
        <v>74</v>
      </c>
      <c r="AP22" t="s">
        <v>74</v>
      </c>
      <c r="AQ22" t="s">
        <v>398</v>
      </c>
      <c r="AR22" t="s">
        <v>74</v>
      </c>
      <c r="AS22" t="s">
        <v>74</v>
      </c>
      <c r="AT22" t="s">
        <v>74</v>
      </c>
      <c r="AU22">
        <v>2019</v>
      </c>
      <c r="AV22" t="s">
        <v>74</v>
      </c>
      <c r="AW22" t="s">
        <v>74</v>
      </c>
      <c r="AX22" t="s">
        <v>74</v>
      </c>
      <c r="AY22" t="s">
        <v>74</v>
      </c>
      <c r="AZ22" t="s">
        <v>74</v>
      </c>
      <c r="BA22" t="s">
        <v>74</v>
      </c>
      <c r="BB22">
        <v>127</v>
      </c>
      <c r="BC22">
        <v>148</v>
      </c>
      <c r="BD22" t="s">
        <v>74</v>
      </c>
      <c r="BE22" t="s">
        <v>74</v>
      </c>
      <c r="BF22" t="s">
        <v>74</v>
      </c>
      <c r="BG22" t="s">
        <v>399</v>
      </c>
      <c r="BH22" t="s">
        <v>74</v>
      </c>
      <c r="BI22">
        <v>22</v>
      </c>
      <c r="BJ22" t="s">
        <v>400</v>
      </c>
      <c r="BK22" t="s">
        <v>401</v>
      </c>
      <c r="BL22" t="s">
        <v>402</v>
      </c>
      <c r="BM22" t="s">
        <v>403</v>
      </c>
      <c r="BN22" t="s">
        <v>74</v>
      </c>
      <c r="BO22" t="s">
        <v>404</v>
      </c>
      <c r="BP22" t="s">
        <v>74</v>
      </c>
      <c r="BQ22" t="s">
        <v>74</v>
      </c>
      <c r="BR22" t="s">
        <v>104</v>
      </c>
      <c r="BS22" t="s">
        <v>418</v>
      </c>
      <c r="BT22" t="str">
        <f>HYPERLINK("https%3A%2F%2Fwww.webofscience.com%2Fwos%2Fwoscc%2Ffull-record%2FWOS:000505954100009","View Full Record in Web of Science")</f>
        <v>View Full Record in Web of Science</v>
      </c>
    </row>
    <row r="23" spans="1:72" x14ac:dyDescent="0.15">
      <c r="A23" t="s">
        <v>390</v>
      </c>
      <c r="B23" t="s">
        <v>391</v>
      </c>
      <c r="C23" t="s">
        <v>391</v>
      </c>
      <c r="D23" t="s">
        <v>74</v>
      </c>
      <c r="E23" t="s">
        <v>74</v>
      </c>
      <c r="F23" t="s">
        <v>392</v>
      </c>
      <c r="G23" t="s">
        <v>391</v>
      </c>
      <c r="H23" t="s">
        <v>74</v>
      </c>
      <c r="I23" t="s">
        <v>419</v>
      </c>
      <c r="J23" t="s">
        <v>394</v>
      </c>
      <c r="K23" t="s">
        <v>74</v>
      </c>
      <c r="L23" t="s">
        <v>74</v>
      </c>
      <c r="M23" t="s">
        <v>78</v>
      </c>
      <c r="N23" t="s">
        <v>140</v>
      </c>
      <c r="O23" t="s">
        <v>74</v>
      </c>
      <c r="P23" t="s">
        <v>74</v>
      </c>
      <c r="Q23" t="s">
        <v>74</v>
      </c>
      <c r="R23" t="s">
        <v>74</v>
      </c>
      <c r="S23" t="s">
        <v>74</v>
      </c>
      <c r="T23" t="s">
        <v>74</v>
      </c>
      <c r="U23" t="s">
        <v>74</v>
      </c>
      <c r="V23" t="s">
        <v>74</v>
      </c>
      <c r="W23" t="s">
        <v>74</v>
      </c>
      <c r="X23" t="s">
        <v>74</v>
      </c>
      <c r="Y23" t="s">
        <v>74</v>
      </c>
      <c r="Z23" t="s">
        <v>74</v>
      </c>
      <c r="AA23" t="s">
        <v>74</v>
      </c>
      <c r="AB23" t="s">
        <v>74</v>
      </c>
      <c r="AC23" t="s">
        <v>74</v>
      </c>
      <c r="AD23" t="s">
        <v>74</v>
      </c>
      <c r="AE23" t="s">
        <v>74</v>
      </c>
      <c r="AF23" t="s">
        <v>74</v>
      </c>
      <c r="AG23">
        <v>0</v>
      </c>
      <c r="AH23">
        <v>0</v>
      </c>
      <c r="AI23">
        <v>0</v>
      </c>
      <c r="AJ23">
        <v>0</v>
      </c>
      <c r="AK23">
        <v>0</v>
      </c>
      <c r="AL23" t="s">
        <v>395</v>
      </c>
      <c r="AM23" t="s">
        <v>396</v>
      </c>
      <c r="AN23" t="s">
        <v>397</v>
      </c>
      <c r="AO23" t="s">
        <v>74</v>
      </c>
      <c r="AP23" t="s">
        <v>74</v>
      </c>
      <c r="AQ23" t="s">
        <v>398</v>
      </c>
      <c r="AR23" t="s">
        <v>74</v>
      </c>
      <c r="AS23" t="s">
        <v>74</v>
      </c>
      <c r="AT23" t="s">
        <v>74</v>
      </c>
      <c r="AU23">
        <v>2019</v>
      </c>
      <c r="AV23" t="s">
        <v>74</v>
      </c>
      <c r="AW23" t="s">
        <v>74</v>
      </c>
      <c r="AX23" t="s">
        <v>74</v>
      </c>
      <c r="AY23" t="s">
        <v>74</v>
      </c>
      <c r="AZ23" t="s">
        <v>74</v>
      </c>
      <c r="BA23" t="s">
        <v>74</v>
      </c>
      <c r="BB23">
        <v>149</v>
      </c>
      <c r="BC23">
        <v>176</v>
      </c>
      <c r="BD23" t="s">
        <v>74</v>
      </c>
      <c r="BE23" t="s">
        <v>74</v>
      </c>
      <c r="BF23" t="s">
        <v>74</v>
      </c>
      <c r="BG23" t="s">
        <v>399</v>
      </c>
      <c r="BH23" t="s">
        <v>74</v>
      </c>
      <c r="BI23">
        <v>28</v>
      </c>
      <c r="BJ23" t="s">
        <v>400</v>
      </c>
      <c r="BK23" t="s">
        <v>401</v>
      </c>
      <c r="BL23" t="s">
        <v>402</v>
      </c>
      <c r="BM23" t="s">
        <v>403</v>
      </c>
      <c r="BN23" t="s">
        <v>74</v>
      </c>
      <c r="BO23" t="s">
        <v>404</v>
      </c>
      <c r="BP23" t="s">
        <v>74</v>
      </c>
      <c r="BQ23" t="s">
        <v>74</v>
      </c>
      <c r="BR23" t="s">
        <v>104</v>
      </c>
      <c r="BS23" t="s">
        <v>420</v>
      </c>
      <c r="BT23" t="str">
        <f>HYPERLINK("https%3A%2F%2Fwww.webofscience.com%2Fwos%2Fwoscc%2Ffull-record%2FWOS:000505954100010","View Full Record in Web of Science")</f>
        <v>View Full Record in Web of Science</v>
      </c>
    </row>
    <row r="24" spans="1:72" x14ac:dyDescent="0.15">
      <c r="A24" t="s">
        <v>390</v>
      </c>
      <c r="B24" t="s">
        <v>391</v>
      </c>
      <c r="C24" t="s">
        <v>391</v>
      </c>
      <c r="D24" t="s">
        <v>74</v>
      </c>
      <c r="E24" t="s">
        <v>74</v>
      </c>
      <c r="F24" t="s">
        <v>392</v>
      </c>
      <c r="G24" t="s">
        <v>391</v>
      </c>
      <c r="H24" t="s">
        <v>74</v>
      </c>
      <c r="I24" t="s">
        <v>421</v>
      </c>
      <c r="J24" t="s">
        <v>394</v>
      </c>
      <c r="K24" t="s">
        <v>74</v>
      </c>
      <c r="L24" t="s">
        <v>74</v>
      </c>
      <c r="M24" t="s">
        <v>78</v>
      </c>
      <c r="N24" t="s">
        <v>140</v>
      </c>
      <c r="O24" t="s">
        <v>74</v>
      </c>
      <c r="P24" t="s">
        <v>74</v>
      </c>
      <c r="Q24" t="s">
        <v>74</v>
      </c>
      <c r="R24" t="s">
        <v>74</v>
      </c>
      <c r="S24" t="s">
        <v>74</v>
      </c>
      <c r="T24" t="s">
        <v>74</v>
      </c>
      <c r="U24" t="s">
        <v>74</v>
      </c>
      <c r="V24" t="s">
        <v>74</v>
      </c>
      <c r="W24" t="s">
        <v>74</v>
      </c>
      <c r="X24" t="s">
        <v>74</v>
      </c>
      <c r="Y24" t="s">
        <v>74</v>
      </c>
      <c r="Z24" t="s">
        <v>74</v>
      </c>
      <c r="AA24" t="s">
        <v>74</v>
      </c>
      <c r="AB24" t="s">
        <v>74</v>
      </c>
      <c r="AC24" t="s">
        <v>74</v>
      </c>
      <c r="AD24" t="s">
        <v>74</v>
      </c>
      <c r="AE24" t="s">
        <v>74</v>
      </c>
      <c r="AF24" t="s">
        <v>74</v>
      </c>
      <c r="AG24">
        <v>0</v>
      </c>
      <c r="AH24">
        <v>0</v>
      </c>
      <c r="AI24">
        <v>0</v>
      </c>
      <c r="AJ24">
        <v>0</v>
      </c>
      <c r="AK24">
        <v>0</v>
      </c>
      <c r="AL24" t="s">
        <v>395</v>
      </c>
      <c r="AM24" t="s">
        <v>396</v>
      </c>
      <c r="AN24" t="s">
        <v>397</v>
      </c>
      <c r="AO24" t="s">
        <v>74</v>
      </c>
      <c r="AP24" t="s">
        <v>74</v>
      </c>
      <c r="AQ24" t="s">
        <v>398</v>
      </c>
      <c r="AR24" t="s">
        <v>74</v>
      </c>
      <c r="AS24" t="s">
        <v>74</v>
      </c>
      <c r="AT24" t="s">
        <v>74</v>
      </c>
      <c r="AU24">
        <v>2019</v>
      </c>
      <c r="AV24" t="s">
        <v>74</v>
      </c>
      <c r="AW24" t="s">
        <v>74</v>
      </c>
      <c r="AX24" t="s">
        <v>74</v>
      </c>
      <c r="AY24" t="s">
        <v>74</v>
      </c>
      <c r="AZ24" t="s">
        <v>74</v>
      </c>
      <c r="BA24" t="s">
        <v>74</v>
      </c>
      <c r="BB24">
        <v>177</v>
      </c>
      <c r="BC24">
        <v>196</v>
      </c>
      <c r="BD24" t="s">
        <v>74</v>
      </c>
      <c r="BE24" t="s">
        <v>74</v>
      </c>
      <c r="BF24" t="s">
        <v>74</v>
      </c>
      <c r="BG24" t="s">
        <v>399</v>
      </c>
      <c r="BH24" t="s">
        <v>74</v>
      </c>
      <c r="BI24">
        <v>20</v>
      </c>
      <c r="BJ24" t="s">
        <v>400</v>
      </c>
      <c r="BK24" t="s">
        <v>401</v>
      </c>
      <c r="BL24" t="s">
        <v>402</v>
      </c>
      <c r="BM24" t="s">
        <v>403</v>
      </c>
      <c r="BN24" t="s">
        <v>74</v>
      </c>
      <c r="BO24" t="s">
        <v>404</v>
      </c>
      <c r="BP24" t="s">
        <v>74</v>
      </c>
      <c r="BQ24" t="s">
        <v>74</v>
      </c>
      <c r="BR24" t="s">
        <v>104</v>
      </c>
      <c r="BS24" t="s">
        <v>422</v>
      </c>
      <c r="BT24" t="str">
        <f>HYPERLINK("https%3A%2F%2Fwww.webofscience.com%2Fwos%2Fwoscc%2Ffull-record%2FWOS:000505954100011","View Full Record in Web of Science")</f>
        <v>View Full Record in Web of Science</v>
      </c>
    </row>
    <row r="25" spans="1:72" x14ac:dyDescent="0.15">
      <c r="A25" t="s">
        <v>390</v>
      </c>
      <c r="B25" t="s">
        <v>391</v>
      </c>
      <c r="C25" t="s">
        <v>391</v>
      </c>
      <c r="D25" t="s">
        <v>74</v>
      </c>
      <c r="E25" t="s">
        <v>74</v>
      </c>
      <c r="F25" t="s">
        <v>392</v>
      </c>
      <c r="G25" t="s">
        <v>391</v>
      </c>
      <c r="H25" t="s">
        <v>74</v>
      </c>
      <c r="I25" t="s">
        <v>423</v>
      </c>
      <c r="J25" t="s">
        <v>394</v>
      </c>
      <c r="K25" t="s">
        <v>74</v>
      </c>
      <c r="L25" t="s">
        <v>74</v>
      </c>
      <c r="M25" t="s">
        <v>78</v>
      </c>
      <c r="N25" t="s">
        <v>140</v>
      </c>
      <c r="O25" t="s">
        <v>74</v>
      </c>
      <c r="P25" t="s">
        <v>74</v>
      </c>
      <c r="Q25" t="s">
        <v>74</v>
      </c>
      <c r="R25" t="s">
        <v>74</v>
      </c>
      <c r="S25" t="s">
        <v>74</v>
      </c>
      <c r="T25" t="s">
        <v>74</v>
      </c>
      <c r="U25" t="s">
        <v>74</v>
      </c>
      <c r="V25" t="s">
        <v>74</v>
      </c>
      <c r="W25" t="s">
        <v>74</v>
      </c>
      <c r="X25" t="s">
        <v>74</v>
      </c>
      <c r="Y25" t="s">
        <v>74</v>
      </c>
      <c r="Z25" t="s">
        <v>74</v>
      </c>
      <c r="AA25" t="s">
        <v>74</v>
      </c>
      <c r="AB25" t="s">
        <v>74</v>
      </c>
      <c r="AC25" t="s">
        <v>74</v>
      </c>
      <c r="AD25" t="s">
        <v>74</v>
      </c>
      <c r="AE25" t="s">
        <v>74</v>
      </c>
      <c r="AF25" t="s">
        <v>74</v>
      </c>
      <c r="AG25">
        <v>0</v>
      </c>
      <c r="AH25">
        <v>0</v>
      </c>
      <c r="AI25">
        <v>0</v>
      </c>
      <c r="AJ25">
        <v>0</v>
      </c>
      <c r="AK25">
        <v>0</v>
      </c>
      <c r="AL25" t="s">
        <v>395</v>
      </c>
      <c r="AM25" t="s">
        <v>396</v>
      </c>
      <c r="AN25" t="s">
        <v>397</v>
      </c>
      <c r="AO25" t="s">
        <v>74</v>
      </c>
      <c r="AP25" t="s">
        <v>74</v>
      </c>
      <c r="AQ25" t="s">
        <v>398</v>
      </c>
      <c r="AR25" t="s">
        <v>74</v>
      </c>
      <c r="AS25" t="s">
        <v>74</v>
      </c>
      <c r="AT25" t="s">
        <v>74</v>
      </c>
      <c r="AU25">
        <v>2019</v>
      </c>
      <c r="AV25" t="s">
        <v>74</v>
      </c>
      <c r="AW25" t="s">
        <v>74</v>
      </c>
      <c r="AX25" t="s">
        <v>74</v>
      </c>
      <c r="AY25" t="s">
        <v>74</v>
      </c>
      <c r="AZ25" t="s">
        <v>74</v>
      </c>
      <c r="BA25" t="s">
        <v>74</v>
      </c>
      <c r="BB25">
        <v>197</v>
      </c>
      <c r="BC25">
        <v>210</v>
      </c>
      <c r="BD25" t="s">
        <v>74</v>
      </c>
      <c r="BE25" t="s">
        <v>74</v>
      </c>
      <c r="BF25" t="s">
        <v>74</v>
      </c>
      <c r="BG25" t="s">
        <v>399</v>
      </c>
      <c r="BH25" t="s">
        <v>74</v>
      </c>
      <c r="BI25">
        <v>14</v>
      </c>
      <c r="BJ25" t="s">
        <v>400</v>
      </c>
      <c r="BK25" t="s">
        <v>401</v>
      </c>
      <c r="BL25" t="s">
        <v>402</v>
      </c>
      <c r="BM25" t="s">
        <v>403</v>
      </c>
      <c r="BN25" t="s">
        <v>74</v>
      </c>
      <c r="BO25" t="s">
        <v>404</v>
      </c>
      <c r="BP25" t="s">
        <v>74</v>
      </c>
      <c r="BQ25" t="s">
        <v>74</v>
      </c>
      <c r="BR25" t="s">
        <v>104</v>
      </c>
      <c r="BS25" t="s">
        <v>424</v>
      </c>
      <c r="BT25" t="str">
        <f>HYPERLINK("https%3A%2F%2Fwww.webofscience.com%2Fwos%2Fwoscc%2Ffull-record%2FWOS:000505954100012","View Full Record in Web of Science")</f>
        <v>View Full Record in Web of Science</v>
      </c>
    </row>
    <row r="26" spans="1:72" x14ac:dyDescent="0.15">
      <c r="A26" t="s">
        <v>390</v>
      </c>
      <c r="B26" t="s">
        <v>391</v>
      </c>
      <c r="C26" t="s">
        <v>391</v>
      </c>
      <c r="D26" t="s">
        <v>74</v>
      </c>
      <c r="E26" t="s">
        <v>74</v>
      </c>
      <c r="F26" t="s">
        <v>425</v>
      </c>
      <c r="G26" t="s">
        <v>391</v>
      </c>
      <c r="H26" t="s">
        <v>74</v>
      </c>
      <c r="I26" t="s">
        <v>426</v>
      </c>
      <c r="J26" t="s">
        <v>394</v>
      </c>
      <c r="K26" t="s">
        <v>74</v>
      </c>
      <c r="L26" t="s">
        <v>74</v>
      </c>
      <c r="M26" t="s">
        <v>78</v>
      </c>
      <c r="N26" t="s">
        <v>140</v>
      </c>
      <c r="O26" t="s">
        <v>74</v>
      </c>
      <c r="P26" t="s">
        <v>74</v>
      </c>
      <c r="Q26" t="s">
        <v>74</v>
      </c>
      <c r="R26" t="s">
        <v>74</v>
      </c>
      <c r="S26" t="s">
        <v>74</v>
      </c>
      <c r="T26" t="s">
        <v>74</v>
      </c>
      <c r="U26" t="s">
        <v>74</v>
      </c>
      <c r="V26" t="s">
        <v>74</v>
      </c>
      <c r="W26" t="s">
        <v>74</v>
      </c>
      <c r="X26" t="s">
        <v>74</v>
      </c>
      <c r="Y26" t="s">
        <v>74</v>
      </c>
      <c r="Z26" t="s">
        <v>74</v>
      </c>
      <c r="AA26" t="s">
        <v>74</v>
      </c>
      <c r="AB26" t="s">
        <v>74</v>
      </c>
      <c r="AC26" t="s">
        <v>74</v>
      </c>
      <c r="AD26" t="s">
        <v>74</v>
      </c>
      <c r="AE26" t="s">
        <v>74</v>
      </c>
      <c r="AF26" t="s">
        <v>74</v>
      </c>
      <c r="AG26">
        <v>0</v>
      </c>
      <c r="AH26">
        <v>1</v>
      </c>
      <c r="AI26">
        <v>1</v>
      </c>
      <c r="AJ26">
        <v>0</v>
      </c>
      <c r="AK26">
        <v>0</v>
      </c>
      <c r="AL26" t="s">
        <v>395</v>
      </c>
      <c r="AM26" t="s">
        <v>396</v>
      </c>
      <c r="AN26" t="s">
        <v>397</v>
      </c>
      <c r="AO26" t="s">
        <v>74</v>
      </c>
      <c r="AP26" t="s">
        <v>74</v>
      </c>
      <c r="AQ26" t="s">
        <v>398</v>
      </c>
      <c r="AR26" t="s">
        <v>74</v>
      </c>
      <c r="AS26" t="s">
        <v>74</v>
      </c>
      <c r="AT26" t="s">
        <v>74</v>
      </c>
      <c r="AU26">
        <v>2019</v>
      </c>
      <c r="AV26" t="s">
        <v>74</v>
      </c>
      <c r="AW26" t="s">
        <v>74</v>
      </c>
      <c r="AX26" t="s">
        <v>74</v>
      </c>
      <c r="AY26" t="s">
        <v>74</v>
      </c>
      <c r="AZ26" t="s">
        <v>74</v>
      </c>
      <c r="BA26" t="s">
        <v>74</v>
      </c>
      <c r="BB26" t="s">
        <v>74</v>
      </c>
      <c r="BC26" t="s">
        <v>74</v>
      </c>
      <c r="BD26" t="s">
        <v>74</v>
      </c>
      <c r="BE26" t="s">
        <v>427</v>
      </c>
      <c r="BF26" t="str">
        <f>HYPERLINK("http://dx.doi.org/10.22459/MI.2019","http://dx.doi.org/10.22459/MI.2019")</f>
        <v>http://dx.doi.org/10.22459/MI.2019</v>
      </c>
      <c r="BG26" t="s">
        <v>399</v>
      </c>
      <c r="BH26" t="s">
        <v>74</v>
      </c>
      <c r="BI26">
        <v>4</v>
      </c>
      <c r="BJ26" t="s">
        <v>400</v>
      </c>
      <c r="BK26" t="s">
        <v>401</v>
      </c>
      <c r="BL26" t="s">
        <v>402</v>
      </c>
      <c r="BM26" t="s">
        <v>403</v>
      </c>
      <c r="BN26" t="s">
        <v>74</v>
      </c>
      <c r="BO26" t="s">
        <v>428</v>
      </c>
      <c r="BP26" t="s">
        <v>74</v>
      </c>
      <c r="BQ26" t="s">
        <v>74</v>
      </c>
      <c r="BR26" t="s">
        <v>104</v>
      </c>
      <c r="BS26" t="s">
        <v>429</v>
      </c>
      <c r="BT26" t="str">
        <f>HYPERLINK("https%3A%2F%2Fwww.webofscience.com%2Fwos%2Fwoscc%2Ffull-record%2FWOS:000505954100014","View Full Record in Web of Science")</f>
        <v>View Full Record in Web of Science</v>
      </c>
    </row>
    <row r="27" spans="1:72" x14ac:dyDescent="0.15">
      <c r="A27" t="s">
        <v>72</v>
      </c>
      <c r="B27" t="s">
        <v>430</v>
      </c>
      <c r="C27" t="s">
        <v>74</v>
      </c>
      <c r="D27" t="s">
        <v>74</v>
      </c>
      <c r="E27" t="s">
        <v>74</v>
      </c>
      <c r="F27" t="s">
        <v>431</v>
      </c>
      <c r="G27" t="s">
        <v>74</v>
      </c>
      <c r="H27" t="s">
        <v>74</v>
      </c>
      <c r="I27" t="s">
        <v>432</v>
      </c>
      <c r="J27" t="s">
        <v>433</v>
      </c>
      <c r="K27" t="s">
        <v>74</v>
      </c>
      <c r="L27" t="s">
        <v>74</v>
      </c>
      <c r="M27" t="s">
        <v>78</v>
      </c>
      <c r="N27" t="s">
        <v>79</v>
      </c>
      <c r="O27" t="s">
        <v>74</v>
      </c>
      <c r="P27" t="s">
        <v>74</v>
      </c>
      <c r="Q27" t="s">
        <v>74</v>
      </c>
      <c r="R27" t="s">
        <v>74</v>
      </c>
      <c r="S27" t="s">
        <v>74</v>
      </c>
      <c r="T27" t="s">
        <v>434</v>
      </c>
      <c r="U27" t="s">
        <v>435</v>
      </c>
      <c r="V27" t="s">
        <v>436</v>
      </c>
      <c r="W27" t="s">
        <v>437</v>
      </c>
      <c r="X27" t="s">
        <v>438</v>
      </c>
      <c r="Y27" t="s">
        <v>439</v>
      </c>
      <c r="Z27" t="s">
        <v>440</v>
      </c>
      <c r="AA27" t="s">
        <v>441</v>
      </c>
      <c r="AB27" t="s">
        <v>442</v>
      </c>
      <c r="AC27" t="s">
        <v>74</v>
      </c>
      <c r="AD27" t="s">
        <v>74</v>
      </c>
      <c r="AE27" t="s">
        <v>74</v>
      </c>
      <c r="AF27" t="s">
        <v>74</v>
      </c>
      <c r="AG27">
        <v>38</v>
      </c>
      <c r="AH27">
        <v>5</v>
      </c>
      <c r="AI27">
        <v>5</v>
      </c>
      <c r="AJ27">
        <v>1</v>
      </c>
      <c r="AK27">
        <v>2</v>
      </c>
      <c r="AL27" t="s">
        <v>443</v>
      </c>
      <c r="AM27" t="s">
        <v>444</v>
      </c>
      <c r="AN27" t="s">
        <v>445</v>
      </c>
      <c r="AO27" t="s">
        <v>446</v>
      </c>
      <c r="AP27" t="s">
        <v>447</v>
      </c>
      <c r="AQ27" t="s">
        <v>74</v>
      </c>
      <c r="AR27" t="s">
        <v>448</v>
      </c>
      <c r="AS27" t="s">
        <v>449</v>
      </c>
      <c r="AT27" t="s">
        <v>74</v>
      </c>
      <c r="AU27">
        <v>2019</v>
      </c>
      <c r="AV27">
        <v>40</v>
      </c>
      <c r="AW27">
        <v>4</v>
      </c>
      <c r="AX27" t="s">
        <v>74</v>
      </c>
      <c r="AY27" t="s">
        <v>74</v>
      </c>
      <c r="AZ27" t="s">
        <v>74</v>
      </c>
      <c r="BA27" t="s">
        <v>74</v>
      </c>
      <c r="BB27">
        <v>361</v>
      </c>
      <c r="BC27">
        <v>383</v>
      </c>
      <c r="BD27" t="s">
        <v>74</v>
      </c>
      <c r="BE27" t="s">
        <v>450</v>
      </c>
      <c r="BF27" t="str">
        <f>HYPERLINK("http://dx.doi.org/10.24425/ppr.2019.130903","http://dx.doi.org/10.24425/ppr.2019.130903")</f>
        <v>http://dx.doi.org/10.24425/ppr.2019.130903</v>
      </c>
      <c r="BG27" t="s">
        <v>74</v>
      </c>
      <c r="BH27" t="s">
        <v>74</v>
      </c>
      <c r="BI27">
        <v>23</v>
      </c>
      <c r="BJ27" t="s">
        <v>451</v>
      </c>
      <c r="BK27" t="s">
        <v>101</v>
      </c>
      <c r="BL27" t="s">
        <v>452</v>
      </c>
      <c r="BM27" t="s">
        <v>453</v>
      </c>
      <c r="BN27" t="s">
        <v>74</v>
      </c>
      <c r="BO27" t="s">
        <v>131</v>
      </c>
      <c r="BP27" t="s">
        <v>74</v>
      </c>
      <c r="BQ27" t="s">
        <v>74</v>
      </c>
      <c r="BR27" t="s">
        <v>104</v>
      </c>
      <c r="BS27" t="s">
        <v>454</v>
      </c>
      <c r="BT27" t="str">
        <f>HYPERLINK("https%3A%2F%2Fwww.webofscience.com%2Fwos%2Fwoscc%2Ffull-record%2FWOS:000506039300004","View Full Record in Web of Science")</f>
        <v>View Full Record in Web of Science</v>
      </c>
    </row>
    <row r="28" spans="1:72" x14ac:dyDescent="0.15">
      <c r="A28" t="s">
        <v>72</v>
      </c>
      <c r="B28" t="s">
        <v>455</v>
      </c>
      <c r="C28" t="s">
        <v>74</v>
      </c>
      <c r="D28" t="s">
        <v>74</v>
      </c>
      <c r="E28" t="s">
        <v>74</v>
      </c>
      <c r="F28" t="s">
        <v>456</v>
      </c>
      <c r="G28" t="s">
        <v>74</v>
      </c>
      <c r="H28" t="s">
        <v>74</v>
      </c>
      <c r="I28" t="s">
        <v>457</v>
      </c>
      <c r="J28" t="s">
        <v>458</v>
      </c>
      <c r="K28" t="s">
        <v>74</v>
      </c>
      <c r="L28" t="s">
        <v>74</v>
      </c>
      <c r="M28" t="s">
        <v>78</v>
      </c>
      <c r="N28" t="s">
        <v>79</v>
      </c>
      <c r="O28" t="s">
        <v>74</v>
      </c>
      <c r="P28" t="s">
        <v>74</v>
      </c>
      <c r="Q28" t="s">
        <v>74</v>
      </c>
      <c r="R28" t="s">
        <v>74</v>
      </c>
      <c r="S28" t="s">
        <v>74</v>
      </c>
      <c r="T28" t="s">
        <v>459</v>
      </c>
      <c r="U28" t="s">
        <v>460</v>
      </c>
      <c r="V28" t="s">
        <v>461</v>
      </c>
      <c r="W28" t="s">
        <v>462</v>
      </c>
      <c r="X28" t="s">
        <v>463</v>
      </c>
      <c r="Y28" t="s">
        <v>464</v>
      </c>
      <c r="Z28" t="s">
        <v>465</v>
      </c>
      <c r="AA28" t="s">
        <v>466</v>
      </c>
      <c r="AB28" t="s">
        <v>467</v>
      </c>
      <c r="AC28" t="s">
        <v>74</v>
      </c>
      <c r="AD28" t="s">
        <v>74</v>
      </c>
      <c r="AE28" t="s">
        <v>74</v>
      </c>
      <c r="AF28" t="s">
        <v>74</v>
      </c>
      <c r="AG28">
        <v>20</v>
      </c>
      <c r="AH28">
        <v>0</v>
      </c>
      <c r="AI28">
        <v>0</v>
      </c>
      <c r="AJ28">
        <v>1</v>
      </c>
      <c r="AK28">
        <v>2</v>
      </c>
      <c r="AL28" t="s">
        <v>468</v>
      </c>
      <c r="AM28" t="s">
        <v>469</v>
      </c>
      <c r="AN28" t="s">
        <v>470</v>
      </c>
      <c r="AO28" t="s">
        <v>471</v>
      </c>
      <c r="AP28" t="s">
        <v>472</v>
      </c>
      <c r="AQ28" t="s">
        <v>74</v>
      </c>
      <c r="AR28" t="s">
        <v>473</v>
      </c>
      <c r="AS28" t="s">
        <v>474</v>
      </c>
      <c r="AT28" t="s">
        <v>74</v>
      </c>
      <c r="AU28">
        <v>2019</v>
      </c>
      <c r="AV28">
        <v>70</v>
      </c>
      <c r="AW28">
        <v>3</v>
      </c>
      <c r="AX28" t="s">
        <v>74</v>
      </c>
      <c r="AY28" t="s">
        <v>74</v>
      </c>
      <c r="AZ28" t="s">
        <v>74</v>
      </c>
      <c r="BA28" t="s">
        <v>74</v>
      </c>
      <c r="BB28">
        <v>167</v>
      </c>
      <c r="BC28">
        <v>170</v>
      </c>
      <c r="BD28" t="s">
        <v>74</v>
      </c>
      <c r="BE28" t="s">
        <v>475</v>
      </c>
      <c r="BF28" t="str">
        <f>HYPERLINK("http://dx.doi.org/10.5603/IMH.2019.0026","http://dx.doi.org/10.5603/IMH.2019.0026")</f>
        <v>http://dx.doi.org/10.5603/IMH.2019.0026</v>
      </c>
      <c r="BG28" t="s">
        <v>74</v>
      </c>
      <c r="BH28" t="s">
        <v>74</v>
      </c>
      <c r="BI28">
        <v>4</v>
      </c>
      <c r="BJ28" t="s">
        <v>476</v>
      </c>
      <c r="BK28" t="s">
        <v>349</v>
      </c>
      <c r="BL28" t="s">
        <v>476</v>
      </c>
      <c r="BM28" t="s">
        <v>477</v>
      </c>
      <c r="BN28">
        <v>31617940</v>
      </c>
      <c r="BO28" t="s">
        <v>221</v>
      </c>
      <c r="BP28" t="s">
        <v>74</v>
      </c>
      <c r="BQ28" t="s">
        <v>74</v>
      </c>
      <c r="BR28" t="s">
        <v>104</v>
      </c>
      <c r="BS28" t="s">
        <v>478</v>
      </c>
      <c r="BT28" t="str">
        <f>HYPERLINK("https%3A%2F%2Fwww.webofscience.com%2Fwos%2Fwoscc%2Ffull-record%2FWOS:000505161700004","View Full Record in Web of Science")</f>
        <v>View Full Record in Web of Science</v>
      </c>
    </row>
    <row r="29" spans="1:72" x14ac:dyDescent="0.15">
      <c r="A29" t="s">
        <v>72</v>
      </c>
      <c r="B29" t="s">
        <v>479</v>
      </c>
      <c r="C29" t="s">
        <v>74</v>
      </c>
      <c r="D29" t="s">
        <v>74</v>
      </c>
      <c r="E29" t="s">
        <v>74</v>
      </c>
      <c r="F29" t="s">
        <v>480</v>
      </c>
      <c r="G29" t="s">
        <v>74</v>
      </c>
      <c r="H29" t="s">
        <v>74</v>
      </c>
      <c r="I29" t="s">
        <v>481</v>
      </c>
      <c r="J29" t="s">
        <v>482</v>
      </c>
      <c r="K29" t="s">
        <v>74</v>
      </c>
      <c r="L29" t="s">
        <v>74</v>
      </c>
      <c r="M29" t="s">
        <v>78</v>
      </c>
      <c r="N29" t="s">
        <v>79</v>
      </c>
      <c r="O29" t="s">
        <v>74</v>
      </c>
      <c r="P29" t="s">
        <v>74</v>
      </c>
      <c r="Q29" t="s">
        <v>74</v>
      </c>
      <c r="R29" t="s">
        <v>74</v>
      </c>
      <c r="S29" t="s">
        <v>74</v>
      </c>
      <c r="T29" t="s">
        <v>483</v>
      </c>
      <c r="U29" t="s">
        <v>484</v>
      </c>
      <c r="V29" t="s">
        <v>485</v>
      </c>
      <c r="W29" t="s">
        <v>486</v>
      </c>
      <c r="X29" t="s">
        <v>487</v>
      </c>
      <c r="Y29" t="s">
        <v>488</v>
      </c>
      <c r="Z29" t="s">
        <v>489</v>
      </c>
      <c r="AA29" t="s">
        <v>490</v>
      </c>
      <c r="AB29" t="s">
        <v>491</v>
      </c>
      <c r="AC29" t="s">
        <v>492</v>
      </c>
      <c r="AD29" t="s">
        <v>493</v>
      </c>
      <c r="AE29" t="s">
        <v>494</v>
      </c>
      <c r="AF29" t="s">
        <v>74</v>
      </c>
      <c r="AG29">
        <v>36</v>
      </c>
      <c r="AH29">
        <v>1</v>
      </c>
      <c r="AI29">
        <v>1</v>
      </c>
      <c r="AJ29">
        <v>1</v>
      </c>
      <c r="AK29">
        <v>14</v>
      </c>
      <c r="AL29" t="s">
        <v>495</v>
      </c>
      <c r="AM29" t="s">
        <v>496</v>
      </c>
      <c r="AN29" t="s">
        <v>497</v>
      </c>
      <c r="AO29" t="s">
        <v>498</v>
      </c>
      <c r="AP29" t="s">
        <v>499</v>
      </c>
      <c r="AQ29" t="s">
        <v>74</v>
      </c>
      <c r="AR29" t="s">
        <v>500</v>
      </c>
      <c r="AS29" t="s">
        <v>501</v>
      </c>
      <c r="AT29" t="s">
        <v>74</v>
      </c>
      <c r="AU29">
        <v>2019</v>
      </c>
      <c r="AV29">
        <v>22</v>
      </c>
      <c r="AW29">
        <v>6</v>
      </c>
      <c r="AX29" t="s">
        <v>74</v>
      </c>
      <c r="AY29" t="s">
        <v>74</v>
      </c>
      <c r="AZ29" t="s">
        <v>74</v>
      </c>
      <c r="BA29" t="s">
        <v>74</v>
      </c>
      <c r="BB29">
        <v>1311</v>
      </c>
      <c r="BC29">
        <v>1319</v>
      </c>
      <c r="BD29" t="s">
        <v>74</v>
      </c>
      <c r="BE29" t="s">
        <v>502</v>
      </c>
      <c r="BF29" t="str">
        <f>HYPERLINK("http://dx.doi.org/10.17957/IJAB/15.1203","http://dx.doi.org/10.17957/IJAB/15.1203")</f>
        <v>http://dx.doi.org/10.17957/IJAB/15.1203</v>
      </c>
      <c r="BG29" t="s">
        <v>74</v>
      </c>
      <c r="BH29" t="s">
        <v>74</v>
      </c>
      <c r="BI29">
        <v>9</v>
      </c>
      <c r="BJ29" t="s">
        <v>503</v>
      </c>
      <c r="BK29" t="s">
        <v>101</v>
      </c>
      <c r="BL29" t="s">
        <v>504</v>
      </c>
      <c r="BM29" t="s">
        <v>505</v>
      </c>
      <c r="BN29" t="s">
        <v>74</v>
      </c>
      <c r="BO29" t="s">
        <v>74</v>
      </c>
      <c r="BP29" t="s">
        <v>74</v>
      </c>
      <c r="BQ29" t="s">
        <v>74</v>
      </c>
      <c r="BR29" t="s">
        <v>104</v>
      </c>
      <c r="BS29" t="s">
        <v>506</v>
      </c>
      <c r="BT29" t="str">
        <f>HYPERLINK("https%3A%2F%2Fwww.webofscience.com%2Fwos%2Fwoscc%2Ffull-record%2FWOS:000504820000009","View Full Record in Web of Science")</f>
        <v>View Full Record in Web of Science</v>
      </c>
    </row>
    <row r="30" spans="1:72" x14ac:dyDescent="0.15">
      <c r="A30" t="s">
        <v>72</v>
      </c>
      <c r="B30" t="s">
        <v>507</v>
      </c>
      <c r="C30" t="s">
        <v>74</v>
      </c>
      <c r="D30" t="s">
        <v>74</v>
      </c>
      <c r="E30" t="s">
        <v>74</v>
      </c>
      <c r="F30" t="s">
        <v>508</v>
      </c>
      <c r="G30" t="s">
        <v>74</v>
      </c>
      <c r="H30" t="s">
        <v>74</v>
      </c>
      <c r="I30" t="s">
        <v>509</v>
      </c>
      <c r="J30" t="s">
        <v>510</v>
      </c>
      <c r="K30" t="s">
        <v>74</v>
      </c>
      <c r="L30" t="s">
        <v>74</v>
      </c>
      <c r="M30" t="s">
        <v>78</v>
      </c>
      <c r="N30" t="s">
        <v>79</v>
      </c>
      <c r="O30" t="s">
        <v>74</v>
      </c>
      <c r="P30" t="s">
        <v>74</v>
      </c>
      <c r="Q30" t="s">
        <v>74</v>
      </c>
      <c r="R30" t="s">
        <v>74</v>
      </c>
      <c r="S30" t="s">
        <v>74</v>
      </c>
      <c r="T30" t="s">
        <v>511</v>
      </c>
      <c r="U30" t="s">
        <v>74</v>
      </c>
      <c r="V30" t="s">
        <v>512</v>
      </c>
      <c r="W30" t="s">
        <v>513</v>
      </c>
      <c r="X30" t="s">
        <v>514</v>
      </c>
      <c r="Y30" t="s">
        <v>515</v>
      </c>
      <c r="Z30" t="s">
        <v>516</v>
      </c>
      <c r="AA30" t="s">
        <v>517</v>
      </c>
      <c r="AB30" t="s">
        <v>518</v>
      </c>
      <c r="AC30" t="s">
        <v>74</v>
      </c>
      <c r="AD30" t="s">
        <v>74</v>
      </c>
      <c r="AE30" t="s">
        <v>74</v>
      </c>
      <c r="AF30" t="s">
        <v>74</v>
      </c>
      <c r="AG30">
        <v>27</v>
      </c>
      <c r="AH30">
        <v>0</v>
      </c>
      <c r="AI30">
        <v>0</v>
      </c>
      <c r="AJ30">
        <v>1</v>
      </c>
      <c r="AK30">
        <v>1</v>
      </c>
      <c r="AL30" t="s">
        <v>519</v>
      </c>
      <c r="AM30" t="s">
        <v>520</v>
      </c>
      <c r="AN30" t="s">
        <v>521</v>
      </c>
      <c r="AO30" t="s">
        <v>522</v>
      </c>
      <c r="AP30" t="s">
        <v>523</v>
      </c>
      <c r="AQ30" t="s">
        <v>74</v>
      </c>
      <c r="AR30" t="s">
        <v>524</v>
      </c>
      <c r="AS30" t="s">
        <v>525</v>
      </c>
      <c r="AT30" t="s">
        <v>74</v>
      </c>
      <c r="AU30">
        <v>2019</v>
      </c>
      <c r="AV30">
        <v>75</v>
      </c>
      <c r="AW30">
        <v>2</v>
      </c>
      <c r="AX30" t="s">
        <v>74</v>
      </c>
      <c r="AY30" t="s">
        <v>74</v>
      </c>
      <c r="AZ30" t="s">
        <v>74</v>
      </c>
      <c r="BA30" t="s">
        <v>74</v>
      </c>
      <c r="BB30" t="s">
        <v>74</v>
      </c>
      <c r="BC30" t="s">
        <v>74</v>
      </c>
      <c r="BD30" t="s">
        <v>526</v>
      </c>
      <c r="BE30" t="s">
        <v>527</v>
      </c>
      <c r="BF30" t="str">
        <f>HYPERLINK("http://dx.doi.org/10.3989/egeol.43586.567","http://dx.doi.org/10.3989/egeol.43586.567")</f>
        <v>http://dx.doi.org/10.3989/egeol.43586.567</v>
      </c>
      <c r="BG30" t="s">
        <v>74</v>
      </c>
      <c r="BH30" t="s">
        <v>74</v>
      </c>
      <c r="BI30">
        <v>6</v>
      </c>
      <c r="BJ30" t="s">
        <v>528</v>
      </c>
      <c r="BK30" t="s">
        <v>101</v>
      </c>
      <c r="BL30" t="s">
        <v>528</v>
      </c>
      <c r="BM30" t="s">
        <v>529</v>
      </c>
      <c r="BN30" t="s">
        <v>74</v>
      </c>
      <c r="BO30" t="s">
        <v>530</v>
      </c>
      <c r="BP30" t="s">
        <v>74</v>
      </c>
      <c r="BQ30" t="s">
        <v>74</v>
      </c>
      <c r="BR30" t="s">
        <v>104</v>
      </c>
      <c r="BS30" t="s">
        <v>531</v>
      </c>
      <c r="BT30" t="str">
        <f>HYPERLINK("https%3A%2F%2Fwww.webofscience.com%2Fwos%2Fwoscc%2Ffull-record%2FWOS:000504634900022","View Full Record in Web of Science")</f>
        <v>View Full Record in Web of Science</v>
      </c>
    </row>
    <row r="31" spans="1:72" x14ac:dyDescent="0.15">
      <c r="A31" t="s">
        <v>164</v>
      </c>
      <c r="B31" t="s">
        <v>532</v>
      </c>
      <c r="C31" t="s">
        <v>74</v>
      </c>
      <c r="D31" t="s">
        <v>533</v>
      </c>
      <c r="E31" t="s">
        <v>74</v>
      </c>
      <c r="F31" t="s">
        <v>534</v>
      </c>
      <c r="G31" t="s">
        <v>74</v>
      </c>
      <c r="H31" t="s">
        <v>74</v>
      </c>
      <c r="I31" t="s">
        <v>535</v>
      </c>
      <c r="J31" t="s">
        <v>536</v>
      </c>
      <c r="K31" t="s">
        <v>74</v>
      </c>
      <c r="L31" t="s">
        <v>74</v>
      </c>
      <c r="M31" t="s">
        <v>78</v>
      </c>
      <c r="N31" t="s">
        <v>172</v>
      </c>
      <c r="O31" t="s">
        <v>537</v>
      </c>
      <c r="P31" t="s">
        <v>538</v>
      </c>
      <c r="Q31" t="s">
        <v>539</v>
      </c>
      <c r="R31" t="s">
        <v>74</v>
      </c>
      <c r="S31" t="s">
        <v>74</v>
      </c>
      <c r="T31" t="s">
        <v>74</v>
      </c>
      <c r="U31" t="s">
        <v>74</v>
      </c>
      <c r="V31" t="s">
        <v>540</v>
      </c>
      <c r="W31" t="s">
        <v>541</v>
      </c>
      <c r="X31" t="s">
        <v>542</v>
      </c>
      <c r="Y31" t="s">
        <v>543</v>
      </c>
      <c r="Z31" t="s">
        <v>74</v>
      </c>
      <c r="AA31" t="s">
        <v>544</v>
      </c>
      <c r="AB31" t="s">
        <v>545</v>
      </c>
      <c r="AC31" t="s">
        <v>74</v>
      </c>
      <c r="AD31" t="s">
        <v>74</v>
      </c>
      <c r="AE31" t="s">
        <v>74</v>
      </c>
      <c r="AF31" t="s">
        <v>74</v>
      </c>
      <c r="AG31">
        <v>16</v>
      </c>
      <c r="AH31">
        <v>1</v>
      </c>
      <c r="AI31">
        <v>1</v>
      </c>
      <c r="AJ31">
        <v>0</v>
      </c>
      <c r="AK31">
        <v>0</v>
      </c>
      <c r="AL31" t="s">
        <v>546</v>
      </c>
      <c r="AM31" t="s">
        <v>547</v>
      </c>
      <c r="AN31" t="s">
        <v>548</v>
      </c>
      <c r="AO31" t="s">
        <v>74</v>
      </c>
      <c r="AP31" t="s">
        <v>74</v>
      </c>
      <c r="AQ31" t="s">
        <v>549</v>
      </c>
      <c r="AR31" t="s">
        <v>74</v>
      </c>
      <c r="AS31" t="s">
        <v>74</v>
      </c>
      <c r="AT31" t="s">
        <v>74</v>
      </c>
      <c r="AU31">
        <v>2019</v>
      </c>
      <c r="AV31" t="s">
        <v>74</v>
      </c>
      <c r="AW31" t="s">
        <v>74</v>
      </c>
      <c r="AX31" t="s">
        <v>74</v>
      </c>
      <c r="AY31" t="s">
        <v>74</v>
      </c>
      <c r="AZ31" t="s">
        <v>74</v>
      </c>
      <c r="BA31" t="s">
        <v>74</v>
      </c>
      <c r="BB31">
        <v>292</v>
      </c>
      <c r="BC31">
        <v>296</v>
      </c>
      <c r="BD31" t="s">
        <v>74</v>
      </c>
      <c r="BE31" t="s">
        <v>74</v>
      </c>
      <c r="BF31" t="s">
        <v>74</v>
      </c>
      <c r="BG31" t="s">
        <v>74</v>
      </c>
      <c r="BH31" t="s">
        <v>74</v>
      </c>
      <c r="BI31">
        <v>5</v>
      </c>
      <c r="BJ31" t="s">
        <v>550</v>
      </c>
      <c r="BK31" t="s">
        <v>190</v>
      </c>
      <c r="BL31" t="s">
        <v>551</v>
      </c>
      <c r="BM31" t="s">
        <v>552</v>
      </c>
      <c r="BN31" t="s">
        <v>74</v>
      </c>
      <c r="BO31" t="s">
        <v>74</v>
      </c>
      <c r="BP31" t="s">
        <v>74</v>
      </c>
      <c r="BQ31" t="s">
        <v>74</v>
      </c>
      <c r="BR31" t="s">
        <v>104</v>
      </c>
      <c r="BS31" t="s">
        <v>553</v>
      </c>
      <c r="BT31" t="str">
        <f>HYPERLINK("https%3A%2F%2Fwww.webofscience.com%2Fwos%2Fwoscc%2Ffull-record%2FWOS:000504648100050","View Full Record in Web of Science")</f>
        <v>View Full Record in Web of Science</v>
      </c>
    </row>
    <row r="32" spans="1:72" x14ac:dyDescent="0.15">
      <c r="A32" t="s">
        <v>164</v>
      </c>
      <c r="B32" t="s">
        <v>554</v>
      </c>
      <c r="C32" t="s">
        <v>74</v>
      </c>
      <c r="D32" t="s">
        <v>533</v>
      </c>
      <c r="E32" t="s">
        <v>74</v>
      </c>
      <c r="F32" t="s">
        <v>555</v>
      </c>
      <c r="G32" t="s">
        <v>74</v>
      </c>
      <c r="H32" t="s">
        <v>74</v>
      </c>
      <c r="I32" t="s">
        <v>556</v>
      </c>
      <c r="J32" t="s">
        <v>536</v>
      </c>
      <c r="K32" t="s">
        <v>74</v>
      </c>
      <c r="L32" t="s">
        <v>74</v>
      </c>
      <c r="M32" t="s">
        <v>78</v>
      </c>
      <c r="N32" t="s">
        <v>172</v>
      </c>
      <c r="O32" t="s">
        <v>537</v>
      </c>
      <c r="P32" t="s">
        <v>538</v>
      </c>
      <c r="Q32" t="s">
        <v>539</v>
      </c>
      <c r="R32" t="s">
        <v>74</v>
      </c>
      <c r="S32" t="s">
        <v>74</v>
      </c>
      <c r="T32" t="s">
        <v>74</v>
      </c>
      <c r="U32" t="s">
        <v>557</v>
      </c>
      <c r="V32" t="s">
        <v>558</v>
      </c>
      <c r="W32" t="s">
        <v>559</v>
      </c>
      <c r="X32" t="s">
        <v>560</v>
      </c>
      <c r="Y32" t="s">
        <v>561</v>
      </c>
      <c r="Z32" t="s">
        <v>74</v>
      </c>
      <c r="AA32" t="s">
        <v>562</v>
      </c>
      <c r="AB32" t="s">
        <v>563</v>
      </c>
      <c r="AC32" t="s">
        <v>564</v>
      </c>
      <c r="AD32" t="s">
        <v>565</v>
      </c>
      <c r="AE32" t="s">
        <v>566</v>
      </c>
      <c r="AF32" t="s">
        <v>74</v>
      </c>
      <c r="AG32">
        <v>17</v>
      </c>
      <c r="AH32">
        <v>0</v>
      </c>
      <c r="AI32">
        <v>0</v>
      </c>
      <c r="AJ32">
        <v>0</v>
      </c>
      <c r="AK32">
        <v>2</v>
      </c>
      <c r="AL32" t="s">
        <v>546</v>
      </c>
      <c r="AM32" t="s">
        <v>547</v>
      </c>
      <c r="AN32" t="s">
        <v>548</v>
      </c>
      <c r="AO32" t="s">
        <v>74</v>
      </c>
      <c r="AP32" t="s">
        <v>74</v>
      </c>
      <c r="AQ32" t="s">
        <v>549</v>
      </c>
      <c r="AR32" t="s">
        <v>74</v>
      </c>
      <c r="AS32" t="s">
        <v>74</v>
      </c>
      <c r="AT32" t="s">
        <v>74</v>
      </c>
      <c r="AU32">
        <v>2019</v>
      </c>
      <c r="AV32" t="s">
        <v>74</v>
      </c>
      <c r="AW32" t="s">
        <v>74</v>
      </c>
      <c r="AX32" t="s">
        <v>74</v>
      </c>
      <c r="AY32" t="s">
        <v>74</v>
      </c>
      <c r="AZ32" t="s">
        <v>74</v>
      </c>
      <c r="BA32" t="s">
        <v>74</v>
      </c>
      <c r="BB32">
        <v>350</v>
      </c>
      <c r="BC32">
        <v>355</v>
      </c>
      <c r="BD32" t="s">
        <v>74</v>
      </c>
      <c r="BE32" t="s">
        <v>74</v>
      </c>
      <c r="BF32" t="s">
        <v>74</v>
      </c>
      <c r="BG32" t="s">
        <v>74</v>
      </c>
      <c r="BH32" t="s">
        <v>74</v>
      </c>
      <c r="BI32">
        <v>6</v>
      </c>
      <c r="BJ32" t="s">
        <v>550</v>
      </c>
      <c r="BK32" t="s">
        <v>190</v>
      </c>
      <c r="BL32" t="s">
        <v>551</v>
      </c>
      <c r="BM32" t="s">
        <v>552</v>
      </c>
      <c r="BN32" t="s">
        <v>74</v>
      </c>
      <c r="BO32" t="s">
        <v>74</v>
      </c>
      <c r="BP32" t="s">
        <v>74</v>
      </c>
      <c r="BQ32" t="s">
        <v>74</v>
      </c>
      <c r="BR32" t="s">
        <v>104</v>
      </c>
      <c r="BS32" t="s">
        <v>567</v>
      </c>
      <c r="BT32" t="str">
        <f>HYPERLINK("https%3A%2F%2Fwww.webofscience.com%2Fwos%2Fwoscc%2Ffull-record%2FWOS:000504648100061","View Full Record in Web of Science")</f>
        <v>View Full Record in Web of Science</v>
      </c>
    </row>
    <row r="33" spans="1:72" x14ac:dyDescent="0.15">
      <c r="A33" t="s">
        <v>164</v>
      </c>
      <c r="B33" t="s">
        <v>568</v>
      </c>
      <c r="C33" t="s">
        <v>74</v>
      </c>
      <c r="D33" t="s">
        <v>533</v>
      </c>
      <c r="E33" t="s">
        <v>74</v>
      </c>
      <c r="F33" t="s">
        <v>569</v>
      </c>
      <c r="G33" t="s">
        <v>74</v>
      </c>
      <c r="H33" t="s">
        <v>74</v>
      </c>
      <c r="I33" t="s">
        <v>570</v>
      </c>
      <c r="J33" t="s">
        <v>536</v>
      </c>
      <c r="K33" t="s">
        <v>74</v>
      </c>
      <c r="L33" t="s">
        <v>74</v>
      </c>
      <c r="M33" t="s">
        <v>78</v>
      </c>
      <c r="N33" t="s">
        <v>172</v>
      </c>
      <c r="O33" t="s">
        <v>537</v>
      </c>
      <c r="P33" t="s">
        <v>538</v>
      </c>
      <c r="Q33" t="s">
        <v>539</v>
      </c>
      <c r="R33" t="s">
        <v>74</v>
      </c>
      <c r="S33" t="s">
        <v>74</v>
      </c>
      <c r="T33" t="s">
        <v>74</v>
      </c>
      <c r="U33" t="s">
        <v>74</v>
      </c>
      <c r="V33" t="s">
        <v>571</v>
      </c>
      <c r="W33" t="s">
        <v>572</v>
      </c>
      <c r="X33" t="s">
        <v>573</v>
      </c>
      <c r="Y33" t="s">
        <v>574</v>
      </c>
      <c r="Z33" t="s">
        <v>74</v>
      </c>
      <c r="AA33" t="s">
        <v>575</v>
      </c>
      <c r="AB33" t="s">
        <v>576</v>
      </c>
      <c r="AC33" t="s">
        <v>564</v>
      </c>
      <c r="AD33" t="s">
        <v>565</v>
      </c>
      <c r="AE33" t="s">
        <v>577</v>
      </c>
      <c r="AF33" t="s">
        <v>74</v>
      </c>
      <c r="AG33">
        <v>23</v>
      </c>
      <c r="AH33">
        <v>0</v>
      </c>
      <c r="AI33">
        <v>0</v>
      </c>
      <c r="AJ33">
        <v>1</v>
      </c>
      <c r="AK33">
        <v>3</v>
      </c>
      <c r="AL33" t="s">
        <v>546</v>
      </c>
      <c r="AM33" t="s">
        <v>547</v>
      </c>
      <c r="AN33" t="s">
        <v>548</v>
      </c>
      <c r="AO33" t="s">
        <v>74</v>
      </c>
      <c r="AP33" t="s">
        <v>74</v>
      </c>
      <c r="AQ33" t="s">
        <v>549</v>
      </c>
      <c r="AR33" t="s">
        <v>74</v>
      </c>
      <c r="AS33" t="s">
        <v>74</v>
      </c>
      <c r="AT33" t="s">
        <v>74</v>
      </c>
      <c r="AU33">
        <v>2019</v>
      </c>
      <c r="AV33" t="s">
        <v>74</v>
      </c>
      <c r="AW33" t="s">
        <v>74</v>
      </c>
      <c r="AX33" t="s">
        <v>74</v>
      </c>
      <c r="AY33" t="s">
        <v>74</v>
      </c>
      <c r="AZ33" t="s">
        <v>74</v>
      </c>
      <c r="BA33" t="s">
        <v>74</v>
      </c>
      <c r="BB33">
        <v>356</v>
      </c>
      <c r="BC33">
        <v>361</v>
      </c>
      <c r="BD33" t="s">
        <v>74</v>
      </c>
      <c r="BE33" t="s">
        <v>74</v>
      </c>
      <c r="BF33" t="s">
        <v>74</v>
      </c>
      <c r="BG33" t="s">
        <v>74</v>
      </c>
      <c r="BH33" t="s">
        <v>74</v>
      </c>
      <c r="BI33">
        <v>6</v>
      </c>
      <c r="BJ33" t="s">
        <v>550</v>
      </c>
      <c r="BK33" t="s">
        <v>190</v>
      </c>
      <c r="BL33" t="s">
        <v>551</v>
      </c>
      <c r="BM33" t="s">
        <v>552</v>
      </c>
      <c r="BN33" t="s">
        <v>74</v>
      </c>
      <c r="BO33" t="s">
        <v>74</v>
      </c>
      <c r="BP33" t="s">
        <v>74</v>
      </c>
      <c r="BQ33" t="s">
        <v>74</v>
      </c>
      <c r="BR33" t="s">
        <v>104</v>
      </c>
      <c r="BS33" t="s">
        <v>578</v>
      </c>
      <c r="BT33" t="str">
        <f>HYPERLINK("https%3A%2F%2Fwww.webofscience.com%2Fwos%2Fwoscc%2Ffull-record%2FWOS:000504648100062","View Full Record in Web of Science")</f>
        <v>View Full Record in Web of Science</v>
      </c>
    </row>
    <row r="34" spans="1:72" x14ac:dyDescent="0.15">
      <c r="A34" t="s">
        <v>72</v>
      </c>
      <c r="B34" t="s">
        <v>579</v>
      </c>
      <c r="C34" t="s">
        <v>74</v>
      </c>
      <c r="D34" t="s">
        <v>74</v>
      </c>
      <c r="E34" t="s">
        <v>74</v>
      </c>
      <c r="F34" t="s">
        <v>580</v>
      </c>
      <c r="G34" t="s">
        <v>74</v>
      </c>
      <c r="H34" t="s">
        <v>74</v>
      </c>
      <c r="I34" t="s">
        <v>581</v>
      </c>
      <c r="J34" t="s">
        <v>582</v>
      </c>
      <c r="K34" t="s">
        <v>74</v>
      </c>
      <c r="L34" t="s">
        <v>74</v>
      </c>
      <c r="M34" t="s">
        <v>78</v>
      </c>
      <c r="N34" t="s">
        <v>79</v>
      </c>
      <c r="O34" t="s">
        <v>74</v>
      </c>
      <c r="P34" t="s">
        <v>74</v>
      </c>
      <c r="Q34" t="s">
        <v>74</v>
      </c>
      <c r="R34" t="s">
        <v>74</v>
      </c>
      <c r="S34" t="s">
        <v>74</v>
      </c>
      <c r="T34" t="s">
        <v>583</v>
      </c>
      <c r="U34" t="s">
        <v>584</v>
      </c>
      <c r="V34" t="s">
        <v>585</v>
      </c>
      <c r="W34" t="s">
        <v>586</v>
      </c>
      <c r="X34" t="s">
        <v>587</v>
      </c>
      <c r="Y34" t="s">
        <v>588</v>
      </c>
      <c r="Z34" t="s">
        <v>589</v>
      </c>
      <c r="AA34" t="s">
        <v>590</v>
      </c>
      <c r="AB34" t="s">
        <v>591</v>
      </c>
      <c r="AC34" t="s">
        <v>74</v>
      </c>
      <c r="AD34" t="s">
        <v>74</v>
      </c>
      <c r="AE34" t="s">
        <v>74</v>
      </c>
      <c r="AF34" t="s">
        <v>74</v>
      </c>
      <c r="AG34">
        <v>75</v>
      </c>
      <c r="AH34">
        <v>0</v>
      </c>
      <c r="AI34">
        <v>0</v>
      </c>
      <c r="AJ34">
        <v>0</v>
      </c>
      <c r="AK34">
        <v>2</v>
      </c>
      <c r="AL34" t="s">
        <v>592</v>
      </c>
      <c r="AM34" t="s">
        <v>496</v>
      </c>
      <c r="AN34" t="s">
        <v>593</v>
      </c>
      <c r="AO34" t="s">
        <v>594</v>
      </c>
      <c r="AP34" t="s">
        <v>595</v>
      </c>
      <c r="AQ34" t="s">
        <v>74</v>
      </c>
      <c r="AR34" t="s">
        <v>596</v>
      </c>
      <c r="AS34" t="s">
        <v>597</v>
      </c>
      <c r="AT34" t="s">
        <v>74</v>
      </c>
      <c r="AU34">
        <v>2019</v>
      </c>
      <c r="AV34">
        <v>16</v>
      </c>
      <c r="AW34" t="s">
        <v>74</v>
      </c>
      <c r="AX34" t="s">
        <v>74</v>
      </c>
      <c r="AY34" t="s">
        <v>74</v>
      </c>
      <c r="AZ34">
        <v>2</v>
      </c>
      <c r="BA34" t="s">
        <v>74</v>
      </c>
      <c r="BB34">
        <v>121</v>
      </c>
      <c r="BC34">
        <v>138</v>
      </c>
      <c r="BD34" t="s">
        <v>74</v>
      </c>
      <c r="BE34" t="s">
        <v>74</v>
      </c>
      <c r="BF34" t="s">
        <v>74</v>
      </c>
      <c r="BG34" t="s">
        <v>74</v>
      </c>
      <c r="BH34" t="s">
        <v>74</v>
      </c>
      <c r="BI34">
        <v>18</v>
      </c>
      <c r="BJ34" t="s">
        <v>598</v>
      </c>
      <c r="BK34" t="s">
        <v>349</v>
      </c>
      <c r="BL34" t="s">
        <v>599</v>
      </c>
      <c r="BM34" t="s">
        <v>600</v>
      </c>
      <c r="BN34" t="s">
        <v>74</v>
      </c>
      <c r="BO34" t="s">
        <v>74</v>
      </c>
      <c r="BP34" t="s">
        <v>74</v>
      </c>
      <c r="BQ34" t="s">
        <v>74</v>
      </c>
      <c r="BR34" t="s">
        <v>104</v>
      </c>
      <c r="BS34" t="s">
        <v>601</v>
      </c>
      <c r="BT34" t="str">
        <f>HYPERLINK("https%3A%2F%2Fwww.webofscience.com%2Fwos%2Fwoscc%2Ffull-record%2FWOS:000504869700012","View Full Record in Web of Science")</f>
        <v>View Full Record in Web of Science</v>
      </c>
    </row>
    <row r="35" spans="1:72" x14ac:dyDescent="0.15">
      <c r="A35" t="s">
        <v>72</v>
      </c>
      <c r="B35" t="s">
        <v>602</v>
      </c>
      <c r="C35" t="s">
        <v>74</v>
      </c>
      <c r="D35" t="s">
        <v>74</v>
      </c>
      <c r="E35" t="s">
        <v>74</v>
      </c>
      <c r="F35" t="s">
        <v>603</v>
      </c>
      <c r="G35" t="s">
        <v>74</v>
      </c>
      <c r="H35" t="s">
        <v>74</v>
      </c>
      <c r="I35" t="s">
        <v>604</v>
      </c>
      <c r="J35" t="s">
        <v>605</v>
      </c>
      <c r="K35" t="s">
        <v>74</v>
      </c>
      <c r="L35" t="s">
        <v>74</v>
      </c>
      <c r="M35" t="s">
        <v>78</v>
      </c>
      <c r="N35" t="s">
        <v>79</v>
      </c>
      <c r="O35" t="s">
        <v>74</v>
      </c>
      <c r="P35" t="s">
        <v>74</v>
      </c>
      <c r="Q35" t="s">
        <v>74</v>
      </c>
      <c r="R35" t="s">
        <v>74</v>
      </c>
      <c r="S35" t="s">
        <v>74</v>
      </c>
      <c r="T35" t="s">
        <v>606</v>
      </c>
      <c r="U35" t="s">
        <v>607</v>
      </c>
      <c r="V35" t="s">
        <v>608</v>
      </c>
      <c r="W35" t="s">
        <v>609</v>
      </c>
      <c r="X35" t="s">
        <v>610</v>
      </c>
      <c r="Y35" t="s">
        <v>611</v>
      </c>
      <c r="Z35" t="s">
        <v>612</v>
      </c>
      <c r="AA35" t="s">
        <v>613</v>
      </c>
      <c r="AB35" t="s">
        <v>614</v>
      </c>
      <c r="AC35" t="s">
        <v>615</v>
      </c>
      <c r="AD35" t="s">
        <v>616</v>
      </c>
      <c r="AE35" t="s">
        <v>617</v>
      </c>
      <c r="AF35" t="s">
        <v>74</v>
      </c>
      <c r="AG35">
        <v>30</v>
      </c>
      <c r="AH35">
        <v>4</v>
      </c>
      <c r="AI35">
        <v>4</v>
      </c>
      <c r="AJ35">
        <v>4</v>
      </c>
      <c r="AK35">
        <v>11</v>
      </c>
      <c r="AL35" t="s">
        <v>618</v>
      </c>
      <c r="AM35" t="s">
        <v>619</v>
      </c>
      <c r="AN35" t="s">
        <v>620</v>
      </c>
      <c r="AO35" t="s">
        <v>621</v>
      </c>
      <c r="AP35" t="s">
        <v>74</v>
      </c>
      <c r="AQ35" t="s">
        <v>74</v>
      </c>
      <c r="AR35" t="s">
        <v>622</v>
      </c>
      <c r="AS35" t="s">
        <v>623</v>
      </c>
      <c r="AT35" t="s">
        <v>74</v>
      </c>
      <c r="AU35">
        <v>2019</v>
      </c>
      <c r="AV35">
        <v>66</v>
      </c>
      <c r="AW35">
        <v>4</v>
      </c>
      <c r="AX35" t="s">
        <v>74</v>
      </c>
      <c r="AY35" t="s">
        <v>74</v>
      </c>
      <c r="AZ35" t="s">
        <v>74</v>
      </c>
      <c r="BA35" t="s">
        <v>74</v>
      </c>
      <c r="BB35">
        <v>78</v>
      </c>
      <c r="BC35">
        <v>83</v>
      </c>
      <c r="BD35" t="s">
        <v>74</v>
      </c>
      <c r="BE35" t="s">
        <v>624</v>
      </c>
      <c r="BF35" t="str">
        <f>HYPERLINK("http://dx.doi.org/10.21077/ijf.2019.66.4.92173-10","http://dx.doi.org/10.21077/ijf.2019.66.4.92173-10")</f>
        <v>http://dx.doi.org/10.21077/ijf.2019.66.4.92173-10</v>
      </c>
      <c r="BG35" t="s">
        <v>74</v>
      </c>
      <c r="BH35" t="s">
        <v>74</v>
      </c>
      <c r="BI35">
        <v>6</v>
      </c>
      <c r="BJ35" t="s">
        <v>625</v>
      </c>
      <c r="BK35" t="s">
        <v>101</v>
      </c>
      <c r="BL35" t="s">
        <v>625</v>
      </c>
      <c r="BM35" t="s">
        <v>626</v>
      </c>
      <c r="BN35" t="s">
        <v>74</v>
      </c>
      <c r="BO35" t="s">
        <v>131</v>
      </c>
      <c r="BP35" t="s">
        <v>74</v>
      </c>
      <c r="BQ35" t="s">
        <v>74</v>
      </c>
      <c r="BR35" t="s">
        <v>104</v>
      </c>
      <c r="BS35" t="s">
        <v>627</v>
      </c>
      <c r="BT35" t="str">
        <f>HYPERLINK("https%3A%2F%2Fwww.webofscience.com%2Fwos%2Fwoscc%2Ffull-record%2FWOS:000505044900010","View Full Record in Web of Science")</f>
        <v>View Full Record in Web of Science</v>
      </c>
    </row>
    <row r="36" spans="1:72" x14ac:dyDescent="0.15">
      <c r="A36" t="s">
        <v>72</v>
      </c>
      <c r="B36" t="s">
        <v>628</v>
      </c>
      <c r="C36" t="s">
        <v>74</v>
      </c>
      <c r="D36" t="s">
        <v>74</v>
      </c>
      <c r="E36" t="s">
        <v>74</v>
      </c>
      <c r="F36" t="s">
        <v>629</v>
      </c>
      <c r="G36" t="s">
        <v>74</v>
      </c>
      <c r="H36" t="s">
        <v>74</v>
      </c>
      <c r="I36" t="s">
        <v>630</v>
      </c>
      <c r="J36" t="s">
        <v>631</v>
      </c>
      <c r="K36" t="s">
        <v>74</v>
      </c>
      <c r="L36" t="s">
        <v>74</v>
      </c>
      <c r="M36" t="s">
        <v>78</v>
      </c>
      <c r="N36" t="s">
        <v>79</v>
      </c>
      <c r="O36" t="s">
        <v>74</v>
      </c>
      <c r="P36" t="s">
        <v>74</v>
      </c>
      <c r="Q36" t="s">
        <v>74</v>
      </c>
      <c r="R36" t="s">
        <v>74</v>
      </c>
      <c r="S36" t="s">
        <v>74</v>
      </c>
      <c r="T36" t="s">
        <v>74</v>
      </c>
      <c r="U36" t="s">
        <v>74</v>
      </c>
      <c r="V36" t="s">
        <v>632</v>
      </c>
      <c r="W36" t="s">
        <v>633</v>
      </c>
      <c r="X36" t="s">
        <v>634</v>
      </c>
      <c r="Y36" t="s">
        <v>635</v>
      </c>
      <c r="Z36" t="s">
        <v>74</v>
      </c>
      <c r="AA36" t="s">
        <v>74</v>
      </c>
      <c r="AB36" t="s">
        <v>74</v>
      </c>
      <c r="AC36" t="s">
        <v>74</v>
      </c>
      <c r="AD36" t="s">
        <v>74</v>
      </c>
      <c r="AE36" t="s">
        <v>74</v>
      </c>
      <c r="AF36" t="s">
        <v>74</v>
      </c>
      <c r="AG36">
        <v>99</v>
      </c>
      <c r="AH36">
        <v>0</v>
      </c>
      <c r="AI36">
        <v>0</v>
      </c>
      <c r="AJ36">
        <v>1</v>
      </c>
      <c r="AK36">
        <v>5</v>
      </c>
      <c r="AL36" t="s">
        <v>636</v>
      </c>
      <c r="AM36" t="s">
        <v>637</v>
      </c>
      <c r="AN36" t="s">
        <v>638</v>
      </c>
      <c r="AO36" t="s">
        <v>639</v>
      </c>
      <c r="AP36" t="s">
        <v>74</v>
      </c>
      <c r="AQ36" t="s">
        <v>74</v>
      </c>
      <c r="AR36" t="s">
        <v>640</v>
      </c>
      <c r="AS36" t="s">
        <v>641</v>
      </c>
      <c r="AT36" t="s">
        <v>74</v>
      </c>
      <c r="AU36">
        <v>2019</v>
      </c>
      <c r="AV36">
        <v>62</v>
      </c>
      <c r="AW36">
        <v>1</v>
      </c>
      <c r="AX36" t="s">
        <v>74</v>
      </c>
      <c r="AY36" t="s">
        <v>74</v>
      </c>
      <c r="AZ36" t="s">
        <v>74</v>
      </c>
      <c r="BA36" t="s">
        <v>74</v>
      </c>
      <c r="BB36">
        <v>35</v>
      </c>
      <c r="BC36" t="s">
        <v>642</v>
      </c>
      <c r="BD36" t="s">
        <v>74</v>
      </c>
      <c r="BE36" t="s">
        <v>643</v>
      </c>
      <c r="BF36" t="str">
        <f>HYPERLINK("http://dx.doi.org/10.13173/centasiaj.62.1.0035","http://dx.doi.org/10.13173/centasiaj.62.1.0035")</f>
        <v>http://dx.doi.org/10.13173/centasiaj.62.1.0035</v>
      </c>
      <c r="BG36" t="s">
        <v>74</v>
      </c>
      <c r="BH36" t="s">
        <v>74</v>
      </c>
      <c r="BI36">
        <v>35</v>
      </c>
      <c r="BJ36" t="s">
        <v>644</v>
      </c>
      <c r="BK36" t="s">
        <v>645</v>
      </c>
      <c r="BL36" t="s">
        <v>644</v>
      </c>
      <c r="BM36" t="s">
        <v>646</v>
      </c>
      <c r="BN36" t="s">
        <v>74</v>
      </c>
      <c r="BO36" t="s">
        <v>74</v>
      </c>
      <c r="BP36" t="s">
        <v>74</v>
      </c>
      <c r="BQ36" t="s">
        <v>74</v>
      </c>
      <c r="BR36" t="s">
        <v>104</v>
      </c>
      <c r="BS36" t="s">
        <v>647</v>
      </c>
      <c r="BT36" t="str">
        <f>HYPERLINK("https%3A%2F%2Fwww.webofscience.com%2Fwos%2Fwoscc%2Ffull-record%2FWOS:000503829600006","View Full Record in Web of Science")</f>
        <v>View Full Record in Web of Science</v>
      </c>
    </row>
    <row r="37" spans="1:72" x14ac:dyDescent="0.15">
      <c r="A37" t="s">
        <v>72</v>
      </c>
      <c r="B37" t="s">
        <v>648</v>
      </c>
      <c r="C37" t="s">
        <v>74</v>
      </c>
      <c r="D37" t="s">
        <v>74</v>
      </c>
      <c r="E37" t="s">
        <v>74</v>
      </c>
      <c r="F37" t="s">
        <v>649</v>
      </c>
      <c r="G37" t="s">
        <v>74</v>
      </c>
      <c r="H37" t="s">
        <v>74</v>
      </c>
      <c r="I37" t="s">
        <v>650</v>
      </c>
      <c r="J37" t="s">
        <v>651</v>
      </c>
      <c r="K37" t="s">
        <v>74</v>
      </c>
      <c r="L37" t="s">
        <v>74</v>
      </c>
      <c r="M37" t="s">
        <v>78</v>
      </c>
      <c r="N37" t="s">
        <v>79</v>
      </c>
      <c r="O37" t="s">
        <v>74</v>
      </c>
      <c r="P37" t="s">
        <v>74</v>
      </c>
      <c r="Q37" t="s">
        <v>74</v>
      </c>
      <c r="R37" t="s">
        <v>74</v>
      </c>
      <c r="S37" t="s">
        <v>74</v>
      </c>
      <c r="T37" t="s">
        <v>652</v>
      </c>
      <c r="U37" t="s">
        <v>653</v>
      </c>
      <c r="V37" t="s">
        <v>654</v>
      </c>
      <c r="W37" t="s">
        <v>655</v>
      </c>
      <c r="X37" t="s">
        <v>656</v>
      </c>
      <c r="Y37" t="s">
        <v>657</v>
      </c>
      <c r="Z37" t="s">
        <v>658</v>
      </c>
      <c r="AA37" t="s">
        <v>74</v>
      </c>
      <c r="AB37" t="s">
        <v>659</v>
      </c>
      <c r="AC37" t="s">
        <v>660</v>
      </c>
      <c r="AD37" t="s">
        <v>661</v>
      </c>
      <c r="AE37" t="s">
        <v>662</v>
      </c>
      <c r="AF37" t="s">
        <v>74</v>
      </c>
      <c r="AG37">
        <v>100</v>
      </c>
      <c r="AH37">
        <v>1</v>
      </c>
      <c r="AI37">
        <v>1</v>
      </c>
      <c r="AJ37">
        <v>2</v>
      </c>
      <c r="AK37">
        <v>21</v>
      </c>
      <c r="AL37" t="s">
        <v>663</v>
      </c>
      <c r="AM37" t="s">
        <v>444</v>
      </c>
      <c r="AN37" t="s">
        <v>445</v>
      </c>
      <c r="AO37" t="s">
        <v>664</v>
      </c>
      <c r="AP37" t="s">
        <v>665</v>
      </c>
      <c r="AQ37" t="s">
        <v>74</v>
      </c>
      <c r="AR37" t="s">
        <v>666</v>
      </c>
      <c r="AS37" t="s">
        <v>667</v>
      </c>
      <c r="AT37" t="s">
        <v>74</v>
      </c>
      <c r="AU37">
        <v>2019</v>
      </c>
      <c r="AV37">
        <v>69</v>
      </c>
      <c r="AW37">
        <v>4</v>
      </c>
      <c r="AX37" t="s">
        <v>74</v>
      </c>
      <c r="AY37" t="s">
        <v>74</v>
      </c>
      <c r="AZ37" t="s">
        <v>74</v>
      </c>
      <c r="BA37" t="s">
        <v>74</v>
      </c>
      <c r="BB37">
        <v>627</v>
      </c>
      <c r="BC37">
        <v>643</v>
      </c>
      <c r="BD37" t="s">
        <v>74</v>
      </c>
      <c r="BE37" t="s">
        <v>668</v>
      </c>
      <c r="BF37" t="str">
        <f>HYPERLINK("http://dx.doi.org/10.24425/agp.2019.126448","http://dx.doi.org/10.24425/agp.2019.126448")</f>
        <v>http://dx.doi.org/10.24425/agp.2019.126448</v>
      </c>
      <c r="BG37" t="s">
        <v>74</v>
      </c>
      <c r="BH37" t="s">
        <v>74</v>
      </c>
      <c r="BI37">
        <v>17</v>
      </c>
      <c r="BJ37" t="s">
        <v>528</v>
      </c>
      <c r="BK37" t="s">
        <v>101</v>
      </c>
      <c r="BL37" t="s">
        <v>528</v>
      </c>
      <c r="BM37" t="s">
        <v>669</v>
      </c>
      <c r="BN37" t="s">
        <v>74</v>
      </c>
      <c r="BO37" t="s">
        <v>131</v>
      </c>
      <c r="BP37" t="s">
        <v>74</v>
      </c>
      <c r="BQ37" t="s">
        <v>74</v>
      </c>
      <c r="BR37" t="s">
        <v>104</v>
      </c>
      <c r="BS37" t="s">
        <v>670</v>
      </c>
      <c r="BT37" t="str">
        <f>HYPERLINK("https%3A%2F%2Fwww.webofscience.com%2Fwos%2Fwoscc%2Ffull-record%2FWOS:000503828200008","View Full Record in Web of Science")</f>
        <v>View Full Record in Web of Science</v>
      </c>
    </row>
    <row r="38" spans="1:72" x14ac:dyDescent="0.15">
      <c r="A38" t="s">
        <v>72</v>
      </c>
      <c r="B38" t="s">
        <v>671</v>
      </c>
      <c r="C38" t="s">
        <v>74</v>
      </c>
      <c r="D38" t="s">
        <v>74</v>
      </c>
      <c r="E38" t="s">
        <v>74</v>
      </c>
      <c r="F38" t="s">
        <v>672</v>
      </c>
      <c r="G38" t="s">
        <v>74</v>
      </c>
      <c r="H38" t="s">
        <v>74</v>
      </c>
      <c r="I38" t="s">
        <v>673</v>
      </c>
      <c r="J38" t="s">
        <v>674</v>
      </c>
      <c r="K38" t="s">
        <v>74</v>
      </c>
      <c r="L38" t="s">
        <v>74</v>
      </c>
      <c r="M38" t="s">
        <v>78</v>
      </c>
      <c r="N38" t="s">
        <v>79</v>
      </c>
      <c r="O38" t="s">
        <v>74</v>
      </c>
      <c r="P38" t="s">
        <v>74</v>
      </c>
      <c r="Q38" t="s">
        <v>74</v>
      </c>
      <c r="R38" t="s">
        <v>74</v>
      </c>
      <c r="S38" t="s">
        <v>74</v>
      </c>
      <c r="T38" t="s">
        <v>675</v>
      </c>
      <c r="U38" t="s">
        <v>676</v>
      </c>
      <c r="V38" t="s">
        <v>677</v>
      </c>
      <c r="W38" t="s">
        <v>678</v>
      </c>
      <c r="X38" t="s">
        <v>679</v>
      </c>
      <c r="Y38" t="s">
        <v>680</v>
      </c>
      <c r="Z38" t="s">
        <v>681</v>
      </c>
      <c r="AA38" t="s">
        <v>682</v>
      </c>
      <c r="AB38" t="s">
        <v>683</v>
      </c>
      <c r="AC38" t="s">
        <v>684</v>
      </c>
      <c r="AD38" t="s">
        <v>685</v>
      </c>
      <c r="AE38" t="s">
        <v>686</v>
      </c>
      <c r="AF38" t="s">
        <v>74</v>
      </c>
      <c r="AG38">
        <v>39</v>
      </c>
      <c r="AH38">
        <v>2</v>
      </c>
      <c r="AI38">
        <v>2</v>
      </c>
      <c r="AJ38">
        <v>0</v>
      </c>
      <c r="AK38">
        <v>2</v>
      </c>
      <c r="AL38" t="s">
        <v>687</v>
      </c>
      <c r="AM38" t="s">
        <v>688</v>
      </c>
      <c r="AN38" t="s">
        <v>689</v>
      </c>
      <c r="AO38" t="s">
        <v>690</v>
      </c>
      <c r="AP38" t="s">
        <v>74</v>
      </c>
      <c r="AQ38" t="s">
        <v>74</v>
      </c>
      <c r="AR38" t="s">
        <v>691</v>
      </c>
      <c r="AS38" t="s">
        <v>692</v>
      </c>
      <c r="AT38" t="s">
        <v>74</v>
      </c>
      <c r="AU38">
        <v>2019</v>
      </c>
      <c r="AV38">
        <v>45</v>
      </c>
      <c r="AW38">
        <v>4</v>
      </c>
      <c r="AX38" t="s">
        <v>74</v>
      </c>
      <c r="AY38" t="s">
        <v>74</v>
      </c>
      <c r="AZ38" t="s">
        <v>74</v>
      </c>
      <c r="BA38" t="s">
        <v>74</v>
      </c>
      <c r="BB38">
        <v>163</v>
      </c>
      <c r="BC38">
        <v>174</v>
      </c>
      <c r="BD38" t="s">
        <v>74</v>
      </c>
      <c r="BE38" t="s">
        <v>693</v>
      </c>
      <c r="BF38" t="str">
        <f>HYPERLINK("http://dx.doi.org/10.7773/cm.v45i4.3019","http://dx.doi.org/10.7773/cm.v45i4.3019")</f>
        <v>http://dx.doi.org/10.7773/cm.v45i4.3019</v>
      </c>
      <c r="BG38" t="s">
        <v>74</v>
      </c>
      <c r="BH38" t="s">
        <v>74</v>
      </c>
      <c r="BI38">
        <v>12</v>
      </c>
      <c r="BJ38" t="s">
        <v>694</v>
      </c>
      <c r="BK38" t="s">
        <v>101</v>
      </c>
      <c r="BL38" t="s">
        <v>694</v>
      </c>
      <c r="BM38" t="s">
        <v>695</v>
      </c>
      <c r="BN38" t="s">
        <v>74</v>
      </c>
      <c r="BO38" t="s">
        <v>131</v>
      </c>
      <c r="BP38" t="s">
        <v>74</v>
      </c>
      <c r="BQ38" t="s">
        <v>74</v>
      </c>
      <c r="BR38" t="s">
        <v>104</v>
      </c>
      <c r="BS38" t="s">
        <v>696</v>
      </c>
      <c r="BT38" t="str">
        <f>HYPERLINK("https%3A%2F%2Fwww.webofscience.com%2Fwos%2Fwoscc%2Ffull-record%2FWOS:000503835400002","View Full Record in Web of Science")</f>
        <v>View Full Record in Web of Science</v>
      </c>
    </row>
    <row r="39" spans="1:72" x14ac:dyDescent="0.15">
      <c r="A39" t="s">
        <v>72</v>
      </c>
      <c r="B39" t="s">
        <v>697</v>
      </c>
      <c r="C39" t="s">
        <v>74</v>
      </c>
      <c r="D39" t="s">
        <v>74</v>
      </c>
      <c r="E39" t="s">
        <v>74</v>
      </c>
      <c r="F39" t="s">
        <v>698</v>
      </c>
      <c r="G39" t="s">
        <v>74</v>
      </c>
      <c r="H39" t="s">
        <v>74</v>
      </c>
      <c r="I39" t="s">
        <v>699</v>
      </c>
      <c r="J39" t="s">
        <v>700</v>
      </c>
      <c r="K39" t="s">
        <v>74</v>
      </c>
      <c r="L39" t="s">
        <v>74</v>
      </c>
      <c r="M39" t="s">
        <v>78</v>
      </c>
      <c r="N39" t="s">
        <v>79</v>
      </c>
      <c r="O39" t="s">
        <v>74</v>
      </c>
      <c r="P39" t="s">
        <v>74</v>
      </c>
      <c r="Q39" t="s">
        <v>74</v>
      </c>
      <c r="R39" t="s">
        <v>74</v>
      </c>
      <c r="S39" t="s">
        <v>74</v>
      </c>
      <c r="T39" t="s">
        <v>701</v>
      </c>
      <c r="U39" t="s">
        <v>74</v>
      </c>
      <c r="V39" t="s">
        <v>702</v>
      </c>
      <c r="W39" t="s">
        <v>703</v>
      </c>
      <c r="X39" t="s">
        <v>704</v>
      </c>
      <c r="Y39" t="s">
        <v>705</v>
      </c>
      <c r="Z39" t="s">
        <v>706</v>
      </c>
      <c r="AA39" t="s">
        <v>707</v>
      </c>
      <c r="AB39" t="s">
        <v>708</v>
      </c>
      <c r="AC39" t="s">
        <v>709</v>
      </c>
      <c r="AD39" t="s">
        <v>710</v>
      </c>
      <c r="AE39" t="s">
        <v>711</v>
      </c>
      <c r="AF39" t="s">
        <v>74</v>
      </c>
      <c r="AG39">
        <v>17</v>
      </c>
      <c r="AH39">
        <v>1</v>
      </c>
      <c r="AI39">
        <v>1</v>
      </c>
      <c r="AJ39">
        <v>0</v>
      </c>
      <c r="AK39">
        <v>0</v>
      </c>
      <c r="AL39" t="s">
        <v>712</v>
      </c>
      <c r="AM39" t="s">
        <v>713</v>
      </c>
      <c r="AN39" t="s">
        <v>714</v>
      </c>
      <c r="AO39" t="s">
        <v>715</v>
      </c>
      <c r="AP39" t="s">
        <v>716</v>
      </c>
      <c r="AQ39" t="s">
        <v>74</v>
      </c>
      <c r="AR39" t="s">
        <v>700</v>
      </c>
      <c r="AS39" t="s">
        <v>717</v>
      </c>
      <c r="AT39" t="s">
        <v>718</v>
      </c>
      <c r="AU39">
        <v>2019</v>
      </c>
      <c r="AV39">
        <v>41</v>
      </c>
      <c r="AW39">
        <v>1</v>
      </c>
      <c r="AX39" t="s">
        <v>74</v>
      </c>
      <c r="AY39" t="s">
        <v>74</v>
      </c>
      <c r="AZ39" t="s">
        <v>74</v>
      </c>
      <c r="BA39" t="s">
        <v>74</v>
      </c>
      <c r="BB39">
        <v>17</v>
      </c>
      <c r="BC39">
        <v>23</v>
      </c>
      <c r="BD39" t="s">
        <v>74</v>
      </c>
      <c r="BE39" t="s">
        <v>719</v>
      </c>
      <c r="BF39" t="str">
        <f>HYPERLINK("http://dx.doi.org/10.5252/adansonia2019v41a2","http://dx.doi.org/10.5252/adansonia2019v41a2")</f>
        <v>http://dx.doi.org/10.5252/adansonia2019v41a2</v>
      </c>
      <c r="BG39" t="s">
        <v>74</v>
      </c>
      <c r="BH39" t="s">
        <v>74</v>
      </c>
      <c r="BI39">
        <v>7</v>
      </c>
      <c r="BJ39" t="s">
        <v>720</v>
      </c>
      <c r="BK39" t="s">
        <v>101</v>
      </c>
      <c r="BL39" t="s">
        <v>720</v>
      </c>
      <c r="BM39" t="s">
        <v>721</v>
      </c>
      <c r="BN39" t="s">
        <v>74</v>
      </c>
      <c r="BO39" t="s">
        <v>131</v>
      </c>
      <c r="BP39" t="s">
        <v>74</v>
      </c>
      <c r="BQ39" t="s">
        <v>74</v>
      </c>
      <c r="BR39" t="s">
        <v>104</v>
      </c>
      <c r="BS39" t="s">
        <v>722</v>
      </c>
      <c r="BT39" t="str">
        <f>HYPERLINK("https%3A%2F%2Fwww.webofscience.com%2Fwos%2Fwoscc%2Ffull-record%2FWOS:000502642700002","View Full Record in Web of Science")</f>
        <v>View Full Record in Web of Science</v>
      </c>
    </row>
    <row r="40" spans="1:72" x14ac:dyDescent="0.15">
      <c r="A40" t="s">
        <v>72</v>
      </c>
      <c r="B40" t="s">
        <v>723</v>
      </c>
      <c r="C40" t="s">
        <v>74</v>
      </c>
      <c r="D40" t="s">
        <v>74</v>
      </c>
      <c r="E40" t="s">
        <v>74</v>
      </c>
      <c r="F40" t="s">
        <v>724</v>
      </c>
      <c r="G40" t="s">
        <v>74</v>
      </c>
      <c r="H40" t="s">
        <v>74</v>
      </c>
      <c r="I40" t="s">
        <v>725</v>
      </c>
      <c r="J40" t="s">
        <v>726</v>
      </c>
      <c r="K40" t="s">
        <v>74</v>
      </c>
      <c r="L40" t="s">
        <v>74</v>
      </c>
      <c r="M40" t="s">
        <v>78</v>
      </c>
      <c r="N40" t="s">
        <v>79</v>
      </c>
      <c r="O40" t="s">
        <v>74</v>
      </c>
      <c r="P40" t="s">
        <v>74</v>
      </c>
      <c r="Q40" t="s">
        <v>74</v>
      </c>
      <c r="R40" t="s">
        <v>74</v>
      </c>
      <c r="S40" t="s">
        <v>74</v>
      </c>
      <c r="T40" t="s">
        <v>74</v>
      </c>
      <c r="U40" t="s">
        <v>727</v>
      </c>
      <c r="V40" t="s">
        <v>728</v>
      </c>
      <c r="W40" t="s">
        <v>729</v>
      </c>
      <c r="X40" t="s">
        <v>730</v>
      </c>
      <c r="Y40" t="s">
        <v>731</v>
      </c>
      <c r="Z40" t="s">
        <v>732</v>
      </c>
      <c r="AA40" t="s">
        <v>733</v>
      </c>
      <c r="AB40" t="s">
        <v>734</v>
      </c>
      <c r="AC40" t="s">
        <v>735</v>
      </c>
      <c r="AD40" t="s">
        <v>735</v>
      </c>
      <c r="AE40" t="s">
        <v>736</v>
      </c>
      <c r="AF40" t="s">
        <v>74</v>
      </c>
      <c r="AG40">
        <v>15</v>
      </c>
      <c r="AH40">
        <v>1</v>
      </c>
      <c r="AI40">
        <v>1</v>
      </c>
      <c r="AJ40">
        <v>0</v>
      </c>
      <c r="AK40">
        <v>0</v>
      </c>
      <c r="AL40" t="s">
        <v>737</v>
      </c>
      <c r="AM40" t="s">
        <v>738</v>
      </c>
      <c r="AN40" t="s">
        <v>739</v>
      </c>
      <c r="AO40" t="s">
        <v>740</v>
      </c>
      <c r="AP40" t="s">
        <v>741</v>
      </c>
      <c r="AQ40" t="s">
        <v>74</v>
      </c>
      <c r="AR40" t="s">
        <v>742</v>
      </c>
      <c r="AS40" t="s">
        <v>743</v>
      </c>
      <c r="AT40" t="s">
        <v>74</v>
      </c>
      <c r="AU40">
        <v>2019</v>
      </c>
      <c r="AV40">
        <v>62</v>
      </c>
      <c r="AW40">
        <v>4</v>
      </c>
      <c r="AX40" t="s">
        <v>74</v>
      </c>
      <c r="AY40" t="s">
        <v>74</v>
      </c>
      <c r="AZ40" t="s">
        <v>74</v>
      </c>
      <c r="BA40" t="s">
        <v>74</v>
      </c>
      <c r="BB40" t="s">
        <v>74</v>
      </c>
      <c r="BC40" t="s">
        <v>74</v>
      </c>
      <c r="BD40" t="s">
        <v>744</v>
      </c>
      <c r="BE40" t="s">
        <v>745</v>
      </c>
      <c r="BF40" t="str">
        <f>HYPERLINK("http://dx.doi.org/10.4401/ag-7779","http://dx.doi.org/10.4401/ag-7779")</f>
        <v>http://dx.doi.org/10.4401/ag-7779</v>
      </c>
      <c r="BG40" t="s">
        <v>74</v>
      </c>
      <c r="BH40" t="s">
        <v>74</v>
      </c>
      <c r="BI40">
        <v>7</v>
      </c>
      <c r="BJ40" t="s">
        <v>746</v>
      </c>
      <c r="BK40" t="s">
        <v>101</v>
      </c>
      <c r="BL40" t="s">
        <v>746</v>
      </c>
      <c r="BM40" t="s">
        <v>747</v>
      </c>
      <c r="BN40" t="s">
        <v>74</v>
      </c>
      <c r="BO40" t="s">
        <v>131</v>
      </c>
      <c r="BP40" t="s">
        <v>74</v>
      </c>
      <c r="BQ40" t="s">
        <v>74</v>
      </c>
      <c r="BR40" t="s">
        <v>104</v>
      </c>
      <c r="BS40" t="s">
        <v>748</v>
      </c>
      <c r="BT40" t="str">
        <f>HYPERLINK("https%3A%2F%2Fwww.webofscience.com%2Fwos%2Fwoscc%2Ffull-record%2FWOS:000502540500004","View Full Record in Web of Science")</f>
        <v>View Full Record in Web of Science</v>
      </c>
    </row>
    <row r="41" spans="1:72" x14ac:dyDescent="0.15">
      <c r="A41" t="s">
        <v>72</v>
      </c>
      <c r="B41" t="s">
        <v>749</v>
      </c>
      <c r="C41" t="s">
        <v>74</v>
      </c>
      <c r="D41" t="s">
        <v>74</v>
      </c>
      <c r="E41" t="s">
        <v>74</v>
      </c>
      <c r="F41" t="s">
        <v>750</v>
      </c>
      <c r="G41" t="s">
        <v>74</v>
      </c>
      <c r="H41" t="s">
        <v>74</v>
      </c>
      <c r="I41" t="s">
        <v>751</v>
      </c>
      <c r="J41" t="s">
        <v>752</v>
      </c>
      <c r="K41" t="s">
        <v>74</v>
      </c>
      <c r="L41" t="s">
        <v>74</v>
      </c>
      <c r="M41" t="s">
        <v>78</v>
      </c>
      <c r="N41" t="s">
        <v>79</v>
      </c>
      <c r="O41" t="s">
        <v>74</v>
      </c>
      <c r="P41" t="s">
        <v>74</v>
      </c>
      <c r="Q41" t="s">
        <v>74</v>
      </c>
      <c r="R41" t="s">
        <v>74</v>
      </c>
      <c r="S41" t="s">
        <v>74</v>
      </c>
      <c r="T41" t="s">
        <v>753</v>
      </c>
      <c r="U41" t="s">
        <v>754</v>
      </c>
      <c r="V41" t="s">
        <v>755</v>
      </c>
      <c r="W41" t="s">
        <v>756</v>
      </c>
      <c r="X41" t="s">
        <v>757</v>
      </c>
      <c r="Y41" t="s">
        <v>758</v>
      </c>
      <c r="Z41" t="s">
        <v>759</v>
      </c>
      <c r="AA41" t="s">
        <v>760</v>
      </c>
      <c r="AB41" t="s">
        <v>761</v>
      </c>
      <c r="AC41" t="s">
        <v>762</v>
      </c>
      <c r="AD41" t="s">
        <v>763</v>
      </c>
      <c r="AE41" t="s">
        <v>764</v>
      </c>
      <c r="AF41" t="s">
        <v>74</v>
      </c>
      <c r="AG41">
        <v>27</v>
      </c>
      <c r="AH41">
        <v>1</v>
      </c>
      <c r="AI41">
        <v>2</v>
      </c>
      <c r="AJ41">
        <v>0</v>
      </c>
      <c r="AK41">
        <v>4</v>
      </c>
      <c r="AL41" t="s">
        <v>765</v>
      </c>
      <c r="AM41" t="s">
        <v>766</v>
      </c>
      <c r="AN41" t="s">
        <v>767</v>
      </c>
      <c r="AO41" t="s">
        <v>768</v>
      </c>
      <c r="AP41" t="s">
        <v>769</v>
      </c>
      <c r="AQ41" t="s">
        <v>74</v>
      </c>
      <c r="AR41" t="s">
        <v>770</v>
      </c>
      <c r="AS41" t="s">
        <v>771</v>
      </c>
      <c r="AT41" t="s">
        <v>74</v>
      </c>
      <c r="AU41">
        <v>2019</v>
      </c>
      <c r="AV41">
        <v>26</v>
      </c>
      <c r="AW41">
        <v>5</v>
      </c>
      <c r="AX41" t="s">
        <v>74</v>
      </c>
      <c r="AY41" t="s">
        <v>74</v>
      </c>
      <c r="AZ41" t="s">
        <v>74</v>
      </c>
      <c r="BA41" t="s">
        <v>74</v>
      </c>
      <c r="BB41">
        <v>425</v>
      </c>
      <c r="BC41">
        <v>437</v>
      </c>
      <c r="BD41" t="s">
        <v>74</v>
      </c>
      <c r="BE41" t="s">
        <v>772</v>
      </c>
      <c r="BF41" t="str">
        <f>HYPERLINK("http://dx.doi.org/10.22449/1573-160X-2019-5-425-437","http://dx.doi.org/10.22449/1573-160X-2019-5-425-437")</f>
        <v>http://dx.doi.org/10.22449/1573-160X-2019-5-425-437</v>
      </c>
      <c r="BG41" t="s">
        <v>74</v>
      </c>
      <c r="BH41" t="s">
        <v>74</v>
      </c>
      <c r="BI41">
        <v>13</v>
      </c>
      <c r="BJ41" t="s">
        <v>773</v>
      </c>
      <c r="BK41" t="s">
        <v>349</v>
      </c>
      <c r="BL41" t="s">
        <v>773</v>
      </c>
      <c r="BM41" t="s">
        <v>774</v>
      </c>
      <c r="BN41" t="s">
        <v>74</v>
      </c>
      <c r="BO41" t="s">
        <v>131</v>
      </c>
      <c r="BP41" t="s">
        <v>74</v>
      </c>
      <c r="BQ41" t="s">
        <v>74</v>
      </c>
      <c r="BR41" t="s">
        <v>104</v>
      </c>
      <c r="BS41" t="s">
        <v>775</v>
      </c>
      <c r="BT41" t="str">
        <f>HYPERLINK("https%3A%2F%2Fwww.webofscience.com%2Fwos%2Fwoscc%2Ffull-record%2FWOS:000502146400006","View Full Record in Web of Science")</f>
        <v>View Full Record in Web of Science</v>
      </c>
    </row>
    <row r="42" spans="1:72" x14ac:dyDescent="0.15">
      <c r="A42" t="s">
        <v>72</v>
      </c>
      <c r="B42" t="s">
        <v>776</v>
      </c>
      <c r="C42" t="s">
        <v>74</v>
      </c>
      <c r="D42" t="s">
        <v>74</v>
      </c>
      <c r="E42" t="s">
        <v>74</v>
      </c>
      <c r="F42" t="s">
        <v>777</v>
      </c>
      <c r="G42" t="s">
        <v>74</v>
      </c>
      <c r="H42" t="s">
        <v>74</v>
      </c>
      <c r="I42" t="s">
        <v>778</v>
      </c>
      <c r="J42" t="s">
        <v>779</v>
      </c>
      <c r="K42" t="s">
        <v>74</v>
      </c>
      <c r="L42" t="s">
        <v>74</v>
      </c>
      <c r="M42" t="s">
        <v>78</v>
      </c>
      <c r="N42" t="s">
        <v>79</v>
      </c>
      <c r="O42" t="s">
        <v>74</v>
      </c>
      <c r="P42" t="s">
        <v>74</v>
      </c>
      <c r="Q42" t="s">
        <v>74</v>
      </c>
      <c r="R42" t="s">
        <v>74</v>
      </c>
      <c r="S42" t="s">
        <v>74</v>
      </c>
      <c r="T42" t="s">
        <v>780</v>
      </c>
      <c r="U42" t="s">
        <v>74</v>
      </c>
      <c r="V42" t="s">
        <v>781</v>
      </c>
      <c r="W42" t="s">
        <v>782</v>
      </c>
      <c r="X42" t="s">
        <v>783</v>
      </c>
      <c r="Y42" t="s">
        <v>784</v>
      </c>
      <c r="Z42" t="s">
        <v>785</v>
      </c>
      <c r="AA42" t="s">
        <v>786</v>
      </c>
      <c r="AB42" t="s">
        <v>74</v>
      </c>
      <c r="AC42" t="s">
        <v>787</v>
      </c>
      <c r="AD42" t="s">
        <v>788</v>
      </c>
      <c r="AE42" t="s">
        <v>789</v>
      </c>
      <c r="AF42" t="s">
        <v>74</v>
      </c>
      <c r="AG42">
        <v>16</v>
      </c>
      <c r="AH42">
        <v>0</v>
      </c>
      <c r="AI42">
        <v>0</v>
      </c>
      <c r="AJ42">
        <v>0</v>
      </c>
      <c r="AK42">
        <v>9</v>
      </c>
      <c r="AL42" t="s">
        <v>790</v>
      </c>
      <c r="AM42" t="s">
        <v>791</v>
      </c>
      <c r="AN42" t="s">
        <v>792</v>
      </c>
      <c r="AO42" t="s">
        <v>793</v>
      </c>
      <c r="AP42" t="s">
        <v>794</v>
      </c>
      <c r="AQ42" t="s">
        <v>74</v>
      </c>
      <c r="AR42" t="s">
        <v>795</v>
      </c>
      <c r="AS42" t="s">
        <v>796</v>
      </c>
      <c r="AT42" t="s">
        <v>74</v>
      </c>
      <c r="AU42">
        <v>2019</v>
      </c>
      <c r="AV42">
        <v>28</v>
      </c>
      <c r="AW42" t="s">
        <v>797</v>
      </c>
      <c r="AX42" t="s">
        <v>74</v>
      </c>
      <c r="AY42" t="s">
        <v>74</v>
      </c>
      <c r="AZ42" t="s">
        <v>74</v>
      </c>
      <c r="BA42" t="s">
        <v>74</v>
      </c>
      <c r="BB42">
        <v>10045</v>
      </c>
      <c r="BC42">
        <v>10051</v>
      </c>
      <c r="BD42" t="s">
        <v>74</v>
      </c>
      <c r="BE42" t="s">
        <v>74</v>
      </c>
      <c r="BF42" t="s">
        <v>74</v>
      </c>
      <c r="BG42" t="s">
        <v>74</v>
      </c>
      <c r="BH42" t="s">
        <v>74</v>
      </c>
      <c r="BI42">
        <v>7</v>
      </c>
      <c r="BJ42" t="s">
        <v>798</v>
      </c>
      <c r="BK42" t="s">
        <v>101</v>
      </c>
      <c r="BL42" t="s">
        <v>799</v>
      </c>
      <c r="BM42" t="s">
        <v>800</v>
      </c>
      <c r="BN42" t="s">
        <v>74</v>
      </c>
      <c r="BO42" t="s">
        <v>74</v>
      </c>
      <c r="BP42" t="s">
        <v>74</v>
      </c>
      <c r="BQ42" t="s">
        <v>74</v>
      </c>
      <c r="BR42" t="s">
        <v>104</v>
      </c>
      <c r="BS42" t="s">
        <v>801</v>
      </c>
      <c r="BT42" t="str">
        <f>HYPERLINK("https%3A%2F%2Fwww.webofscience.com%2Fwos%2Fwoscc%2Ffull-record%2FWOS:000501936600048","View Full Record in Web of Science")</f>
        <v>View Full Record in Web of Science</v>
      </c>
    </row>
    <row r="43" spans="1:72" x14ac:dyDescent="0.15">
      <c r="A43" t="s">
        <v>72</v>
      </c>
      <c r="B43" t="s">
        <v>802</v>
      </c>
      <c r="C43" t="s">
        <v>74</v>
      </c>
      <c r="D43" t="s">
        <v>74</v>
      </c>
      <c r="E43" t="s">
        <v>74</v>
      </c>
      <c r="F43" t="s">
        <v>803</v>
      </c>
      <c r="G43" t="s">
        <v>74</v>
      </c>
      <c r="H43" t="s">
        <v>74</v>
      </c>
      <c r="I43" t="s">
        <v>804</v>
      </c>
      <c r="J43" t="s">
        <v>805</v>
      </c>
      <c r="K43" t="s">
        <v>74</v>
      </c>
      <c r="L43" t="s">
        <v>74</v>
      </c>
      <c r="M43" t="s">
        <v>78</v>
      </c>
      <c r="N43" t="s">
        <v>79</v>
      </c>
      <c r="O43" t="s">
        <v>74</v>
      </c>
      <c r="P43" t="s">
        <v>74</v>
      </c>
      <c r="Q43" t="s">
        <v>74</v>
      </c>
      <c r="R43" t="s">
        <v>74</v>
      </c>
      <c r="S43" t="s">
        <v>74</v>
      </c>
      <c r="T43" t="s">
        <v>806</v>
      </c>
      <c r="U43" t="s">
        <v>807</v>
      </c>
      <c r="V43" t="s">
        <v>808</v>
      </c>
      <c r="W43" t="s">
        <v>809</v>
      </c>
      <c r="X43" t="s">
        <v>810</v>
      </c>
      <c r="Y43" t="s">
        <v>811</v>
      </c>
      <c r="Z43" t="s">
        <v>812</v>
      </c>
      <c r="AA43" t="s">
        <v>813</v>
      </c>
      <c r="AB43" t="s">
        <v>814</v>
      </c>
      <c r="AC43" t="s">
        <v>815</v>
      </c>
      <c r="AD43" t="s">
        <v>816</v>
      </c>
      <c r="AE43" t="s">
        <v>817</v>
      </c>
      <c r="AF43" t="s">
        <v>74</v>
      </c>
      <c r="AG43">
        <v>62</v>
      </c>
      <c r="AH43">
        <v>1</v>
      </c>
      <c r="AI43">
        <v>1</v>
      </c>
      <c r="AJ43">
        <v>0</v>
      </c>
      <c r="AK43">
        <v>3</v>
      </c>
      <c r="AL43" t="s">
        <v>818</v>
      </c>
      <c r="AM43" t="s">
        <v>819</v>
      </c>
      <c r="AN43" t="s">
        <v>820</v>
      </c>
      <c r="AO43" t="s">
        <v>821</v>
      </c>
      <c r="AP43" t="s">
        <v>822</v>
      </c>
      <c r="AQ43" t="s">
        <v>74</v>
      </c>
      <c r="AR43" t="s">
        <v>823</v>
      </c>
      <c r="AS43" t="s">
        <v>824</v>
      </c>
      <c r="AT43" t="s">
        <v>74</v>
      </c>
      <c r="AU43">
        <v>2019</v>
      </c>
      <c r="AV43">
        <v>67</v>
      </c>
      <c r="AW43" t="s">
        <v>74</v>
      </c>
      <c r="AX43" t="s">
        <v>74</v>
      </c>
      <c r="AY43" t="s">
        <v>74</v>
      </c>
      <c r="AZ43" t="s">
        <v>74</v>
      </c>
      <c r="BA43" t="s">
        <v>74</v>
      </c>
      <c r="BB43" t="s">
        <v>74</v>
      </c>
      <c r="BC43" t="s">
        <v>74</v>
      </c>
      <c r="BD43" t="s">
        <v>825</v>
      </c>
      <c r="BE43" t="s">
        <v>826</v>
      </c>
      <c r="BF43" t="str">
        <f>HYPERLINK("http://dx.doi.org/10.1590/S1679-87592019025606712","http://dx.doi.org/10.1590/S1679-87592019025606712")</f>
        <v>http://dx.doi.org/10.1590/S1679-87592019025606712</v>
      </c>
      <c r="BG43" t="s">
        <v>74</v>
      </c>
      <c r="BH43" t="s">
        <v>74</v>
      </c>
      <c r="BI43">
        <v>11</v>
      </c>
      <c r="BJ43" t="s">
        <v>827</v>
      </c>
      <c r="BK43" t="s">
        <v>101</v>
      </c>
      <c r="BL43" t="s">
        <v>827</v>
      </c>
      <c r="BM43" t="s">
        <v>828</v>
      </c>
      <c r="BN43" t="s">
        <v>74</v>
      </c>
      <c r="BO43" t="s">
        <v>221</v>
      </c>
      <c r="BP43" t="s">
        <v>74</v>
      </c>
      <c r="BQ43" t="s">
        <v>74</v>
      </c>
      <c r="BR43" t="s">
        <v>104</v>
      </c>
      <c r="BS43" t="s">
        <v>829</v>
      </c>
      <c r="BT43" t="str">
        <f>HYPERLINK("https%3A%2F%2Fwww.webofscience.com%2Fwos%2Fwoscc%2Ffull-record%2FWOS:000501499000001","View Full Record in Web of Science")</f>
        <v>View Full Record in Web of Science</v>
      </c>
    </row>
    <row r="44" spans="1:72" x14ac:dyDescent="0.15">
      <c r="A44" t="s">
        <v>72</v>
      </c>
      <c r="B44" t="s">
        <v>830</v>
      </c>
      <c r="C44" t="s">
        <v>74</v>
      </c>
      <c r="D44" t="s">
        <v>74</v>
      </c>
      <c r="E44" t="s">
        <v>74</v>
      </c>
      <c r="F44" t="s">
        <v>831</v>
      </c>
      <c r="G44" t="s">
        <v>74</v>
      </c>
      <c r="H44" t="s">
        <v>74</v>
      </c>
      <c r="I44" t="s">
        <v>832</v>
      </c>
      <c r="J44" t="s">
        <v>833</v>
      </c>
      <c r="K44" t="s">
        <v>74</v>
      </c>
      <c r="L44" t="s">
        <v>74</v>
      </c>
      <c r="M44" t="s">
        <v>78</v>
      </c>
      <c r="N44" t="s">
        <v>79</v>
      </c>
      <c r="O44" t="s">
        <v>74</v>
      </c>
      <c r="P44" t="s">
        <v>74</v>
      </c>
      <c r="Q44" t="s">
        <v>74</v>
      </c>
      <c r="R44" t="s">
        <v>74</v>
      </c>
      <c r="S44" t="s">
        <v>74</v>
      </c>
      <c r="T44" t="s">
        <v>834</v>
      </c>
      <c r="U44" t="s">
        <v>835</v>
      </c>
      <c r="V44" t="s">
        <v>836</v>
      </c>
      <c r="W44" t="s">
        <v>837</v>
      </c>
      <c r="X44" t="s">
        <v>838</v>
      </c>
      <c r="Y44" t="s">
        <v>839</v>
      </c>
      <c r="Z44" t="s">
        <v>840</v>
      </c>
      <c r="AA44" t="s">
        <v>841</v>
      </c>
      <c r="AB44" t="s">
        <v>842</v>
      </c>
      <c r="AC44" t="s">
        <v>843</v>
      </c>
      <c r="AD44" t="s">
        <v>844</v>
      </c>
      <c r="AE44" t="s">
        <v>845</v>
      </c>
      <c r="AF44" t="s">
        <v>74</v>
      </c>
      <c r="AG44">
        <v>78</v>
      </c>
      <c r="AH44">
        <v>28</v>
      </c>
      <c r="AI44">
        <v>29</v>
      </c>
      <c r="AJ44">
        <v>1</v>
      </c>
      <c r="AK44">
        <v>2</v>
      </c>
      <c r="AL44" t="s">
        <v>846</v>
      </c>
      <c r="AM44" t="s">
        <v>847</v>
      </c>
      <c r="AN44" t="s">
        <v>848</v>
      </c>
      <c r="AO44" t="s">
        <v>849</v>
      </c>
      <c r="AP44" t="s">
        <v>850</v>
      </c>
      <c r="AQ44" t="s">
        <v>74</v>
      </c>
      <c r="AR44" t="s">
        <v>851</v>
      </c>
      <c r="AS44" t="s">
        <v>852</v>
      </c>
      <c r="AT44" t="s">
        <v>74</v>
      </c>
      <c r="AU44">
        <v>2019</v>
      </c>
      <c r="AV44">
        <v>91</v>
      </c>
      <c r="AW44" t="s">
        <v>74</v>
      </c>
      <c r="AX44" t="s">
        <v>74</v>
      </c>
      <c r="AY44">
        <v>2</v>
      </c>
      <c r="AZ44" t="s">
        <v>74</v>
      </c>
      <c r="BA44" t="s">
        <v>74</v>
      </c>
      <c r="BB44" t="s">
        <v>74</v>
      </c>
      <c r="BC44" t="s">
        <v>74</v>
      </c>
      <c r="BD44" t="s">
        <v>853</v>
      </c>
      <c r="BE44" t="s">
        <v>854</v>
      </c>
      <c r="BF44" t="str">
        <f>HYPERLINK("http://dx.doi.org/10.1590/0001-3765201920191300","http://dx.doi.org/10.1590/0001-3765201920191300")</f>
        <v>http://dx.doi.org/10.1590/0001-3765201920191300</v>
      </c>
      <c r="BG44" t="s">
        <v>74</v>
      </c>
      <c r="BH44" t="s">
        <v>74</v>
      </c>
      <c r="BI44">
        <v>16</v>
      </c>
      <c r="BJ44" t="s">
        <v>855</v>
      </c>
      <c r="BK44" t="s">
        <v>101</v>
      </c>
      <c r="BL44" t="s">
        <v>856</v>
      </c>
      <c r="BM44" t="s">
        <v>857</v>
      </c>
      <c r="BN44">
        <v>31800676</v>
      </c>
      <c r="BO44" t="s">
        <v>221</v>
      </c>
      <c r="BP44" t="s">
        <v>74</v>
      </c>
      <c r="BQ44" t="s">
        <v>74</v>
      </c>
      <c r="BR44" t="s">
        <v>104</v>
      </c>
      <c r="BS44" t="s">
        <v>858</v>
      </c>
      <c r="BT44" t="str">
        <f>HYPERLINK("https%3A%2F%2Fwww.webofscience.com%2Fwos%2Fwoscc%2Ffull-record%2FWOS:000500963400001","View Full Record in Web of Science")</f>
        <v>View Full Record in Web of Science</v>
      </c>
    </row>
    <row r="45" spans="1:72" x14ac:dyDescent="0.15">
      <c r="A45" t="s">
        <v>72</v>
      </c>
      <c r="B45" t="s">
        <v>859</v>
      </c>
      <c r="C45" t="s">
        <v>74</v>
      </c>
      <c r="D45" t="s">
        <v>74</v>
      </c>
      <c r="E45" t="s">
        <v>74</v>
      </c>
      <c r="F45" t="s">
        <v>860</v>
      </c>
      <c r="G45" t="s">
        <v>74</v>
      </c>
      <c r="H45" t="s">
        <v>74</v>
      </c>
      <c r="I45" t="s">
        <v>861</v>
      </c>
      <c r="J45" t="s">
        <v>862</v>
      </c>
      <c r="K45" t="s">
        <v>74</v>
      </c>
      <c r="L45" t="s">
        <v>74</v>
      </c>
      <c r="M45" t="s">
        <v>863</v>
      </c>
      <c r="N45" t="s">
        <v>79</v>
      </c>
      <c r="O45" t="s">
        <v>74</v>
      </c>
      <c r="P45" t="s">
        <v>74</v>
      </c>
      <c r="Q45" t="s">
        <v>74</v>
      </c>
      <c r="R45" t="s">
        <v>74</v>
      </c>
      <c r="S45" t="s">
        <v>74</v>
      </c>
      <c r="T45" t="s">
        <v>864</v>
      </c>
      <c r="U45" t="s">
        <v>865</v>
      </c>
      <c r="V45" t="s">
        <v>866</v>
      </c>
      <c r="W45" t="s">
        <v>867</v>
      </c>
      <c r="X45" t="s">
        <v>868</v>
      </c>
      <c r="Y45" t="s">
        <v>869</v>
      </c>
      <c r="Z45" t="s">
        <v>870</v>
      </c>
      <c r="AA45" t="s">
        <v>871</v>
      </c>
      <c r="AB45" t="s">
        <v>872</v>
      </c>
      <c r="AC45" t="s">
        <v>873</v>
      </c>
      <c r="AD45" t="s">
        <v>874</v>
      </c>
      <c r="AE45" t="s">
        <v>875</v>
      </c>
      <c r="AF45" t="s">
        <v>74</v>
      </c>
      <c r="AG45">
        <v>26</v>
      </c>
      <c r="AH45">
        <v>3</v>
      </c>
      <c r="AI45">
        <v>3</v>
      </c>
      <c r="AJ45">
        <v>0</v>
      </c>
      <c r="AK45">
        <v>2</v>
      </c>
      <c r="AL45" t="s">
        <v>876</v>
      </c>
      <c r="AM45" t="s">
        <v>877</v>
      </c>
      <c r="AN45" t="s">
        <v>878</v>
      </c>
      <c r="AO45" t="s">
        <v>879</v>
      </c>
      <c r="AP45" t="s">
        <v>880</v>
      </c>
      <c r="AQ45" t="s">
        <v>74</v>
      </c>
      <c r="AR45" t="s">
        <v>881</v>
      </c>
      <c r="AS45" t="s">
        <v>882</v>
      </c>
      <c r="AT45" t="s">
        <v>74</v>
      </c>
      <c r="AU45">
        <v>2019</v>
      </c>
      <c r="AV45">
        <v>59</v>
      </c>
      <c r="AW45">
        <v>4</v>
      </c>
      <c r="AX45" t="s">
        <v>74</v>
      </c>
      <c r="AY45" t="s">
        <v>74</v>
      </c>
      <c r="AZ45" t="s">
        <v>74</v>
      </c>
      <c r="BA45" t="s">
        <v>74</v>
      </c>
      <c r="BB45">
        <v>437</v>
      </c>
      <c r="BC45">
        <v>451</v>
      </c>
      <c r="BD45" t="s">
        <v>74</v>
      </c>
      <c r="BE45" t="s">
        <v>883</v>
      </c>
      <c r="BF45" t="str">
        <f>HYPERLINK("http://dx.doi.org/10.15356/2076-6734-2019-4-463","http://dx.doi.org/10.15356/2076-6734-2019-4-463")</f>
        <v>http://dx.doi.org/10.15356/2076-6734-2019-4-463</v>
      </c>
      <c r="BG45" t="s">
        <v>74</v>
      </c>
      <c r="BH45" t="s">
        <v>74</v>
      </c>
      <c r="BI45">
        <v>15</v>
      </c>
      <c r="BJ45" t="s">
        <v>884</v>
      </c>
      <c r="BK45" t="s">
        <v>349</v>
      </c>
      <c r="BL45" t="s">
        <v>528</v>
      </c>
      <c r="BM45" t="s">
        <v>885</v>
      </c>
      <c r="BN45" t="s">
        <v>74</v>
      </c>
      <c r="BO45" t="s">
        <v>131</v>
      </c>
      <c r="BP45" t="s">
        <v>74</v>
      </c>
      <c r="BQ45" t="s">
        <v>74</v>
      </c>
      <c r="BR45" t="s">
        <v>104</v>
      </c>
      <c r="BS45" t="s">
        <v>886</v>
      </c>
      <c r="BT45" t="str">
        <f>HYPERLINK("https%3A%2F%2Fwww.webofscience.com%2Fwos%2Fwoscc%2Ffull-record%2FWOS:000500502800001","View Full Record in Web of Science")</f>
        <v>View Full Record in Web of Science</v>
      </c>
    </row>
    <row r="46" spans="1:72" x14ac:dyDescent="0.15">
      <c r="A46" t="s">
        <v>72</v>
      </c>
      <c r="B46" t="s">
        <v>887</v>
      </c>
      <c r="C46" t="s">
        <v>74</v>
      </c>
      <c r="D46" t="s">
        <v>74</v>
      </c>
      <c r="E46" t="s">
        <v>74</v>
      </c>
      <c r="F46" t="s">
        <v>888</v>
      </c>
      <c r="G46" t="s">
        <v>74</v>
      </c>
      <c r="H46" t="s">
        <v>74</v>
      </c>
      <c r="I46" t="s">
        <v>889</v>
      </c>
      <c r="J46" t="s">
        <v>862</v>
      </c>
      <c r="K46" t="s">
        <v>74</v>
      </c>
      <c r="L46" t="s">
        <v>74</v>
      </c>
      <c r="M46" t="s">
        <v>863</v>
      </c>
      <c r="N46" t="s">
        <v>79</v>
      </c>
      <c r="O46" t="s">
        <v>74</v>
      </c>
      <c r="P46" t="s">
        <v>74</v>
      </c>
      <c r="Q46" t="s">
        <v>74</v>
      </c>
      <c r="R46" t="s">
        <v>74</v>
      </c>
      <c r="S46" t="s">
        <v>74</v>
      </c>
      <c r="T46" t="s">
        <v>890</v>
      </c>
      <c r="U46" t="s">
        <v>74</v>
      </c>
      <c r="V46" t="s">
        <v>891</v>
      </c>
      <c r="W46" t="s">
        <v>892</v>
      </c>
      <c r="X46" t="s">
        <v>893</v>
      </c>
      <c r="Y46" t="s">
        <v>894</v>
      </c>
      <c r="Z46" t="s">
        <v>895</v>
      </c>
      <c r="AA46" t="s">
        <v>896</v>
      </c>
      <c r="AB46" t="s">
        <v>897</v>
      </c>
      <c r="AC46" t="s">
        <v>74</v>
      </c>
      <c r="AD46" t="s">
        <v>74</v>
      </c>
      <c r="AE46" t="s">
        <v>74</v>
      </c>
      <c r="AF46" t="s">
        <v>74</v>
      </c>
      <c r="AG46">
        <v>15</v>
      </c>
      <c r="AH46">
        <v>1</v>
      </c>
      <c r="AI46">
        <v>3</v>
      </c>
      <c r="AJ46">
        <v>1</v>
      </c>
      <c r="AK46">
        <v>1</v>
      </c>
      <c r="AL46" t="s">
        <v>876</v>
      </c>
      <c r="AM46" t="s">
        <v>877</v>
      </c>
      <c r="AN46" t="s">
        <v>878</v>
      </c>
      <c r="AO46" t="s">
        <v>879</v>
      </c>
      <c r="AP46" t="s">
        <v>880</v>
      </c>
      <c r="AQ46" t="s">
        <v>74</v>
      </c>
      <c r="AR46" t="s">
        <v>881</v>
      </c>
      <c r="AS46" t="s">
        <v>882</v>
      </c>
      <c r="AT46" t="s">
        <v>74</v>
      </c>
      <c r="AU46">
        <v>2019</v>
      </c>
      <c r="AV46">
        <v>59</v>
      </c>
      <c r="AW46">
        <v>4</v>
      </c>
      <c r="AX46" t="s">
        <v>74</v>
      </c>
      <c r="AY46" t="s">
        <v>74</v>
      </c>
      <c r="AZ46" t="s">
        <v>74</v>
      </c>
      <c r="BA46" t="s">
        <v>74</v>
      </c>
      <c r="BB46">
        <v>539</v>
      </c>
      <c r="BC46">
        <v>545</v>
      </c>
      <c r="BD46" t="s">
        <v>74</v>
      </c>
      <c r="BE46" t="s">
        <v>898</v>
      </c>
      <c r="BF46" t="str">
        <f>HYPERLINK("http://dx.doi.org/10.15356/2076-6734-2019-4-409","http://dx.doi.org/10.15356/2076-6734-2019-4-409")</f>
        <v>http://dx.doi.org/10.15356/2076-6734-2019-4-409</v>
      </c>
      <c r="BG46" t="s">
        <v>74</v>
      </c>
      <c r="BH46" t="s">
        <v>74</v>
      </c>
      <c r="BI46">
        <v>7</v>
      </c>
      <c r="BJ46" t="s">
        <v>884</v>
      </c>
      <c r="BK46" t="s">
        <v>349</v>
      </c>
      <c r="BL46" t="s">
        <v>528</v>
      </c>
      <c r="BM46" t="s">
        <v>885</v>
      </c>
      <c r="BN46" t="s">
        <v>74</v>
      </c>
      <c r="BO46" t="s">
        <v>131</v>
      </c>
      <c r="BP46" t="s">
        <v>74</v>
      </c>
      <c r="BQ46" t="s">
        <v>74</v>
      </c>
      <c r="BR46" t="s">
        <v>104</v>
      </c>
      <c r="BS46" t="s">
        <v>899</v>
      </c>
      <c r="BT46" t="str">
        <f>HYPERLINK("https%3A%2F%2Fwww.webofscience.com%2Fwos%2Fwoscc%2Ffull-record%2FWOS:000500502800010","View Full Record in Web of Science")</f>
        <v>View Full Record in Web of Science</v>
      </c>
    </row>
    <row r="47" spans="1:72" x14ac:dyDescent="0.15">
      <c r="A47" t="s">
        <v>72</v>
      </c>
      <c r="B47" t="s">
        <v>900</v>
      </c>
      <c r="C47" t="s">
        <v>74</v>
      </c>
      <c r="D47" t="s">
        <v>74</v>
      </c>
      <c r="E47" t="s">
        <v>74</v>
      </c>
      <c r="F47" t="s">
        <v>901</v>
      </c>
      <c r="G47" t="s">
        <v>74</v>
      </c>
      <c r="H47" t="s">
        <v>74</v>
      </c>
      <c r="I47" t="s">
        <v>902</v>
      </c>
      <c r="J47" t="s">
        <v>903</v>
      </c>
      <c r="K47" t="s">
        <v>74</v>
      </c>
      <c r="L47" t="s">
        <v>74</v>
      </c>
      <c r="M47" t="s">
        <v>78</v>
      </c>
      <c r="N47" t="s">
        <v>79</v>
      </c>
      <c r="O47" t="s">
        <v>74</v>
      </c>
      <c r="P47" t="s">
        <v>74</v>
      </c>
      <c r="Q47" t="s">
        <v>74</v>
      </c>
      <c r="R47" t="s">
        <v>74</v>
      </c>
      <c r="S47" t="s">
        <v>74</v>
      </c>
      <c r="T47" t="s">
        <v>904</v>
      </c>
      <c r="U47" t="s">
        <v>905</v>
      </c>
      <c r="V47" t="s">
        <v>906</v>
      </c>
      <c r="W47" t="s">
        <v>907</v>
      </c>
      <c r="X47" t="s">
        <v>908</v>
      </c>
      <c r="Y47" t="s">
        <v>909</v>
      </c>
      <c r="Z47" t="s">
        <v>910</v>
      </c>
      <c r="AA47" t="s">
        <v>911</v>
      </c>
      <c r="AB47" t="s">
        <v>912</v>
      </c>
      <c r="AC47" t="s">
        <v>913</v>
      </c>
      <c r="AD47" t="s">
        <v>913</v>
      </c>
      <c r="AE47" t="s">
        <v>914</v>
      </c>
      <c r="AF47" t="s">
        <v>74</v>
      </c>
      <c r="AG47">
        <v>43</v>
      </c>
      <c r="AH47">
        <v>11</v>
      </c>
      <c r="AI47">
        <v>11</v>
      </c>
      <c r="AJ47">
        <v>1</v>
      </c>
      <c r="AK47">
        <v>7</v>
      </c>
      <c r="AL47" t="s">
        <v>915</v>
      </c>
      <c r="AM47" t="s">
        <v>916</v>
      </c>
      <c r="AN47" t="s">
        <v>917</v>
      </c>
      <c r="AO47" t="s">
        <v>918</v>
      </c>
      <c r="AP47" t="s">
        <v>919</v>
      </c>
      <c r="AQ47" t="s">
        <v>74</v>
      </c>
      <c r="AR47" t="s">
        <v>920</v>
      </c>
      <c r="AS47" t="s">
        <v>921</v>
      </c>
      <c r="AT47" t="s">
        <v>74</v>
      </c>
      <c r="AU47">
        <v>2019</v>
      </c>
      <c r="AV47" t="s">
        <v>74</v>
      </c>
      <c r="AW47">
        <v>47</v>
      </c>
      <c r="AX47" t="s">
        <v>74</v>
      </c>
      <c r="AY47" t="s">
        <v>74</v>
      </c>
      <c r="AZ47" t="s">
        <v>74</v>
      </c>
      <c r="BA47" t="s">
        <v>74</v>
      </c>
      <c r="BB47">
        <v>6</v>
      </c>
      <c r="BC47">
        <v>21</v>
      </c>
      <c r="BD47" t="s">
        <v>74</v>
      </c>
      <c r="BE47" t="s">
        <v>922</v>
      </c>
      <c r="BF47" t="str">
        <f>HYPERLINK("http://dx.doi.org/10.17223/19988591/47/1","http://dx.doi.org/10.17223/19988591/47/1")</f>
        <v>http://dx.doi.org/10.17223/19988591/47/1</v>
      </c>
      <c r="BG47" t="s">
        <v>74</v>
      </c>
      <c r="BH47" t="s">
        <v>74</v>
      </c>
      <c r="BI47">
        <v>16</v>
      </c>
      <c r="BJ47" t="s">
        <v>923</v>
      </c>
      <c r="BK47" t="s">
        <v>349</v>
      </c>
      <c r="BL47" t="s">
        <v>924</v>
      </c>
      <c r="BM47" t="s">
        <v>925</v>
      </c>
      <c r="BN47" t="s">
        <v>74</v>
      </c>
      <c r="BO47" t="s">
        <v>162</v>
      </c>
      <c r="BP47" t="s">
        <v>74</v>
      </c>
      <c r="BQ47" t="s">
        <v>74</v>
      </c>
      <c r="BR47" t="s">
        <v>104</v>
      </c>
      <c r="BS47" t="s">
        <v>926</v>
      </c>
      <c r="BT47" t="str">
        <f>HYPERLINK("https%3A%2F%2Fwww.webofscience.com%2Fwos%2Fwoscc%2Ffull-record%2FWOS:000500598800001","View Full Record in Web of Science")</f>
        <v>View Full Record in Web of Science</v>
      </c>
    </row>
    <row r="48" spans="1:72" x14ac:dyDescent="0.15">
      <c r="A48" t="s">
        <v>72</v>
      </c>
      <c r="B48" t="s">
        <v>927</v>
      </c>
      <c r="C48" t="s">
        <v>74</v>
      </c>
      <c r="D48" t="s">
        <v>74</v>
      </c>
      <c r="E48" t="s">
        <v>74</v>
      </c>
      <c r="F48" t="s">
        <v>928</v>
      </c>
      <c r="G48" t="s">
        <v>74</v>
      </c>
      <c r="H48" t="s">
        <v>74</v>
      </c>
      <c r="I48" t="s">
        <v>929</v>
      </c>
      <c r="J48" t="s">
        <v>930</v>
      </c>
      <c r="K48" t="s">
        <v>74</v>
      </c>
      <c r="L48" t="s">
        <v>74</v>
      </c>
      <c r="M48" t="s">
        <v>863</v>
      </c>
      <c r="N48" t="s">
        <v>79</v>
      </c>
      <c r="O48" t="s">
        <v>74</v>
      </c>
      <c r="P48" t="s">
        <v>74</v>
      </c>
      <c r="Q48" t="s">
        <v>74</v>
      </c>
      <c r="R48" t="s">
        <v>74</v>
      </c>
      <c r="S48" t="s">
        <v>74</v>
      </c>
      <c r="T48" t="s">
        <v>931</v>
      </c>
      <c r="U48" t="s">
        <v>932</v>
      </c>
      <c r="V48" t="s">
        <v>933</v>
      </c>
      <c r="W48" t="s">
        <v>934</v>
      </c>
      <c r="X48" t="s">
        <v>935</v>
      </c>
      <c r="Y48" t="s">
        <v>936</v>
      </c>
      <c r="Z48" t="s">
        <v>937</v>
      </c>
      <c r="AA48" t="s">
        <v>938</v>
      </c>
      <c r="AB48" t="s">
        <v>939</v>
      </c>
      <c r="AC48" t="s">
        <v>74</v>
      </c>
      <c r="AD48" t="s">
        <v>74</v>
      </c>
      <c r="AE48" t="s">
        <v>74</v>
      </c>
      <c r="AF48" t="s">
        <v>74</v>
      </c>
      <c r="AG48">
        <v>11</v>
      </c>
      <c r="AH48">
        <v>0</v>
      </c>
      <c r="AI48">
        <v>0</v>
      </c>
      <c r="AJ48">
        <v>0</v>
      </c>
      <c r="AK48">
        <v>0</v>
      </c>
      <c r="AL48" t="s">
        <v>940</v>
      </c>
      <c r="AM48" t="s">
        <v>941</v>
      </c>
      <c r="AN48" t="s">
        <v>942</v>
      </c>
      <c r="AO48" t="s">
        <v>943</v>
      </c>
      <c r="AP48" t="s">
        <v>944</v>
      </c>
      <c r="AQ48" t="s">
        <v>74</v>
      </c>
      <c r="AR48" t="s">
        <v>945</v>
      </c>
      <c r="AS48" t="s">
        <v>946</v>
      </c>
      <c r="AT48" t="s">
        <v>74</v>
      </c>
      <c r="AU48">
        <v>2019</v>
      </c>
      <c r="AV48">
        <v>64</v>
      </c>
      <c r="AW48">
        <v>3</v>
      </c>
      <c r="AX48" t="s">
        <v>74</v>
      </c>
      <c r="AY48" t="s">
        <v>74</v>
      </c>
      <c r="AZ48" t="s">
        <v>74</v>
      </c>
      <c r="BA48" t="s">
        <v>74</v>
      </c>
      <c r="BB48">
        <v>477</v>
      </c>
      <c r="BC48">
        <v>490</v>
      </c>
      <c r="BD48" t="s">
        <v>74</v>
      </c>
      <c r="BE48" t="s">
        <v>947</v>
      </c>
      <c r="BF48" t="str">
        <f>HYPERLINK("http://dx.doi.org/10.21638/spbu07.2019.307","http://dx.doi.org/10.21638/spbu07.2019.307")</f>
        <v>http://dx.doi.org/10.21638/spbu07.2019.307</v>
      </c>
      <c r="BG48" t="s">
        <v>74</v>
      </c>
      <c r="BH48" t="s">
        <v>74</v>
      </c>
      <c r="BI48">
        <v>14</v>
      </c>
      <c r="BJ48" t="s">
        <v>884</v>
      </c>
      <c r="BK48" t="s">
        <v>349</v>
      </c>
      <c r="BL48" t="s">
        <v>528</v>
      </c>
      <c r="BM48" t="s">
        <v>948</v>
      </c>
      <c r="BN48" t="s">
        <v>74</v>
      </c>
      <c r="BO48" t="s">
        <v>949</v>
      </c>
      <c r="BP48" t="s">
        <v>74</v>
      </c>
      <c r="BQ48" t="s">
        <v>74</v>
      </c>
      <c r="BR48" t="s">
        <v>104</v>
      </c>
      <c r="BS48" t="s">
        <v>950</v>
      </c>
      <c r="BT48" t="str">
        <f>HYPERLINK("https%3A%2F%2Fwww.webofscience.com%2Fwos%2Fwoscc%2Ffull-record%2FWOS:000500532400007","View Full Record in Web of Science")</f>
        <v>View Full Record in Web of Science</v>
      </c>
    </row>
    <row r="49" spans="1:72" x14ac:dyDescent="0.15">
      <c r="A49" t="s">
        <v>72</v>
      </c>
      <c r="B49" t="s">
        <v>951</v>
      </c>
      <c r="C49" t="s">
        <v>74</v>
      </c>
      <c r="D49" t="s">
        <v>74</v>
      </c>
      <c r="E49" t="s">
        <v>74</v>
      </c>
      <c r="F49" t="s">
        <v>952</v>
      </c>
      <c r="G49" t="s">
        <v>74</v>
      </c>
      <c r="H49" t="s">
        <v>74</v>
      </c>
      <c r="I49" t="s">
        <v>953</v>
      </c>
      <c r="J49" t="s">
        <v>109</v>
      </c>
      <c r="K49" t="s">
        <v>74</v>
      </c>
      <c r="L49" t="s">
        <v>74</v>
      </c>
      <c r="M49" t="s">
        <v>78</v>
      </c>
      <c r="N49" t="s">
        <v>79</v>
      </c>
      <c r="O49" t="s">
        <v>74</v>
      </c>
      <c r="P49" t="s">
        <v>74</v>
      </c>
      <c r="Q49" t="s">
        <v>74</v>
      </c>
      <c r="R49" t="s">
        <v>74</v>
      </c>
      <c r="S49" t="s">
        <v>74</v>
      </c>
      <c r="T49" t="s">
        <v>954</v>
      </c>
      <c r="U49" t="s">
        <v>955</v>
      </c>
      <c r="V49" t="s">
        <v>956</v>
      </c>
      <c r="W49" t="s">
        <v>957</v>
      </c>
      <c r="X49" t="s">
        <v>958</v>
      </c>
      <c r="Y49" t="s">
        <v>959</v>
      </c>
      <c r="Z49" t="s">
        <v>960</v>
      </c>
      <c r="AA49" t="s">
        <v>961</v>
      </c>
      <c r="AB49" t="s">
        <v>962</v>
      </c>
      <c r="AC49" t="s">
        <v>963</v>
      </c>
      <c r="AD49" t="s">
        <v>964</v>
      </c>
      <c r="AE49" t="s">
        <v>965</v>
      </c>
      <c r="AF49" t="s">
        <v>74</v>
      </c>
      <c r="AG49">
        <v>59</v>
      </c>
      <c r="AH49">
        <v>6</v>
      </c>
      <c r="AI49">
        <v>6</v>
      </c>
      <c r="AJ49">
        <v>1</v>
      </c>
      <c r="AK49">
        <v>7</v>
      </c>
      <c r="AL49" t="s">
        <v>122</v>
      </c>
      <c r="AM49" t="s">
        <v>123</v>
      </c>
      <c r="AN49" t="s">
        <v>124</v>
      </c>
      <c r="AO49" t="s">
        <v>125</v>
      </c>
      <c r="AP49" t="s">
        <v>74</v>
      </c>
      <c r="AQ49" t="s">
        <v>74</v>
      </c>
      <c r="AR49" t="s">
        <v>109</v>
      </c>
      <c r="AS49" t="s">
        <v>126</v>
      </c>
      <c r="AT49" t="s">
        <v>74</v>
      </c>
      <c r="AU49">
        <v>2019</v>
      </c>
      <c r="AV49">
        <v>7</v>
      </c>
      <c r="AW49" t="s">
        <v>74</v>
      </c>
      <c r="AX49" t="s">
        <v>74</v>
      </c>
      <c r="AY49" t="s">
        <v>74</v>
      </c>
      <c r="AZ49" t="s">
        <v>74</v>
      </c>
      <c r="BA49" t="s">
        <v>74</v>
      </c>
      <c r="BB49">
        <v>146358</v>
      </c>
      <c r="BC49">
        <v>146378</v>
      </c>
      <c r="BD49" t="s">
        <v>74</v>
      </c>
      <c r="BE49" t="s">
        <v>966</v>
      </c>
      <c r="BF49" t="str">
        <f>HYPERLINK("http://dx.doi.org/10.1109/ACCESS.2019.2945831","http://dx.doi.org/10.1109/ACCESS.2019.2945831")</f>
        <v>http://dx.doi.org/10.1109/ACCESS.2019.2945831</v>
      </c>
      <c r="BG49" t="s">
        <v>74</v>
      </c>
      <c r="BH49" t="s">
        <v>74</v>
      </c>
      <c r="BI49">
        <v>21</v>
      </c>
      <c r="BJ49" t="s">
        <v>128</v>
      </c>
      <c r="BK49" t="s">
        <v>101</v>
      </c>
      <c r="BL49" t="s">
        <v>129</v>
      </c>
      <c r="BM49" t="s">
        <v>967</v>
      </c>
      <c r="BN49" t="s">
        <v>74</v>
      </c>
      <c r="BO49" t="s">
        <v>131</v>
      </c>
      <c r="BP49" t="s">
        <v>74</v>
      </c>
      <c r="BQ49" t="s">
        <v>74</v>
      </c>
      <c r="BR49" t="s">
        <v>104</v>
      </c>
      <c r="BS49" t="s">
        <v>968</v>
      </c>
      <c r="BT49" t="str">
        <f>HYPERLINK("https%3A%2F%2Fwww.webofscience.com%2Fwos%2Fwoscc%2Ffull-record%2FWOS:000498824600002","View Full Record in Web of Science")</f>
        <v>View Full Record in Web of Science</v>
      </c>
    </row>
    <row r="50" spans="1:72" x14ac:dyDescent="0.15">
      <c r="A50" t="s">
        <v>72</v>
      </c>
      <c r="B50" t="s">
        <v>969</v>
      </c>
      <c r="C50" t="s">
        <v>74</v>
      </c>
      <c r="D50" t="s">
        <v>74</v>
      </c>
      <c r="E50" t="s">
        <v>74</v>
      </c>
      <c r="F50" t="s">
        <v>970</v>
      </c>
      <c r="G50" t="s">
        <v>74</v>
      </c>
      <c r="H50" t="s">
        <v>74</v>
      </c>
      <c r="I50" t="s">
        <v>971</v>
      </c>
      <c r="J50" t="s">
        <v>972</v>
      </c>
      <c r="K50" t="s">
        <v>74</v>
      </c>
      <c r="L50" t="s">
        <v>74</v>
      </c>
      <c r="M50" t="s">
        <v>78</v>
      </c>
      <c r="N50" t="s">
        <v>79</v>
      </c>
      <c r="O50" t="s">
        <v>74</v>
      </c>
      <c r="P50" t="s">
        <v>74</v>
      </c>
      <c r="Q50" t="s">
        <v>74</v>
      </c>
      <c r="R50" t="s">
        <v>74</v>
      </c>
      <c r="S50" t="s">
        <v>74</v>
      </c>
      <c r="T50" t="s">
        <v>973</v>
      </c>
      <c r="U50" t="s">
        <v>974</v>
      </c>
      <c r="V50" t="s">
        <v>975</v>
      </c>
      <c r="W50" t="s">
        <v>976</v>
      </c>
      <c r="X50" t="s">
        <v>977</v>
      </c>
      <c r="Y50" t="s">
        <v>978</v>
      </c>
      <c r="Z50" t="s">
        <v>979</v>
      </c>
      <c r="AA50" t="s">
        <v>980</v>
      </c>
      <c r="AB50" t="s">
        <v>981</v>
      </c>
      <c r="AC50" t="s">
        <v>982</v>
      </c>
      <c r="AD50" t="s">
        <v>983</v>
      </c>
      <c r="AE50" t="s">
        <v>984</v>
      </c>
      <c r="AF50" t="s">
        <v>74</v>
      </c>
      <c r="AG50">
        <v>108</v>
      </c>
      <c r="AH50">
        <v>7</v>
      </c>
      <c r="AI50">
        <v>7</v>
      </c>
      <c r="AJ50">
        <v>1</v>
      </c>
      <c r="AK50">
        <v>18</v>
      </c>
      <c r="AL50" t="s">
        <v>985</v>
      </c>
      <c r="AM50" t="s">
        <v>986</v>
      </c>
      <c r="AN50" t="s">
        <v>987</v>
      </c>
      <c r="AO50" t="s">
        <v>988</v>
      </c>
      <c r="AP50" t="s">
        <v>989</v>
      </c>
      <c r="AQ50" t="s">
        <v>74</v>
      </c>
      <c r="AR50" t="s">
        <v>990</v>
      </c>
      <c r="AS50" t="s">
        <v>991</v>
      </c>
      <c r="AT50" t="s">
        <v>74</v>
      </c>
      <c r="AU50">
        <v>2019</v>
      </c>
      <c r="AV50">
        <v>40</v>
      </c>
      <c r="AW50" t="s">
        <v>74</v>
      </c>
      <c r="AX50" t="s">
        <v>74</v>
      </c>
      <c r="AY50" t="s">
        <v>74</v>
      </c>
      <c r="AZ50" t="s">
        <v>74</v>
      </c>
      <c r="BA50" t="s">
        <v>74</v>
      </c>
      <c r="BB50">
        <v>189</v>
      </c>
      <c r="BC50">
        <v>206</v>
      </c>
      <c r="BD50" t="s">
        <v>74</v>
      </c>
      <c r="BE50" t="s">
        <v>992</v>
      </c>
      <c r="BF50" t="str">
        <f>HYPERLINK("http://dx.doi.org/10.3354/esr00991","http://dx.doi.org/10.3354/esr00991")</f>
        <v>http://dx.doi.org/10.3354/esr00991</v>
      </c>
      <c r="BG50" t="s">
        <v>74</v>
      </c>
      <c r="BH50" t="s">
        <v>74</v>
      </c>
      <c r="BI50">
        <v>18</v>
      </c>
      <c r="BJ50" t="s">
        <v>993</v>
      </c>
      <c r="BK50" t="s">
        <v>101</v>
      </c>
      <c r="BL50" t="s">
        <v>994</v>
      </c>
      <c r="BM50" t="s">
        <v>995</v>
      </c>
      <c r="BN50" t="s">
        <v>74</v>
      </c>
      <c r="BO50" t="s">
        <v>996</v>
      </c>
      <c r="BP50" t="s">
        <v>74</v>
      </c>
      <c r="BQ50" t="s">
        <v>74</v>
      </c>
      <c r="BR50" t="s">
        <v>104</v>
      </c>
      <c r="BS50" t="s">
        <v>997</v>
      </c>
      <c r="BT50" t="str">
        <f>HYPERLINK("https%3A%2F%2Fwww.webofscience.com%2Fwos%2Fwoscc%2Ffull-record%2FWOS:000498860000016","View Full Record in Web of Science")</f>
        <v>View Full Record in Web of Science</v>
      </c>
    </row>
    <row r="51" spans="1:72" x14ac:dyDescent="0.15">
      <c r="A51" t="s">
        <v>72</v>
      </c>
      <c r="B51" t="s">
        <v>998</v>
      </c>
      <c r="C51" t="s">
        <v>74</v>
      </c>
      <c r="D51" t="s">
        <v>74</v>
      </c>
      <c r="E51" t="s">
        <v>74</v>
      </c>
      <c r="F51" t="s">
        <v>999</v>
      </c>
      <c r="G51" t="s">
        <v>74</v>
      </c>
      <c r="H51" t="s">
        <v>74</v>
      </c>
      <c r="I51" t="s">
        <v>1000</v>
      </c>
      <c r="J51" t="s">
        <v>1001</v>
      </c>
      <c r="K51" t="s">
        <v>74</v>
      </c>
      <c r="L51" t="s">
        <v>74</v>
      </c>
      <c r="M51" t="s">
        <v>1002</v>
      </c>
      <c r="N51" t="s">
        <v>1003</v>
      </c>
      <c r="O51" t="s">
        <v>74</v>
      </c>
      <c r="P51" t="s">
        <v>74</v>
      </c>
      <c r="Q51" t="s">
        <v>74</v>
      </c>
      <c r="R51" t="s">
        <v>74</v>
      </c>
      <c r="S51" t="s">
        <v>74</v>
      </c>
      <c r="T51" t="s">
        <v>1004</v>
      </c>
      <c r="U51" t="s">
        <v>1005</v>
      </c>
      <c r="V51" t="s">
        <v>1006</v>
      </c>
      <c r="W51" t="s">
        <v>1007</v>
      </c>
      <c r="X51" t="s">
        <v>1008</v>
      </c>
      <c r="Y51" t="s">
        <v>1009</v>
      </c>
      <c r="Z51" t="s">
        <v>1010</v>
      </c>
      <c r="AA51" t="s">
        <v>1011</v>
      </c>
      <c r="AB51" t="s">
        <v>1012</v>
      </c>
      <c r="AC51" t="s">
        <v>74</v>
      </c>
      <c r="AD51" t="s">
        <v>74</v>
      </c>
      <c r="AE51" t="s">
        <v>74</v>
      </c>
      <c r="AF51" t="s">
        <v>74</v>
      </c>
      <c r="AG51">
        <v>76</v>
      </c>
      <c r="AH51">
        <v>7</v>
      </c>
      <c r="AI51">
        <v>10</v>
      </c>
      <c r="AJ51">
        <v>2</v>
      </c>
      <c r="AK51">
        <v>51</v>
      </c>
      <c r="AL51" t="s">
        <v>1013</v>
      </c>
      <c r="AM51" t="s">
        <v>1014</v>
      </c>
      <c r="AN51" t="s">
        <v>1015</v>
      </c>
      <c r="AO51" t="s">
        <v>1016</v>
      </c>
      <c r="AP51" t="s">
        <v>1017</v>
      </c>
      <c r="AQ51" t="s">
        <v>74</v>
      </c>
      <c r="AR51" t="s">
        <v>1018</v>
      </c>
      <c r="AS51" t="s">
        <v>1019</v>
      </c>
      <c r="AT51" t="s">
        <v>74</v>
      </c>
      <c r="AU51">
        <v>2019</v>
      </c>
      <c r="AV51">
        <v>64</v>
      </c>
      <c r="AW51">
        <v>7</v>
      </c>
      <c r="AX51" t="s">
        <v>74</v>
      </c>
      <c r="AY51" t="s">
        <v>74</v>
      </c>
      <c r="AZ51" t="s">
        <v>74</v>
      </c>
      <c r="BA51" t="s">
        <v>74</v>
      </c>
      <c r="BB51">
        <v>649</v>
      </c>
      <c r="BC51">
        <v>662</v>
      </c>
      <c r="BD51" t="s">
        <v>74</v>
      </c>
      <c r="BE51" t="s">
        <v>1020</v>
      </c>
      <c r="BF51" t="str">
        <f>HYPERLINK("http://dx.doi.org/10.1360/N972018-01028","http://dx.doi.org/10.1360/N972018-01028")</f>
        <v>http://dx.doi.org/10.1360/N972018-01028</v>
      </c>
      <c r="BG51" t="s">
        <v>74</v>
      </c>
      <c r="BH51" t="s">
        <v>74</v>
      </c>
      <c r="BI51">
        <v>14</v>
      </c>
      <c r="BJ51" t="s">
        <v>855</v>
      </c>
      <c r="BK51" t="s">
        <v>349</v>
      </c>
      <c r="BL51" t="s">
        <v>856</v>
      </c>
      <c r="BM51" t="s">
        <v>1021</v>
      </c>
      <c r="BN51" t="s">
        <v>74</v>
      </c>
      <c r="BO51" t="s">
        <v>162</v>
      </c>
      <c r="BP51" t="s">
        <v>74</v>
      </c>
      <c r="BQ51" t="s">
        <v>74</v>
      </c>
      <c r="BR51" t="s">
        <v>104</v>
      </c>
      <c r="BS51" t="s">
        <v>1022</v>
      </c>
      <c r="BT51" t="str">
        <f>HYPERLINK("https%3A%2F%2Fwww.webofscience.com%2Fwos%2Fwoscc%2Ffull-record%2FWOS:000496444000003","View Full Record in Web of Science")</f>
        <v>View Full Record in Web of Science</v>
      </c>
    </row>
    <row r="52" spans="1:72" x14ac:dyDescent="0.15">
      <c r="A52" t="s">
        <v>72</v>
      </c>
      <c r="B52" t="s">
        <v>1023</v>
      </c>
      <c r="C52" t="s">
        <v>74</v>
      </c>
      <c r="D52" t="s">
        <v>74</v>
      </c>
      <c r="E52" t="s">
        <v>74</v>
      </c>
      <c r="F52" t="s">
        <v>1024</v>
      </c>
      <c r="G52" t="s">
        <v>74</v>
      </c>
      <c r="H52" t="s">
        <v>74</v>
      </c>
      <c r="I52" t="s">
        <v>1025</v>
      </c>
      <c r="J52" t="s">
        <v>1001</v>
      </c>
      <c r="K52" t="s">
        <v>74</v>
      </c>
      <c r="L52" t="s">
        <v>74</v>
      </c>
      <c r="M52" t="s">
        <v>1002</v>
      </c>
      <c r="N52" t="s">
        <v>1003</v>
      </c>
      <c r="O52" t="s">
        <v>74</v>
      </c>
      <c r="P52" t="s">
        <v>74</v>
      </c>
      <c r="Q52" t="s">
        <v>74</v>
      </c>
      <c r="R52" t="s">
        <v>74</v>
      </c>
      <c r="S52" t="s">
        <v>74</v>
      </c>
      <c r="T52" t="s">
        <v>1026</v>
      </c>
      <c r="U52" t="s">
        <v>1027</v>
      </c>
      <c r="V52" t="s">
        <v>1028</v>
      </c>
      <c r="W52" t="s">
        <v>1029</v>
      </c>
      <c r="X52" t="s">
        <v>1030</v>
      </c>
      <c r="Y52" t="s">
        <v>1031</v>
      </c>
      <c r="Z52" t="s">
        <v>1032</v>
      </c>
      <c r="AA52" t="s">
        <v>1033</v>
      </c>
      <c r="AB52" t="s">
        <v>1034</v>
      </c>
      <c r="AC52" t="s">
        <v>74</v>
      </c>
      <c r="AD52" t="s">
        <v>74</v>
      </c>
      <c r="AE52" t="s">
        <v>74</v>
      </c>
      <c r="AF52" t="s">
        <v>74</v>
      </c>
      <c r="AG52">
        <v>70</v>
      </c>
      <c r="AH52">
        <v>2</v>
      </c>
      <c r="AI52">
        <v>3</v>
      </c>
      <c r="AJ52">
        <v>1</v>
      </c>
      <c r="AK52">
        <v>12</v>
      </c>
      <c r="AL52" t="s">
        <v>1013</v>
      </c>
      <c r="AM52" t="s">
        <v>1014</v>
      </c>
      <c r="AN52" t="s">
        <v>1015</v>
      </c>
      <c r="AO52" t="s">
        <v>1016</v>
      </c>
      <c r="AP52" t="s">
        <v>1017</v>
      </c>
      <c r="AQ52" t="s">
        <v>74</v>
      </c>
      <c r="AR52" t="s">
        <v>1018</v>
      </c>
      <c r="AS52" t="s">
        <v>1019</v>
      </c>
      <c r="AT52" t="s">
        <v>74</v>
      </c>
      <c r="AU52">
        <v>2019</v>
      </c>
      <c r="AV52">
        <v>64</v>
      </c>
      <c r="AW52">
        <v>17</v>
      </c>
      <c r="AX52" t="s">
        <v>74</v>
      </c>
      <c r="AY52" t="s">
        <v>74</v>
      </c>
      <c r="AZ52" t="s">
        <v>74</v>
      </c>
      <c r="BA52" t="s">
        <v>74</v>
      </c>
      <c r="BB52">
        <v>1799</v>
      </c>
      <c r="BC52">
        <v>1816</v>
      </c>
      <c r="BD52" t="s">
        <v>74</v>
      </c>
      <c r="BE52" t="s">
        <v>1035</v>
      </c>
      <c r="BF52" t="str">
        <f>HYPERLINK("http://dx.doi.org/10.1360/N972018-01136","http://dx.doi.org/10.1360/N972018-01136")</f>
        <v>http://dx.doi.org/10.1360/N972018-01136</v>
      </c>
      <c r="BG52" t="s">
        <v>74</v>
      </c>
      <c r="BH52" t="s">
        <v>74</v>
      </c>
      <c r="BI52">
        <v>18</v>
      </c>
      <c r="BJ52" t="s">
        <v>855</v>
      </c>
      <c r="BK52" t="s">
        <v>349</v>
      </c>
      <c r="BL52" t="s">
        <v>856</v>
      </c>
      <c r="BM52" t="s">
        <v>1036</v>
      </c>
      <c r="BN52" t="s">
        <v>74</v>
      </c>
      <c r="BO52" t="s">
        <v>74</v>
      </c>
      <c r="BP52" t="s">
        <v>74</v>
      </c>
      <c r="BQ52" t="s">
        <v>74</v>
      </c>
      <c r="BR52" t="s">
        <v>104</v>
      </c>
      <c r="BS52" t="s">
        <v>1037</v>
      </c>
      <c r="BT52" t="str">
        <f>HYPERLINK("https%3A%2F%2Fwww.webofscience.com%2Fwos%2Fwoscc%2Ffull-record%2FWOS:000496454500007","View Full Record in Web of Science")</f>
        <v>View Full Record in Web of Science</v>
      </c>
    </row>
    <row r="53" spans="1:72" x14ac:dyDescent="0.15">
      <c r="A53" t="s">
        <v>72</v>
      </c>
      <c r="B53" t="s">
        <v>1038</v>
      </c>
      <c r="C53" t="s">
        <v>74</v>
      </c>
      <c r="D53" t="s">
        <v>74</v>
      </c>
      <c r="E53" t="s">
        <v>74</v>
      </c>
      <c r="F53" t="s">
        <v>1039</v>
      </c>
      <c r="G53" t="s">
        <v>74</v>
      </c>
      <c r="H53" t="s">
        <v>74</v>
      </c>
      <c r="I53" t="s">
        <v>1040</v>
      </c>
      <c r="J53" t="s">
        <v>1001</v>
      </c>
      <c r="K53" t="s">
        <v>74</v>
      </c>
      <c r="L53" t="s">
        <v>74</v>
      </c>
      <c r="M53" t="s">
        <v>1002</v>
      </c>
      <c r="N53" t="s">
        <v>1003</v>
      </c>
      <c r="O53" t="s">
        <v>74</v>
      </c>
      <c r="P53" t="s">
        <v>74</v>
      </c>
      <c r="Q53" t="s">
        <v>74</v>
      </c>
      <c r="R53" t="s">
        <v>74</v>
      </c>
      <c r="S53" t="s">
        <v>74</v>
      </c>
      <c r="T53" t="s">
        <v>1041</v>
      </c>
      <c r="U53" t="s">
        <v>1042</v>
      </c>
      <c r="V53" t="s">
        <v>1043</v>
      </c>
      <c r="W53" t="s">
        <v>1044</v>
      </c>
      <c r="X53" t="s">
        <v>1045</v>
      </c>
      <c r="Y53" t="s">
        <v>1046</v>
      </c>
      <c r="Z53" t="s">
        <v>1047</v>
      </c>
      <c r="AA53" t="s">
        <v>74</v>
      </c>
      <c r="AB53" t="s">
        <v>74</v>
      </c>
      <c r="AC53" t="s">
        <v>74</v>
      </c>
      <c r="AD53" t="s">
        <v>74</v>
      </c>
      <c r="AE53" t="s">
        <v>74</v>
      </c>
      <c r="AF53" t="s">
        <v>74</v>
      </c>
      <c r="AG53">
        <v>40</v>
      </c>
      <c r="AH53">
        <v>3</v>
      </c>
      <c r="AI53">
        <v>5</v>
      </c>
      <c r="AJ53">
        <v>4</v>
      </c>
      <c r="AK53">
        <v>30</v>
      </c>
      <c r="AL53" t="s">
        <v>1013</v>
      </c>
      <c r="AM53" t="s">
        <v>1014</v>
      </c>
      <c r="AN53" t="s">
        <v>1015</v>
      </c>
      <c r="AO53" t="s">
        <v>1016</v>
      </c>
      <c r="AP53" t="s">
        <v>1017</v>
      </c>
      <c r="AQ53" t="s">
        <v>74</v>
      </c>
      <c r="AR53" t="s">
        <v>1018</v>
      </c>
      <c r="AS53" t="s">
        <v>1019</v>
      </c>
      <c r="AT53" t="s">
        <v>74</v>
      </c>
      <c r="AU53">
        <v>2019</v>
      </c>
      <c r="AV53">
        <v>64</v>
      </c>
      <c r="AW53">
        <v>27</v>
      </c>
      <c r="AX53" t="s">
        <v>74</v>
      </c>
      <c r="AY53" t="s">
        <v>74</v>
      </c>
      <c r="AZ53" t="s">
        <v>74</v>
      </c>
      <c r="BA53" t="s">
        <v>74</v>
      </c>
      <c r="BB53">
        <v>2822</v>
      </c>
      <c r="BC53">
        <v>2829</v>
      </c>
      <c r="BD53" t="s">
        <v>74</v>
      </c>
      <c r="BE53" t="s">
        <v>1048</v>
      </c>
      <c r="BF53" t="str">
        <f>HYPERLINK("http://dx.doi.org/10.1360/TB-2019-0125","http://dx.doi.org/10.1360/TB-2019-0125")</f>
        <v>http://dx.doi.org/10.1360/TB-2019-0125</v>
      </c>
      <c r="BG53" t="s">
        <v>74</v>
      </c>
      <c r="BH53" t="s">
        <v>74</v>
      </c>
      <c r="BI53">
        <v>8</v>
      </c>
      <c r="BJ53" t="s">
        <v>855</v>
      </c>
      <c r="BK53" t="s">
        <v>349</v>
      </c>
      <c r="BL53" t="s">
        <v>856</v>
      </c>
      <c r="BM53" t="s">
        <v>1049</v>
      </c>
      <c r="BN53" t="s">
        <v>74</v>
      </c>
      <c r="BO53" t="s">
        <v>162</v>
      </c>
      <c r="BP53" t="s">
        <v>74</v>
      </c>
      <c r="BQ53" t="s">
        <v>74</v>
      </c>
      <c r="BR53" t="s">
        <v>104</v>
      </c>
      <c r="BS53" t="s">
        <v>1050</v>
      </c>
      <c r="BT53" t="str">
        <f>HYPERLINK("https%3A%2F%2Fwww.webofscience.com%2Fwos%2Fwoscc%2Ffull-record%2FWOS:000496463900008","View Full Record in Web of Science")</f>
        <v>View Full Record in Web of Science</v>
      </c>
    </row>
    <row r="54" spans="1:72" x14ac:dyDescent="0.15">
      <c r="A54" t="s">
        <v>72</v>
      </c>
      <c r="B54" t="s">
        <v>1051</v>
      </c>
      <c r="C54" t="s">
        <v>74</v>
      </c>
      <c r="D54" t="s">
        <v>74</v>
      </c>
      <c r="E54" t="s">
        <v>74</v>
      </c>
      <c r="F54" t="s">
        <v>1052</v>
      </c>
      <c r="G54" t="s">
        <v>74</v>
      </c>
      <c r="H54" t="s">
        <v>74</v>
      </c>
      <c r="I54" t="s">
        <v>1053</v>
      </c>
      <c r="J54" t="s">
        <v>1001</v>
      </c>
      <c r="K54" t="s">
        <v>74</v>
      </c>
      <c r="L54" t="s">
        <v>74</v>
      </c>
      <c r="M54" t="s">
        <v>1002</v>
      </c>
      <c r="N54" t="s">
        <v>79</v>
      </c>
      <c r="O54" t="s">
        <v>74</v>
      </c>
      <c r="P54" t="s">
        <v>74</v>
      </c>
      <c r="Q54" t="s">
        <v>74</v>
      </c>
      <c r="R54" t="s">
        <v>74</v>
      </c>
      <c r="S54" t="s">
        <v>74</v>
      </c>
      <c r="T54" t="s">
        <v>1054</v>
      </c>
      <c r="U54" t="s">
        <v>1055</v>
      </c>
      <c r="V54" t="s">
        <v>1056</v>
      </c>
      <c r="W54" t="s">
        <v>1057</v>
      </c>
      <c r="X54" t="s">
        <v>1058</v>
      </c>
      <c r="Y54" t="s">
        <v>1059</v>
      </c>
      <c r="Z54" t="s">
        <v>1060</v>
      </c>
      <c r="AA54" t="s">
        <v>1061</v>
      </c>
      <c r="AB54" t="s">
        <v>74</v>
      </c>
      <c r="AC54" t="s">
        <v>74</v>
      </c>
      <c r="AD54" t="s">
        <v>74</v>
      </c>
      <c r="AE54" t="s">
        <v>74</v>
      </c>
      <c r="AF54" t="s">
        <v>74</v>
      </c>
      <c r="AG54">
        <v>20</v>
      </c>
      <c r="AH54">
        <v>10</v>
      </c>
      <c r="AI54">
        <v>13</v>
      </c>
      <c r="AJ54">
        <v>2</v>
      </c>
      <c r="AK54">
        <v>14</v>
      </c>
      <c r="AL54" t="s">
        <v>1013</v>
      </c>
      <c r="AM54" t="s">
        <v>1014</v>
      </c>
      <c r="AN54" t="s">
        <v>1015</v>
      </c>
      <c r="AO54" t="s">
        <v>1016</v>
      </c>
      <c r="AP54" t="s">
        <v>1017</v>
      </c>
      <c r="AQ54" t="s">
        <v>74</v>
      </c>
      <c r="AR54" t="s">
        <v>1018</v>
      </c>
      <c r="AS54" t="s">
        <v>1019</v>
      </c>
      <c r="AT54" t="s">
        <v>74</v>
      </c>
      <c r="AU54">
        <v>2019</v>
      </c>
      <c r="AV54">
        <v>64</v>
      </c>
      <c r="AW54">
        <v>27</v>
      </c>
      <c r="AX54" t="s">
        <v>74</v>
      </c>
      <c r="AY54" t="s">
        <v>74</v>
      </c>
      <c r="AZ54" t="s">
        <v>74</v>
      </c>
      <c r="BA54" t="s">
        <v>74</v>
      </c>
      <c r="BB54">
        <v>2885</v>
      </c>
      <c r="BC54">
        <v>2893</v>
      </c>
      <c r="BD54" t="s">
        <v>74</v>
      </c>
      <c r="BE54" t="s">
        <v>1062</v>
      </c>
      <c r="BF54" t="str">
        <f>HYPERLINK("http://dx.doi.org/10.1360/TB-2019-0085","http://dx.doi.org/10.1360/TB-2019-0085")</f>
        <v>http://dx.doi.org/10.1360/TB-2019-0085</v>
      </c>
      <c r="BG54" t="s">
        <v>74</v>
      </c>
      <c r="BH54" t="s">
        <v>74</v>
      </c>
      <c r="BI54">
        <v>9</v>
      </c>
      <c r="BJ54" t="s">
        <v>855</v>
      </c>
      <c r="BK54" t="s">
        <v>349</v>
      </c>
      <c r="BL54" t="s">
        <v>856</v>
      </c>
      <c r="BM54" t="s">
        <v>1049</v>
      </c>
      <c r="BN54" t="s">
        <v>74</v>
      </c>
      <c r="BO54" t="s">
        <v>162</v>
      </c>
      <c r="BP54" t="s">
        <v>74</v>
      </c>
      <c r="BQ54" t="s">
        <v>74</v>
      </c>
      <c r="BR54" t="s">
        <v>104</v>
      </c>
      <c r="BS54" t="s">
        <v>1063</v>
      </c>
      <c r="BT54" t="str">
        <f>HYPERLINK("https%3A%2F%2Fwww.webofscience.com%2Fwos%2Fwoscc%2Ffull-record%2FWOS:000496463900014","View Full Record in Web of Science")</f>
        <v>View Full Record in Web of Science</v>
      </c>
    </row>
    <row r="55" spans="1:72" x14ac:dyDescent="0.15">
      <c r="A55" t="s">
        <v>72</v>
      </c>
      <c r="B55" t="s">
        <v>1064</v>
      </c>
      <c r="C55" t="s">
        <v>74</v>
      </c>
      <c r="D55" t="s">
        <v>74</v>
      </c>
      <c r="E55" t="s">
        <v>74</v>
      </c>
      <c r="F55" t="s">
        <v>1065</v>
      </c>
      <c r="G55" t="s">
        <v>74</v>
      </c>
      <c r="H55" t="s">
        <v>74</v>
      </c>
      <c r="I55" t="s">
        <v>1066</v>
      </c>
      <c r="J55" t="s">
        <v>1067</v>
      </c>
      <c r="K55" t="s">
        <v>74</v>
      </c>
      <c r="L55" t="s">
        <v>74</v>
      </c>
      <c r="M55" t="s">
        <v>78</v>
      </c>
      <c r="N55" t="s">
        <v>79</v>
      </c>
      <c r="O55" t="s">
        <v>74</v>
      </c>
      <c r="P55" t="s">
        <v>74</v>
      </c>
      <c r="Q55" t="s">
        <v>74</v>
      </c>
      <c r="R55" t="s">
        <v>74</v>
      </c>
      <c r="S55" t="s">
        <v>74</v>
      </c>
      <c r="T55" t="s">
        <v>1068</v>
      </c>
      <c r="U55" t="s">
        <v>1069</v>
      </c>
      <c r="V55" t="s">
        <v>1070</v>
      </c>
      <c r="W55" t="s">
        <v>1071</v>
      </c>
      <c r="X55" t="s">
        <v>1072</v>
      </c>
      <c r="Y55" t="s">
        <v>1073</v>
      </c>
      <c r="Z55" t="s">
        <v>1074</v>
      </c>
      <c r="AA55" t="s">
        <v>74</v>
      </c>
      <c r="AB55" t="s">
        <v>1075</v>
      </c>
      <c r="AC55" t="s">
        <v>1076</v>
      </c>
      <c r="AD55" t="s">
        <v>1077</v>
      </c>
      <c r="AE55" t="s">
        <v>1078</v>
      </c>
      <c r="AF55" t="s">
        <v>74</v>
      </c>
      <c r="AG55">
        <v>55</v>
      </c>
      <c r="AH55">
        <v>2</v>
      </c>
      <c r="AI55">
        <v>2</v>
      </c>
      <c r="AJ55">
        <v>1</v>
      </c>
      <c r="AK55">
        <v>16</v>
      </c>
      <c r="AL55" t="s">
        <v>1079</v>
      </c>
      <c r="AM55" t="s">
        <v>1080</v>
      </c>
      <c r="AN55" t="s">
        <v>1081</v>
      </c>
      <c r="AO55" t="s">
        <v>1082</v>
      </c>
      <c r="AP55" t="s">
        <v>1083</v>
      </c>
      <c r="AQ55" t="s">
        <v>74</v>
      </c>
      <c r="AR55" t="s">
        <v>1084</v>
      </c>
      <c r="AS55" t="s">
        <v>1085</v>
      </c>
      <c r="AT55" t="s">
        <v>74</v>
      </c>
      <c r="AU55">
        <v>2019</v>
      </c>
      <c r="AV55">
        <v>42</v>
      </c>
      <c r="AW55">
        <v>10</v>
      </c>
      <c r="AX55" t="s">
        <v>74</v>
      </c>
      <c r="AY55" t="s">
        <v>74</v>
      </c>
      <c r="AZ55" t="s">
        <v>74</v>
      </c>
      <c r="BA55" t="s">
        <v>74</v>
      </c>
      <c r="BB55">
        <v>1801</v>
      </c>
      <c r="BC55">
        <v>1809</v>
      </c>
      <c r="BD55" t="s">
        <v>74</v>
      </c>
      <c r="BE55" t="s">
        <v>1086</v>
      </c>
      <c r="BF55" t="str">
        <f>HYPERLINK("http://dx.doi.org/10.1007/s00300-019-02551-y","http://dx.doi.org/10.1007/s00300-019-02551-y")</f>
        <v>http://dx.doi.org/10.1007/s00300-019-02551-y</v>
      </c>
      <c r="BG55" t="s">
        <v>74</v>
      </c>
      <c r="BH55" t="s">
        <v>74</v>
      </c>
      <c r="BI55">
        <v>9</v>
      </c>
      <c r="BJ55" t="s">
        <v>1087</v>
      </c>
      <c r="BK55" t="s">
        <v>101</v>
      </c>
      <c r="BL55" t="s">
        <v>102</v>
      </c>
      <c r="BM55" t="s">
        <v>1088</v>
      </c>
      <c r="BN55" t="s">
        <v>74</v>
      </c>
      <c r="BO55" t="s">
        <v>1089</v>
      </c>
      <c r="BP55" t="s">
        <v>74</v>
      </c>
      <c r="BQ55" t="s">
        <v>74</v>
      </c>
      <c r="BR55" t="s">
        <v>104</v>
      </c>
      <c r="BS55" t="s">
        <v>1090</v>
      </c>
      <c r="BT55" t="str">
        <f>HYPERLINK("https%3A%2F%2Fwww.webofscience.com%2Fwos%2Fwoscc%2Ffull-record%2FWOS:000495702400002","View Full Record in Web of Science")</f>
        <v>View Full Record in Web of Science</v>
      </c>
    </row>
    <row r="56" spans="1:72" x14ac:dyDescent="0.15">
      <c r="A56" t="s">
        <v>72</v>
      </c>
      <c r="B56" t="s">
        <v>1091</v>
      </c>
      <c r="C56" t="s">
        <v>74</v>
      </c>
      <c r="D56" t="s">
        <v>74</v>
      </c>
      <c r="E56" t="s">
        <v>74</v>
      </c>
      <c r="F56" t="s">
        <v>1092</v>
      </c>
      <c r="G56" t="s">
        <v>74</v>
      </c>
      <c r="H56" t="s">
        <v>74</v>
      </c>
      <c r="I56" t="s">
        <v>1093</v>
      </c>
      <c r="J56" t="s">
        <v>1067</v>
      </c>
      <c r="K56" t="s">
        <v>74</v>
      </c>
      <c r="L56" t="s">
        <v>74</v>
      </c>
      <c r="M56" t="s">
        <v>78</v>
      </c>
      <c r="N56" t="s">
        <v>79</v>
      </c>
      <c r="O56" t="s">
        <v>74</v>
      </c>
      <c r="P56" t="s">
        <v>74</v>
      </c>
      <c r="Q56" t="s">
        <v>74</v>
      </c>
      <c r="R56" t="s">
        <v>74</v>
      </c>
      <c r="S56" t="s">
        <v>74</v>
      </c>
      <c r="T56" t="s">
        <v>1094</v>
      </c>
      <c r="U56" t="s">
        <v>1095</v>
      </c>
      <c r="V56" t="s">
        <v>1096</v>
      </c>
      <c r="W56" t="s">
        <v>1097</v>
      </c>
      <c r="X56" t="s">
        <v>1098</v>
      </c>
      <c r="Y56" t="s">
        <v>1099</v>
      </c>
      <c r="Z56" t="s">
        <v>1100</v>
      </c>
      <c r="AA56" t="s">
        <v>1101</v>
      </c>
      <c r="AB56" t="s">
        <v>1102</v>
      </c>
      <c r="AC56" t="s">
        <v>1103</v>
      </c>
      <c r="AD56" t="s">
        <v>1104</v>
      </c>
      <c r="AE56" t="s">
        <v>1105</v>
      </c>
      <c r="AF56" t="s">
        <v>74</v>
      </c>
      <c r="AG56">
        <v>60</v>
      </c>
      <c r="AH56">
        <v>15</v>
      </c>
      <c r="AI56">
        <v>15</v>
      </c>
      <c r="AJ56">
        <v>2</v>
      </c>
      <c r="AK56">
        <v>16</v>
      </c>
      <c r="AL56" t="s">
        <v>1079</v>
      </c>
      <c r="AM56" t="s">
        <v>1080</v>
      </c>
      <c r="AN56" t="s">
        <v>1106</v>
      </c>
      <c r="AO56" t="s">
        <v>1082</v>
      </c>
      <c r="AP56" t="s">
        <v>1083</v>
      </c>
      <c r="AQ56" t="s">
        <v>74</v>
      </c>
      <c r="AR56" t="s">
        <v>1084</v>
      </c>
      <c r="AS56" t="s">
        <v>1085</v>
      </c>
      <c r="AT56" t="s">
        <v>74</v>
      </c>
      <c r="AU56">
        <v>2019</v>
      </c>
      <c r="AV56">
        <v>42</v>
      </c>
      <c r="AW56">
        <v>10</v>
      </c>
      <c r="AX56" t="s">
        <v>74</v>
      </c>
      <c r="AY56" t="s">
        <v>74</v>
      </c>
      <c r="AZ56" t="s">
        <v>74</v>
      </c>
      <c r="BA56" t="s">
        <v>74</v>
      </c>
      <c r="BB56">
        <v>1825</v>
      </c>
      <c r="BC56">
        <v>1835</v>
      </c>
      <c r="BD56" t="s">
        <v>74</v>
      </c>
      <c r="BE56" t="s">
        <v>1107</v>
      </c>
      <c r="BF56" t="str">
        <f>HYPERLINK("http://dx.doi.org/10.1007/s00300-019-02556-7","http://dx.doi.org/10.1007/s00300-019-02556-7")</f>
        <v>http://dx.doi.org/10.1007/s00300-019-02556-7</v>
      </c>
      <c r="BG56" t="s">
        <v>74</v>
      </c>
      <c r="BH56" t="s">
        <v>74</v>
      </c>
      <c r="BI56">
        <v>11</v>
      </c>
      <c r="BJ56" t="s">
        <v>1087</v>
      </c>
      <c r="BK56" t="s">
        <v>101</v>
      </c>
      <c r="BL56" t="s">
        <v>102</v>
      </c>
      <c r="BM56" t="s">
        <v>1088</v>
      </c>
      <c r="BN56" t="s">
        <v>74</v>
      </c>
      <c r="BO56" t="s">
        <v>74</v>
      </c>
      <c r="BP56" t="s">
        <v>74</v>
      </c>
      <c r="BQ56" t="s">
        <v>74</v>
      </c>
      <c r="BR56" t="s">
        <v>104</v>
      </c>
      <c r="BS56" t="s">
        <v>1108</v>
      </c>
      <c r="BT56" t="str">
        <f>HYPERLINK("https%3A%2F%2Fwww.webofscience.com%2Fwos%2Fwoscc%2Ffull-record%2FWOS:000495702400004","View Full Record in Web of Science")</f>
        <v>View Full Record in Web of Science</v>
      </c>
    </row>
    <row r="57" spans="1:72" x14ac:dyDescent="0.15">
      <c r="A57" t="s">
        <v>72</v>
      </c>
      <c r="B57" t="s">
        <v>1109</v>
      </c>
      <c r="C57" t="s">
        <v>74</v>
      </c>
      <c r="D57" t="s">
        <v>74</v>
      </c>
      <c r="E57" t="s">
        <v>74</v>
      </c>
      <c r="F57" t="s">
        <v>1110</v>
      </c>
      <c r="G57" t="s">
        <v>74</v>
      </c>
      <c r="H57" t="s">
        <v>74</v>
      </c>
      <c r="I57" t="s">
        <v>1111</v>
      </c>
      <c r="J57" t="s">
        <v>1067</v>
      </c>
      <c r="K57" t="s">
        <v>74</v>
      </c>
      <c r="L57" t="s">
        <v>74</v>
      </c>
      <c r="M57" t="s">
        <v>78</v>
      </c>
      <c r="N57" t="s">
        <v>79</v>
      </c>
      <c r="O57" t="s">
        <v>74</v>
      </c>
      <c r="P57" t="s">
        <v>74</v>
      </c>
      <c r="Q57" t="s">
        <v>74</v>
      </c>
      <c r="R57" t="s">
        <v>74</v>
      </c>
      <c r="S57" t="s">
        <v>74</v>
      </c>
      <c r="T57" t="s">
        <v>1112</v>
      </c>
      <c r="U57" t="s">
        <v>1113</v>
      </c>
      <c r="V57" t="s">
        <v>1114</v>
      </c>
      <c r="W57" t="s">
        <v>1115</v>
      </c>
      <c r="X57" t="s">
        <v>1116</v>
      </c>
      <c r="Y57" t="s">
        <v>1117</v>
      </c>
      <c r="Z57" t="s">
        <v>1118</v>
      </c>
      <c r="AA57" t="s">
        <v>74</v>
      </c>
      <c r="AB57" t="s">
        <v>74</v>
      </c>
      <c r="AC57" t="s">
        <v>74</v>
      </c>
      <c r="AD57" t="s">
        <v>74</v>
      </c>
      <c r="AE57" t="s">
        <v>74</v>
      </c>
      <c r="AF57" t="s">
        <v>74</v>
      </c>
      <c r="AG57">
        <v>54</v>
      </c>
      <c r="AH57">
        <v>4</v>
      </c>
      <c r="AI57">
        <v>4</v>
      </c>
      <c r="AJ57">
        <v>0</v>
      </c>
      <c r="AK57">
        <v>4</v>
      </c>
      <c r="AL57" t="s">
        <v>1079</v>
      </c>
      <c r="AM57" t="s">
        <v>1080</v>
      </c>
      <c r="AN57" t="s">
        <v>1081</v>
      </c>
      <c r="AO57" t="s">
        <v>1082</v>
      </c>
      <c r="AP57" t="s">
        <v>1083</v>
      </c>
      <c r="AQ57" t="s">
        <v>74</v>
      </c>
      <c r="AR57" t="s">
        <v>1084</v>
      </c>
      <c r="AS57" t="s">
        <v>1085</v>
      </c>
      <c r="AT57" t="s">
        <v>74</v>
      </c>
      <c r="AU57">
        <v>2019</v>
      </c>
      <c r="AV57">
        <v>42</v>
      </c>
      <c r="AW57">
        <v>10</v>
      </c>
      <c r="AX57" t="s">
        <v>74</v>
      </c>
      <c r="AY57" t="s">
        <v>74</v>
      </c>
      <c r="AZ57" t="s">
        <v>74</v>
      </c>
      <c r="BA57" t="s">
        <v>74</v>
      </c>
      <c r="BB57">
        <v>1837</v>
      </c>
      <c r="BC57">
        <v>1848</v>
      </c>
      <c r="BD57" t="s">
        <v>74</v>
      </c>
      <c r="BE57" t="s">
        <v>1119</v>
      </c>
      <c r="BF57" t="str">
        <f>HYPERLINK("http://dx.doi.org/10.1007/s00300-019-02557-6","http://dx.doi.org/10.1007/s00300-019-02557-6")</f>
        <v>http://dx.doi.org/10.1007/s00300-019-02557-6</v>
      </c>
      <c r="BG57" t="s">
        <v>74</v>
      </c>
      <c r="BH57" t="s">
        <v>74</v>
      </c>
      <c r="BI57">
        <v>12</v>
      </c>
      <c r="BJ57" t="s">
        <v>1087</v>
      </c>
      <c r="BK57" t="s">
        <v>101</v>
      </c>
      <c r="BL57" t="s">
        <v>102</v>
      </c>
      <c r="BM57" t="s">
        <v>1088</v>
      </c>
      <c r="BN57" t="s">
        <v>74</v>
      </c>
      <c r="BO57" t="s">
        <v>74</v>
      </c>
      <c r="BP57" t="s">
        <v>74</v>
      </c>
      <c r="BQ57" t="s">
        <v>74</v>
      </c>
      <c r="BR57" t="s">
        <v>104</v>
      </c>
      <c r="BS57" t="s">
        <v>1120</v>
      </c>
      <c r="BT57" t="str">
        <f>HYPERLINK("https%3A%2F%2Fwww.webofscience.com%2Fwos%2Fwoscc%2Ffull-record%2FWOS:000495702400005","View Full Record in Web of Science")</f>
        <v>View Full Record in Web of Science</v>
      </c>
    </row>
    <row r="58" spans="1:72" x14ac:dyDescent="0.15">
      <c r="A58" t="s">
        <v>72</v>
      </c>
      <c r="B58" t="s">
        <v>1121</v>
      </c>
      <c r="C58" t="s">
        <v>74</v>
      </c>
      <c r="D58" t="s">
        <v>74</v>
      </c>
      <c r="E58" t="s">
        <v>74</v>
      </c>
      <c r="F58" t="s">
        <v>1122</v>
      </c>
      <c r="G58" t="s">
        <v>74</v>
      </c>
      <c r="H58" t="s">
        <v>74</v>
      </c>
      <c r="I58" t="s">
        <v>1123</v>
      </c>
      <c r="J58" t="s">
        <v>1067</v>
      </c>
      <c r="K58" t="s">
        <v>74</v>
      </c>
      <c r="L58" t="s">
        <v>74</v>
      </c>
      <c r="M58" t="s">
        <v>78</v>
      </c>
      <c r="N58" t="s">
        <v>79</v>
      </c>
      <c r="O58" t="s">
        <v>74</v>
      </c>
      <c r="P58" t="s">
        <v>74</v>
      </c>
      <c r="Q58" t="s">
        <v>74</v>
      </c>
      <c r="R58" t="s">
        <v>74</v>
      </c>
      <c r="S58" t="s">
        <v>74</v>
      </c>
      <c r="T58" t="s">
        <v>1124</v>
      </c>
      <c r="U58" t="s">
        <v>1125</v>
      </c>
      <c r="V58" t="s">
        <v>1126</v>
      </c>
      <c r="W58" t="s">
        <v>1127</v>
      </c>
      <c r="X58" t="s">
        <v>1128</v>
      </c>
      <c r="Y58" t="s">
        <v>1129</v>
      </c>
      <c r="Z58" t="s">
        <v>1130</v>
      </c>
      <c r="AA58" t="s">
        <v>1131</v>
      </c>
      <c r="AB58" t="s">
        <v>1132</v>
      </c>
      <c r="AC58" t="s">
        <v>1133</v>
      </c>
      <c r="AD58" t="s">
        <v>1134</v>
      </c>
      <c r="AE58" t="s">
        <v>1135</v>
      </c>
      <c r="AF58" t="s">
        <v>74</v>
      </c>
      <c r="AG58">
        <v>79</v>
      </c>
      <c r="AH58">
        <v>17</v>
      </c>
      <c r="AI58">
        <v>17</v>
      </c>
      <c r="AJ58">
        <v>0</v>
      </c>
      <c r="AK58">
        <v>8</v>
      </c>
      <c r="AL58" t="s">
        <v>1079</v>
      </c>
      <c r="AM58" t="s">
        <v>1080</v>
      </c>
      <c r="AN58" t="s">
        <v>1081</v>
      </c>
      <c r="AO58" t="s">
        <v>1082</v>
      </c>
      <c r="AP58" t="s">
        <v>1083</v>
      </c>
      <c r="AQ58" t="s">
        <v>74</v>
      </c>
      <c r="AR58" t="s">
        <v>1084</v>
      </c>
      <c r="AS58" t="s">
        <v>1085</v>
      </c>
      <c r="AT58" t="s">
        <v>74</v>
      </c>
      <c r="AU58">
        <v>2019</v>
      </c>
      <c r="AV58">
        <v>42</v>
      </c>
      <c r="AW58">
        <v>10</v>
      </c>
      <c r="AX58" t="s">
        <v>74</v>
      </c>
      <c r="AY58" t="s">
        <v>74</v>
      </c>
      <c r="AZ58" t="s">
        <v>74</v>
      </c>
      <c r="BA58" t="s">
        <v>74</v>
      </c>
      <c r="BB58">
        <v>1859</v>
      </c>
      <c r="BC58">
        <v>1872</v>
      </c>
      <c r="BD58" t="s">
        <v>74</v>
      </c>
      <c r="BE58" t="s">
        <v>1136</v>
      </c>
      <c r="BF58" t="str">
        <f>HYPERLINK("http://dx.doi.org/10.1007/s00300-019-02564-7","http://dx.doi.org/10.1007/s00300-019-02564-7")</f>
        <v>http://dx.doi.org/10.1007/s00300-019-02564-7</v>
      </c>
      <c r="BG58" t="s">
        <v>74</v>
      </c>
      <c r="BH58" t="s">
        <v>74</v>
      </c>
      <c r="BI58">
        <v>14</v>
      </c>
      <c r="BJ58" t="s">
        <v>1087</v>
      </c>
      <c r="BK58" t="s">
        <v>101</v>
      </c>
      <c r="BL58" t="s">
        <v>102</v>
      </c>
      <c r="BM58" t="s">
        <v>1088</v>
      </c>
      <c r="BN58" t="s">
        <v>74</v>
      </c>
      <c r="BO58" t="s">
        <v>1089</v>
      </c>
      <c r="BP58" t="s">
        <v>74</v>
      </c>
      <c r="BQ58" t="s">
        <v>74</v>
      </c>
      <c r="BR58" t="s">
        <v>104</v>
      </c>
      <c r="BS58" t="s">
        <v>1137</v>
      </c>
      <c r="BT58" t="str">
        <f>HYPERLINK("https%3A%2F%2Fwww.webofscience.com%2Fwos%2Fwoscc%2Ffull-record%2FWOS:000495702400007","View Full Record in Web of Science")</f>
        <v>View Full Record in Web of Science</v>
      </c>
    </row>
    <row r="59" spans="1:72" x14ac:dyDescent="0.15">
      <c r="A59" t="s">
        <v>72</v>
      </c>
      <c r="B59" t="s">
        <v>1138</v>
      </c>
      <c r="C59" t="s">
        <v>74</v>
      </c>
      <c r="D59" t="s">
        <v>74</v>
      </c>
      <c r="E59" t="s">
        <v>74</v>
      </c>
      <c r="F59" t="s">
        <v>1139</v>
      </c>
      <c r="G59" t="s">
        <v>74</v>
      </c>
      <c r="H59" t="s">
        <v>74</v>
      </c>
      <c r="I59" t="s">
        <v>1140</v>
      </c>
      <c r="J59" t="s">
        <v>1067</v>
      </c>
      <c r="K59" t="s">
        <v>74</v>
      </c>
      <c r="L59" t="s">
        <v>74</v>
      </c>
      <c r="M59" t="s">
        <v>78</v>
      </c>
      <c r="N59" t="s">
        <v>79</v>
      </c>
      <c r="O59" t="s">
        <v>74</v>
      </c>
      <c r="P59" t="s">
        <v>74</v>
      </c>
      <c r="Q59" t="s">
        <v>74</v>
      </c>
      <c r="R59" t="s">
        <v>74</v>
      </c>
      <c r="S59" t="s">
        <v>74</v>
      </c>
      <c r="T59" t="s">
        <v>1141</v>
      </c>
      <c r="U59" t="s">
        <v>1142</v>
      </c>
      <c r="V59" t="s">
        <v>1143</v>
      </c>
      <c r="W59" t="s">
        <v>1144</v>
      </c>
      <c r="X59" t="s">
        <v>1145</v>
      </c>
      <c r="Y59" t="s">
        <v>1146</v>
      </c>
      <c r="Z59" t="s">
        <v>1147</v>
      </c>
      <c r="AA59" t="s">
        <v>1148</v>
      </c>
      <c r="AB59" t="s">
        <v>1149</v>
      </c>
      <c r="AC59" t="s">
        <v>1150</v>
      </c>
      <c r="AD59" t="s">
        <v>1151</v>
      </c>
      <c r="AE59" t="s">
        <v>1152</v>
      </c>
      <c r="AF59" t="s">
        <v>74</v>
      </c>
      <c r="AG59">
        <v>57</v>
      </c>
      <c r="AH59">
        <v>8</v>
      </c>
      <c r="AI59">
        <v>8</v>
      </c>
      <c r="AJ59">
        <v>1</v>
      </c>
      <c r="AK59">
        <v>4</v>
      </c>
      <c r="AL59" t="s">
        <v>1079</v>
      </c>
      <c r="AM59" t="s">
        <v>1080</v>
      </c>
      <c r="AN59" t="s">
        <v>1106</v>
      </c>
      <c r="AO59" t="s">
        <v>1082</v>
      </c>
      <c r="AP59" t="s">
        <v>1083</v>
      </c>
      <c r="AQ59" t="s">
        <v>74</v>
      </c>
      <c r="AR59" t="s">
        <v>1084</v>
      </c>
      <c r="AS59" t="s">
        <v>1085</v>
      </c>
      <c r="AT59" t="s">
        <v>74</v>
      </c>
      <c r="AU59">
        <v>2019</v>
      </c>
      <c r="AV59">
        <v>42</v>
      </c>
      <c r="AW59">
        <v>10</v>
      </c>
      <c r="AX59" t="s">
        <v>74</v>
      </c>
      <c r="AY59" t="s">
        <v>74</v>
      </c>
      <c r="AZ59" t="s">
        <v>74</v>
      </c>
      <c r="BA59" t="s">
        <v>74</v>
      </c>
      <c r="BB59">
        <v>1873</v>
      </c>
      <c r="BC59">
        <v>1879</v>
      </c>
      <c r="BD59" t="s">
        <v>74</v>
      </c>
      <c r="BE59" t="s">
        <v>1153</v>
      </c>
      <c r="BF59" t="str">
        <f>HYPERLINK("http://dx.doi.org/10.1007/s00300-019-02567-4","http://dx.doi.org/10.1007/s00300-019-02567-4")</f>
        <v>http://dx.doi.org/10.1007/s00300-019-02567-4</v>
      </c>
      <c r="BG59" t="s">
        <v>74</v>
      </c>
      <c r="BH59" t="s">
        <v>74</v>
      </c>
      <c r="BI59">
        <v>7</v>
      </c>
      <c r="BJ59" t="s">
        <v>1087</v>
      </c>
      <c r="BK59" t="s">
        <v>101</v>
      </c>
      <c r="BL59" t="s">
        <v>102</v>
      </c>
      <c r="BM59" t="s">
        <v>1088</v>
      </c>
      <c r="BN59" t="s">
        <v>74</v>
      </c>
      <c r="BO59" t="s">
        <v>74</v>
      </c>
      <c r="BP59" t="s">
        <v>74</v>
      </c>
      <c r="BQ59" t="s">
        <v>74</v>
      </c>
      <c r="BR59" t="s">
        <v>104</v>
      </c>
      <c r="BS59" t="s">
        <v>1154</v>
      </c>
      <c r="BT59" t="str">
        <f>HYPERLINK("https%3A%2F%2Fwww.webofscience.com%2Fwos%2Fwoscc%2Ffull-record%2FWOS:000495702400008","View Full Record in Web of Science")</f>
        <v>View Full Record in Web of Science</v>
      </c>
    </row>
    <row r="60" spans="1:72" x14ac:dyDescent="0.15">
      <c r="A60" t="s">
        <v>72</v>
      </c>
      <c r="B60" t="s">
        <v>1155</v>
      </c>
      <c r="C60" t="s">
        <v>74</v>
      </c>
      <c r="D60" t="s">
        <v>74</v>
      </c>
      <c r="E60" t="s">
        <v>74</v>
      </c>
      <c r="F60" t="s">
        <v>1156</v>
      </c>
      <c r="G60" t="s">
        <v>74</v>
      </c>
      <c r="H60" t="s">
        <v>74</v>
      </c>
      <c r="I60" t="s">
        <v>1157</v>
      </c>
      <c r="J60" t="s">
        <v>1067</v>
      </c>
      <c r="K60" t="s">
        <v>74</v>
      </c>
      <c r="L60" t="s">
        <v>74</v>
      </c>
      <c r="M60" t="s">
        <v>78</v>
      </c>
      <c r="N60" t="s">
        <v>79</v>
      </c>
      <c r="O60" t="s">
        <v>74</v>
      </c>
      <c r="P60" t="s">
        <v>74</v>
      </c>
      <c r="Q60" t="s">
        <v>74</v>
      </c>
      <c r="R60" t="s">
        <v>74</v>
      </c>
      <c r="S60" t="s">
        <v>74</v>
      </c>
      <c r="T60" t="s">
        <v>1158</v>
      </c>
      <c r="U60" t="s">
        <v>74</v>
      </c>
      <c r="V60" t="s">
        <v>1159</v>
      </c>
      <c r="W60" t="s">
        <v>1160</v>
      </c>
      <c r="X60" t="s">
        <v>1161</v>
      </c>
      <c r="Y60" t="s">
        <v>1162</v>
      </c>
      <c r="Z60" t="s">
        <v>1163</v>
      </c>
      <c r="AA60" t="s">
        <v>1164</v>
      </c>
      <c r="AB60" t="s">
        <v>74</v>
      </c>
      <c r="AC60" t="s">
        <v>1165</v>
      </c>
      <c r="AD60" t="s">
        <v>1166</v>
      </c>
      <c r="AE60" t="s">
        <v>1167</v>
      </c>
      <c r="AF60" t="s">
        <v>74</v>
      </c>
      <c r="AG60">
        <v>10</v>
      </c>
      <c r="AH60">
        <v>1</v>
      </c>
      <c r="AI60">
        <v>1</v>
      </c>
      <c r="AJ60">
        <v>2</v>
      </c>
      <c r="AK60">
        <v>5</v>
      </c>
      <c r="AL60" t="s">
        <v>1079</v>
      </c>
      <c r="AM60" t="s">
        <v>1080</v>
      </c>
      <c r="AN60" t="s">
        <v>1081</v>
      </c>
      <c r="AO60" t="s">
        <v>1082</v>
      </c>
      <c r="AP60" t="s">
        <v>1083</v>
      </c>
      <c r="AQ60" t="s">
        <v>74</v>
      </c>
      <c r="AR60" t="s">
        <v>1084</v>
      </c>
      <c r="AS60" t="s">
        <v>1085</v>
      </c>
      <c r="AT60" t="s">
        <v>74</v>
      </c>
      <c r="AU60">
        <v>2019</v>
      </c>
      <c r="AV60">
        <v>42</v>
      </c>
      <c r="AW60">
        <v>10</v>
      </c>
      <c r="AX60" t="s">
        <v>74</v>
      </c>
      <c r="AY60" t="s">
        <v>74</v>
      </c>
      <c r="AZ60" t="s">
        <v>74</v>
      </c>
      <c r="BA60" t="s">
        <v>74</v>
      </c>
      <c r="BB60">
        <v>1931</v>
      </c>
      <c r="BC60">
        <v>1933</v>
      </c>
      <c r="BD60" t="s">
        <v>74</v>
      </c>
      <c r="BE60" t="s">
        <v>1168</v>
      </c>
      <c r="BF60" t="str">
        <f>HYPERLINK("http://dx.doi.org/10.1007/s00300-019-02558-5","http://dx.doi.org/10.1007/s00300-019-02558-5")</f>
        <v>http://dx.doi.org/10.1007/s00300-019-02558-5</v>
      </c>
      <c r="BG60" t="s">
        <v>74</v>
      </c>
      <c r="BH60" t="s">
        <v>74</v>
      </c>
      <c r="BI60">
        <v>3</v>
      </c>
      <c r="BJ60" t="s">
        <v>1087</v>
      </c>
      <c r="BK60" t="s">
        <v>101</v>
      </c>
      <c r="BL60" t="s">
        <v>102</v>
      </c>
      <c r="BM60" t="s">
        <v>1088</v>
      </c>
      <c r="BN60" t="s">
        <v>74</v>
      </c>
      <c r="BO60" t="s">
        <v>74</v>
      </c>
      <c r="BP60" t="s">
        <v>74</v>
      </c>
      <c r="BQ60" t="s">
        <v>74</v>
      </c>
      <c r="BR60" t="s">
        <v>104</v>
      </c>
      <c r="BS60" t="s">
        <v>1169</v>
      </c>
      <c r="BT60" t="str">
        <f>HYPERLINK("https%3A%2F%2Fwww.webofscience.com%2Fwos%2Fwoscc%2Ffull-record%2FWOS:000495702400014","View Full Record in Web of Science")</f>
        <v>View Full Record in Web of Science</v>
      </c>
    </row>
    <row r="61" spans="1:72" x14ac:dyDescent="0.15">
      <c r="A61" t="s">
        <v>72</v>
      </c>
      <c r="B61" t="s">
        <v>1170</v>
      </c>
      <c r="C61" t="s">
        <v>74</v>
      </c>
      <c r="D61" t="s">
        <v>74</v>
      </c>
      <c r="E61" t="s">
        <v>74</v>
      </c>
      <c r="F61" t="s">
        <v>1171</v>
      </c>
      <c r="G61" t="s">
        <v>74</v>
      </c>
      <c r="H61" t="s">
        <v>74</v>
      </c>
      <c r="I61" t="s">
        <v>1172</v>
      </c>
      <c r="J61" t="s">
        <v>1067</v>
      </c>
      <c r="K61" t="s">
        <v>74</v>
      </c>
      <c r="L61" t="s">
        <v>74</v>
      </c>
      <c r="M61" t="s">
        <v>78</v>
      </c>
      <c r="N61" t="s">
        <v>79</v>
      </c>
      <c r="O61" t="s">
        <v>74</v>
      </c>
      <c r="P61" t="s">
        <v>74</v>
      </c>
      <c r="Q61" t="s">
        <v>74</v>
      </c>
      <c r="R61" t="s">
        <v>74</v>
      </c>
      <c r="S61" t="s">
        <v>74</v>
      </c>
      <c r="T61" t="s">
        <v>1173</v>
      </c>
      <c r="U61" t="s">
        <v>1174</v>
      </c>
      <c r="V61" t="s">
        <v>1175</v>
      </c>
      <c r="W61" t="s">
        <v>1176</v>
      </c>
      <c r="X61" t="s">
        <v>1177</v>
      </c>
      <c r="Y61" t="s">
        <v>1178</v>
      </c>
      <c r="Z61" t="s">
        <v>1179</v>
      </c>
      <c r="AA61" t="s">
        <v>74</v>
      </c>
      <c r="AB61" t="s">
        <v>74</v>
      </c>
      <c r="AC61" t="s">
        <v>74</v>
      </c>
      <c r="AD61" t="s">
        <v>74</v>
      </c>
      <c r="AE61" t="s">
        <v>74</v>
      </c>
      <c r="AF61" t="s">
        <v>74</v>
      </c>
      <c r="AG61">
        <v>25</v>
      </c>
      <c r="AH61">
        <v>0</v>
      </c>
      <c r="AI61">
        <v>0</v>
      </c>
      <c r="AJ61">
        <v>1</v>
      </c>
      <c r="AK61">
        <v>3</v>
      </c>
      <c r="AL61" t="s">
        <v>1079</v>
      </c>
      <c r="AM61" t="s">
        <v>1080</v>
      </c>
      <c r="AN61" t="s">
        <v>1081</v>
      </c>
      <c r="AO61" t="s">
        <v>1082</v>
      </c>
      <c r="AP61" t="s">
        <v>1083</v>
      </c>
      <c r="AQ61" t="s">
        <v>74</v>
      </c>
      <c r="AR61" t="s">
        <v>1084</v>
      </c>
      <c r="AS61" t="s">
        <v>1085</v>
      </c>
      <c r="AT61" t="s">
        <v>74</v>
      </c>
      <c r="AU61">
        <v>2019</v>
      </c>
      <c r="AV61">
        <v>42</v>
      </c>
      <c r="AW61">
        <v>10</v>
      </c>
      <c r="AX61" t="s">
        <v>74</v>
      </c>
      <c r="AY61" t="s">
        <v>74</v>
      </c>
      <c r="AZ61" t="s">
        <v>74</v>
      </c>
      <c r="BA61" t="s">
        <v>74</v>
      </c>
      <c r="BB61">
        <v>1943</v>
      </c>
      <c r="BC61">
        <v>1946</v>
      </c>
      <c r="BD61" t="s">
        <v>74</v>
      </c>
      <c r="BE61" t="s">
        <v>1180</v>
      </c>
      <c r="BF61" t="str">
        <f>HYPERLINK("http://dx.doi.org/10.1007/s00300-019-02560-x","http://dx.doi.org/10.1007/s00300-019-02560-x")</f>
        <v>http://dx.doi.org/10.1007/s00300-019-02560-x</v>
      </c>
      <c r="BG61" t="s">
        <v>74</v>
      </c>
      <c r="BH61" t="s">
        <v>74</v>
      </c>
      <c r="BI61">
        <v>4</v>
      </c>
      <c r="BJ61" t="s">
        <v>1087</v>
      </c>
      <c r="BK61" t="s">
        <v>101</v>
      </c>
      <c r="BL61" t="s">
        <v>102</v>
      </c>
      <c r="BM61" t="s">
        <v>1088</v>
      </c>
      <c r="BN61" t="s">
        <v>74</v>
      </c>
      <c r="BO61" t="s">
        <v>404</v>
      </c>
      <c r="BP61" t="s">
        <v>74</v>
      </c>
      <c r="BQ61" t="s">
        <v>74</v>
      </c>
      <c r="BR61" t="s">
        <v>104</v>
      </c>
      <c r="BS61" t="s">
        <v>1181</v>
      </c>
      <c r="BT61" t="str">
        <f>HYPERLINK("https%3A%2F%2Fwww.webofscience.com%2Fwos%2Fwoscc%2Ffull-record%2FWOS:000495702400016","View Full Record in Web of Science")</f>
        <v>View Full Record in Web of Science</v>
      </c>
    </row>
    <row r="62" spans="1:72" x14ac:dyDescent="0.15">
      <c r="A62" t="s">
        <v>164</v>
      </c>
      <c r="B62" t="s">
        <v>1182</v>
      </c>
      <c r="C62" t="s">
        <v>74</v>
      </c>
      <c r="D62" t="s">
        <v>1183</v>
      </c>
      <c r="E62" t="s">
        <v>74</v>
      </c>
      <c r="F62" t="s">
        <v>1184</v>
      </c>
      <c r="G62" t="s">
        <v>74</v>
      </c>
      <c r="H62" t="s">
        <v>74</v>
      </c>
      <c r="I62" t="s">
        <v>1185</v>
      </c>
      <c r="J62" t="s">
        <v>1186</v>
      </c>
      <c r="K62" t="s">
        <v>1187</v>
      </c>
      <c r="L62" t="s">
        <v>74</v>
      </c>
      <c r="M62" t="s">
        <v>78</v>
      </c>
      <c r="N62" t="s">
        <v>172</v>
      </c>
      <c r="O62" t="s">
        <v>1188</v>
      </c>
      <c r="P62" t="s">
        <v>1189</v>
      </c>
      <c r="Q62" t="s">
        <v>1190</v>
      </c>
      <c r="R62" t="s">
        <v>74</v>
      </c>
      <c r="S62" t="s">
        <v>74</v>
      </c>
      <c r="T62" t="s">
        <v>1191</v>
      </c>
      <c r="U62" t="s">
        <v>1192</v>
      </c>
      <c r="V62" t="s">
        <v>1193</v>
      </c>
      <c r="W62" t="s">
        <v>1194</v>
      </c>
      <c r="X62" t="s">
        <v>1195</v>
      </c>
      <c r="Y62" t="s">
        <v>1196</v>
      </c>
      <c r="Z62" t="s">
        <v>1197</v>
      </c>
      <c r="AA62" t="s">
        <v>1198</v>
      </c>
      <c r="AB62" t="s">
        <v>1199</v>
      </c>
      <c r="AC62" t="s">
        <v>1200</v>
      </c>
      <c r="AD62" t="s">
        <v>1201</v>
      </c>
      <c r="AE62" t="s">
        <v>1202</v>
      </c>
      <c r="AF62" t="s">
        <v>74</v>
      </c>
      <c r="AG62">
        <v>42</v>
      </c>
      <c r="AH62">
        <v>0</v>
      </c>
      <c r="AI62">
        <v>0</v>
      </c>
      <c r="AJ62">
        <v>0</v>
      </c>
      <c r="AK62">
        <v>1</v>
      </c>
      <c r="AL62" t="s">
        <v>1203</v>
      </c>
      <c r="AM62" t="s">
        <v>1204</v>
      </c>
      <c r="AN62" t="s">
        <v>1205</v>
      </c>
      <c r="AO62" t="s">
        <v>1206</v>
      </c>
      <c r="AP62" t="s">
        <v>1207</v>
      </c>
      <c r="AQ62" t="s">
        <v>1208</v>
      </c>
      <c r="AR62" t="s">
        <v>1209</v>
      </c>
      <c r="AS62" t="s">
        <v>74</v>
      </c>
      <c r="AT62" t="s">
        <v>74</v>
      </c>
      <c r="AU62">
        <v>2019</v>
      </c>
      <c r="AV62" t="s">
        <v>74</v>
      </c>
      <c r="AW62" t="s">
        <v>74</v>
      </c>
      <c r="AX62" t="s">
        <v>74</v>
      </c>
      <c r="AY62" t="s">
        <v>74</v>
      </c>
      <c r="AZ62" t="s">
        <v>74</v>
      </c>
      <c r="BA62" t="s">
        <v>74</v>
      </c>
      <c r="BB62">
        <v>144</v>
      </c>
      <c r="BC62">
        <v>150</v>
      </c>
      <c r="BD62" t="s">
        <v>74</v>
      </c>
      <c r="BE62" t="s">
        <v>1210</v>
      </c>
      <c r="BF62" t="str">
        <f>HYPERLINK("http://dx.doi.org/10.1007/978-3-030-11720-7_19","http://dx.doi.org/10.1007/978-3-030-11720-7_19")</f>
        <v>http://dx.doi.org/10.1007/978-3-030-11720-7_19</v>
      </c>
      <c r="BG62" t="s">
        <v>74</v>
      </c>
      <c r="BH62" t="s">
        <v>74</v>
      </c>
      <c r="BI62">
        <v>7</v>
      </c>
      <c r="BJ62" t="s">
        <v>1211</v>
      </c>
      <c r="BK62" t="s">
        <v>190</v>
      </c>
      <c r="BL62" t="s">
        <v>1212</v>
      </c>
      <c r="BM62" t="s">
        <v>1213</v>
      </c>
      <c r="BN62" t="s">
        <v>74</v>
      </c>
      <c r="BO62" t="s">
        <v>74</v>
      </c>
      <c r="BP62" t="s">
        <v>74</v>
      </c>
      <c r="BQ62" t="s">
        <v>74</v>
      </c>
      <c r="BR62" t="s">
        <v>104</v>
      </c>
      <c r="BS62" t="s">
        <v>1214</v>
      </c>
      <c r="BT62" t="str">
        <f>HYPERLINK("https%3A%2F%2Fwww.webofscience.com%2Fwos%2Fwoscc%2Ffull-record%2FWOS:000493370700019","View Full Record in Web of Science")</f>
        <v>View Full Record in Web of Science</v>
      </c>
    </row>
    <row r="63" spans="1:72" x14ac:dyDescent="0.15">
      <c r="A63" t="s">
        <v>164</v>
      </c>
      <c r="B63" t="s">
        <v>1215</v>
      </c>
      <c r="C63" t="s">
        <v>74</v>
      </c>
      <c r="D63" t="s">
        <v>74</v>
      </c>
      <c r="E63" t="s">
        <v>1216</v>
      </c>
      <c r="F63" t="s">
        <v>1217</v>
      </c>
      <c r="G63" t="s">
        <v>74</v>
      </c>
      <c r="H63" t="s">
        <v>74</v>
      </c>
      <c r="I63" t="s">
        <v>1218</v>
      </c>
      <c r="J63" t="s">
        <v>1219</v>
      </c>
      <c r="K63" t="s">
        <v>1220</v>
      </c>
      <c r="L63" t="s">
        <v>74</v>
      </c>
      <c r="M63" t="s">
        <v>78</v>
      </c>
      <c r="N63" t="s">
        <v>172</v>
      </c>
      <c r="O63" t="s">
        <v>1221</v>
      </c>
      <c r="P63" t="s">
        <v>1222</v>
      </c>
      <c r="Q63" t="s">
        <v>1223</v>
      </c>
      <c r="R63" t="s">
        <v>74</v>
      </c>
      <c r="S63" t="s">
        <v>1224</v>
      </c>
      <c r="T63" t="s">
        <v>1225</v>
      </c>
      <c r="U63" t="s">
        <v>74</v>
      </c>
      <c r="V63" t="s">
        <v>1226</v>
      </c>
      <c r="W63" t="s">
        <v>1227</v>
      </c>
      <c r="X63" t="s">
        <v>1228</v>
      </c>
      <c r="Y63" t="s">
        <v>1229</v>
      </c>
      <c r="Z63" t="s">
        <v>1230</v>
      </c>
      <c r="AA63" t="s">
        <v>74</v>
      </c>
      <c r="AB63" t="s">
        <v>1231</v>
      </c>
      <c r="AC63" t="s">
        <v>1232</v>
      </c>
      <c r="AD63" t="s">
        <v>1233</v>
      </c>
      <c r="AE63" t="s">
        <v>1234</v>
      </c>
      <c r="AF63" t="s">
        <v>74</v>
      </c>
      <c r="AG63">
        <v>5</v>
      </c>
      <c r="AH63">
        <v>4</v>
      </c>
      <c r="AI63">
        <v>4</v>
      </c>
      <c r="AJ63">
        <v>0</v>
      </c>
      <c r="AK63">
        <v>8</v>
      </c>
      <c r="AL63" t="s">
        <v>1216</v>
      </c>
      <c r="AM63" t="s">
        <v>1080</v>
      </c>
      <c r="AN63" t="s">
        <v>1235</v>
      </c>
      <c r="AO63" t="s">
        <v>1236</v>
      </c>
      <c r="AP63" t="s">
        <v>1237</v>
      </c>
      <c r="AQ63" t="s">
        <v>1238</v>
      </c>
      <c r="AR63" t="s">
        <v>1239</v>
      </c>
      <c r="AS63" t="s">
        <v>74</v>
      </c>
      <c r="AT63" t="s">
        <v>74</v>
      </c>
      <c r="AU63">
        <v>2019</v>
      </c>
      <c r="AV63" t="s">
        <v>74</v>
      </c>
      <c r="AW63" t="s">
        <v>74</v>
      </c>
      <c r="AX63" t="s">
        <v>74</v>
      </c>
      <c r="AY63" t="s">
        <v>74</v>
      </c>
      <c r="AZ63" t="s">
        <v>74</v>
      </c>
      <c r="BA63" t="s">
        <v>74</v>
      </c>
      <c r="BB63" t="s">
        <v>74</v>
      </c>
      <c r="BC63" t="s">
        <v>74</v>
      </c>
      <c r="BD63" t="s">
        <v>74</v>
      </c>
      <c r="BE63" t="s">
        <v>74</v>
      </c>
      <c r="BF63" t="s">
        <v>74</v>
      </c>
      <c r="BG63" t="s">
        <v>74</v>
      </c>
      <c r="BH63" t="s">
        <v>74</v>
      </c>
      <c r="BI63">
        <v>4</v>
      </c>
      <c r="BJ63" t="s">
        <v>1240</v>
      </c>
      <c r="BK63" t="s">
        <v>190</v>
      </c>
      <c r="BL63" t="s">
        <v>1241</v>
      </c>
      <c r="BM63" t="s">
        <v>1242</v>
      </c>
      <c r="BN63" t="s">
        <v>74</v>
      </c>
      <c r="BO63" t="s">
        <v>74</v>
      </c>
      <c r="BP63" t="s">
        <v>74</v>
      </c>
      <c r="BQ63" t="s">
        <v>74</v>
      </c>
      <c r="BR63" t="s">
        <v>104</v>
      </c>
      <c r="BS63" t="s">
        <v>1243</v>
      </c>
      <c r="BT63" t="str">
        <f>HYPERLINK("https%3A%2F%2Fwww.webofscience.com%2Fwos%2Fwoscc%2Ffull-record%2FWOS:000492031100046","View Full Record in Web of Science")</f>
        <v>View Full Record in Web of Science</v>
      </c>
    </row>
    <row r="64" spans="1:72" x14ac:dyDescent="0.15">
      <c r="A64" t="s">
        <v>164</v>
      </c>
      <c r="B64" t="s">
        <v>1244</v>
      </c>
      <c r="C64" t="s">
        <v>74</v>
      </c>
      <c r="D64" t="s">
        <v>74</v>
      </c>
      <c r="E64" t="s">
        <v>1216</v>
      </c>
      <c r="F64" t="s">
        <v>1245</v>
      </c>
      <c r="G64" t="s">
        <v>74</v>
      </c>
      <c r="H64" t="s">
        <v>74</v>
      </c>
      <c r="I64" t="s">
        <v>1246</v>
      </c>
      <c r="J64" t="s">
        <v>1247</v>
      </c>
      <c r="K64" t="s">
        <v>74</v>
      </c>
      <c r="L64" t="s">
        <v>74</v>
      </c>
      <c r="M64" t="s">
        <v>78</v>
      </c>
      <c r="N64" t="s">
        <v>172</v>
      </c>
      <c r="O64" t="s">
        <v>1248</v>
      </c>
      <c r="P64" t="s">
        <v>1249</v>
      </c>
      <c r="Q64" t="s">
        <v>1250</v>
      </c>
      <c r="R64" t="s">
        <v>74</v>
      </c>
      <c r="S64" t="s">
        <v>74</v>
      </c>
      <c r="T64" t="s">
        <v>74</v>
      </c>
      <c r="U64" t="s">
        <v>74</v>
      </c>
      <c r="V64" t="s">
        <v>74</v>
      </c>
      <c r="W64" t="s">
        <v>1251</v>
      </c>
      <c r="X64" t="s">
        <v>1252</v>
      </c>
      <c r="Y64" t="s">
        <v>1253</v>
      </c>
      <c r="Z64" t="s">
        <v>1254</v>
      </c>
      <c r="AA64" t="s">
        <v>1255</v>
      </c>
      <c r="AB64" t="s">
        <v>1256</v>
      </c>
      <c r="AC64" t="s">
        <v>74</v>
      </c>
      <c r="AD64" t="s">
        <v>74</v>
      </c>
      <c r="AE64" t="s">
        <v>74</v>
      </c>
      <c r="AF64" t="s">
        <v>74</v>
      </c>
      <c r="AG64">
        <v>0</v>
      </c>
      <c r="AH64">
        <v>2</v>
      </c>
      <c r="AI64">
        <v>2</v>
      </c>
      <c r="AJ64">
        <v>0</v>
      </c>
      <c r="AK64">
        <v>0</v>
      </c>
      <c r="AL64" t="s">
        <v>1216</v>
      </c>
      <c r="AM64" t="s">
        <v>1080</v>
      </c>
      <c r="AN64" t="s">
        <v>1235</v>
      </c>
      <c r="AO64" t="s">
        <v>74</v>
      </c>
      <c r="AP64" t="s">
        <v>74</v>
      </c>
      <c r="AQ64" t="s">
        <v>1257</v>
      </c>
      <c r="AR64" t="s">
        <v>74</v>
      </c>
      <c r="AS64" t="s">
        <v>74</v>
      </c>
      <c r="AT64" t="s">
        <v>74</v>
      </c>
      <c r="AU64">
        <v>2019</v>
      </c>
      <c r="AV64" t="s">
        <v>74</v>
      </c>
      <c r="AW64" t="s">
        <v>74</v>
      </c>
      <c r="AX64" t="s">
        <v>74</v>
      </c>
      <c r="AY64" t="s">
        <v>74</v>
      </c>
      <c r="AZ64" t="s">
        <v>74</v>
      </c>
      <c r="BA64" t="s">
        <v>74</v>
      </c>
      <c r="BB64" t="s">
        <v>74</v>
      </c>
      <c r="BC64" t="s">
        <v>74</v>
      </c>
      <c r="BD64" t="s">
        <v>74</v>
      </c>
      <c r="BE64" t="s">
        <v>74</v>
      </c>
      <c r="BF64" t="s">
        <v>74</v>
      </c>
      <c r="BG64" t="s">
        <v>74</v>
      </c>
      <c r="BH64" t="s">
        <v>74</v>
      </c>
      <c r="BI64">
        <v>1</v>
      </c>
      <c r="BJ64" t="s">
        <v>1258</v>
      </c>
      <c r="BK64" t="s">
        <v>190</v>
      </c>
      <c r="BL64" t="s">
        <v>1241</v>
      </c>
      <c r="BM64" t="s">
        <v>1259</v>
      </c>
      <c r="BN64" t="s">
        <v>74</v>
      </c>
      <c r="BO64" t="s">
        <v>74</v>
      </c>
      <c r="BP64" t="s">
        <v>74</v>
      </c>
      <c r="BQ64" t="s">
        <v>74</v>
      </c>
      <c r="BR64" t="s">
        <v>104</v>
      </c>
      <c r="BS64" t="s">
        <v>1260</v>
      </c>
      <c r="BT64" t="str">
        <f>HYPERLINK("https%3A%2F%2Fwww.webofscience.com%2Fwos%2Fwoscc%2Ffull-record%2FWOS:000491262700115","View Full Record in Web of Science")</f>
        <v>View Full Record in Web of Science</v>
      </c>
    </row>
    <row r="65" spans="1:72" x14ac:dyDescent="0.15">
      <c r="A65" t="s">
        <v>164</v>
      </c>
      <c r="B65" t="s">
        <v>1261</v>
      </c>
      <c r="C65" t="s">
        <v>74</v>
      </c>
      <c r="D65" t="s">
        <v>74</v>
      </c>
      <c r="E65" t="s">
        <v>1216</v>
      </c>
      <c r="F65" t="s">
        <v>1262</v>
      </c>
      <c r="G65" t="s">
        <v>74</v>
      </c>
      <c r="H65" t="s">
        <v>74</v>
      </c>
      <c r="I65" t="s">
        <v>1263</v>
      </c>
      <c r="J65" t="s">
        <v>1247</v>
      </c>
      <c r="K65" t="s">
        <v>74</v>
      </c>
      <c r="L65" t="s">
        <v>74</v>
      </c>
      <c r="M65" t="s">
        <v>78</v>
      </c>
      <c r="N65" t="s">
        <v>172</v>
      </c>
      <c r="O65" t="s">
        <v>1248</v>
      </c>
      <c r="P65" t="s">
        <v>1249</v>
      </c>
      <c r="Q65" t="s">
        <v>1250</v>
      </c>
      <c r="R65" t="s">
        <v>74</v>
      </c>
      <c r="S65" t="s">
        <v>74</v>
      </c>
      <c r="T65" t="s">
        <v>74</v>
      </c>
      <c r="U65" t="s">
        <v>74</v>
      </c>
      <c r="V65" t="s">
        <v>74</v>
      </c>
      <c r="W65" t="s">
        <v>1264</v>
      </c>
      <c r="X65" t="s">
        <v>1265</v>
      </c>
      <c r="Y65" t="s">
        <v>1266</v>
      </c>
      <c r="Z65" t="s">
        <v>1267</v>
      </c>
      <c r="AA65" t="s">
        <v>74</v>
      </c>
      <c r="AB65" t="s">
        <v>1268</v>
      </c>
      <c r="AC65" t="s">
        <v>74</v>
      </c>
      <c r="AD65" t="s">
        <v>74</v>
      </c>
      <c r="AE65" t="s">
        <v>74</v>
      </c>
      <c r="AF65" t="s">
        <v>74</v>
      </c>
      <c r="AG65">
        <v>1</v>
      </c>
      <c r="AH65">
        <v>0</v>
      </c>
      <c r="AI65">
        <v>0</v>
      </c>
      <c r="AJ65">
        <v>0</v>
      </c>
      <c r="AK65">
        <v>0</v>
      </c>
      <c r="AL65" t="s">
        <v>1216</v>
      </c>
      <c r="AM65" t="s">
        <v>1080</v>
      </c>
      <c r="AN65" t="s">
        <v>1235</v>
      </c>
      <c r="AO65" t="s">
        <v>74</v>
      </c>
      <c r="AP65" t="s">
        <v>74</v>
      </c>
      <c r="AQ65" t="s">
        <v>1257</v>
      </c>
      <c r="AR65" t="s">
        <v>74</v>
      </c>
      <c r="AS65" t="s">
        <v>74</v>
      </c>
      <c r="AT65" t="s">
        <v>74</v>
      </c>
      <c r="AU65">
        <v>2019</v>
      </c>
      <c r="AV65" t="s">
        <v>74</v>
      </c>
      <c r="AW65" t="s">
        <v>74</v>
      </c>
      <c r="AX65" t="s">
        <v>74</v>
      </c>
      <c r="AY65" t="s">
        <v>74</v>
      </c>
      <c r="AZ65" t="s">
        <v>74</v>
      </c>
      <c r="BA65" t="s">
        <v>74</v>
      </c>
      <c r="BB65" t="s">
        <v>74</v>
      </c>
      <c r="BC65" t="s">
        <v>74</v>
      </c>
      <c r="BD65" t="s">
        <v>74</v>
      </c>
      <c r="BE65" t="s">
        <v>74</v>
      </c>
      <c r="BF65" t="s">
        <v>74</v>
      </c>
      <c r="BG65" t="s">
        <v>74</v>
      </c>
      <c r="BH65" t="s">
        <v>74</v>
      </c>
      <c r="BI65">
        <v>1</v>
      </c>
      <c r="BJ65" t="s">
        <v>1258</v>
      </c>
      <c r="BK65" t="s">
        <v>190</v>
      </c>
      <c r="BL65" t="s">
        <v>1241</v>
      </c>
      <c r="BM65" t="s">
        <v>1259</v>
      </c>
      <c r="BN65" t="s">
        <v>74</v>
      </c>
      <c r="BO65" t="s">
        <v>74</v>
      </c>
      <c r="BP65" t="s">
        <v>74</v>
      </c>
      <c r="BQ65" t="s">
        <v>74</v>
      </c>
      <c r="BR65" t="s">
        <v>104</v>
      </c>
      <c r="BS65" t="s">
        <v>1269</v>
      </c>
      <c r="BT65" t="str">
        <f>HYPERLINK("https%3A%2F%2Fwww.webofscience.com%2Fwos%2Fwoscc%2Ffull-record%2FWOS:000491262700058","View Full Record in Web of Science")</f>
        <v>View Full Record in Web of Science</v>
      </c>
    </row>
    <row r="66" spans="1:72" x14ac:dyDescent="0.15">
      <c r="A66" t="s">
        <v>164</v>
      </c>
      <c r="B66" t="s">
        <v>1270</v>
      </c>
      <c r="C66" t="s">
        <v>74</v>
      </c>
      <c r="D66" t="s">
        <v>74</v>
      </c>
      <c r="E66" t="s">
        <v>1216</v>
      </c>
      <c r="F66" t="s">
        <v>1271</v>
      </c>
      <c r="G66" t="s">
        <v>74</v>
      </c>
      <c r="H66" t="s">
        <v>74</v>
      </c>
      <c r="I66" t="s">
        <v>1272</v>
      </c>
      <c r="J66" t="s">
        <v>1247</v>
      </c>
      <c r="K66" t="s">
        <v>74</v>
      </c>
      <c r="L66" t="s">
        <v>74</v>
      </c>
      <c r="M66" t="s">
        <v>78</v>
      </c>
      <c r="N66" t="s">
        <v>172</v>
      </c>
      <c r="O66" t="s">
        <v>1248</v>
      </c>
      <c r="P66" t="s">
        <v>1249</v>
      </c>
      <c r="Q66" t="s">
        <v>1250</v>
      </c>
      <c r="R66" t="s">
        <v>74</v>
      </c>
      <c r="S66" t="s">
        <v>74</v>
      </c>
      <c r="T66" t="s">
        <v>74</v>
      </c>
      <c r="U66" t="s">
        <v>74</v>
      </c>
      <c r="V66" t="s">
        <v>74</v>
      </c>
      <c r="W66" t="s">
        <v>1273</v>
      </c>
      <c r="X66" t="s">
        <v>1274</v>
      </c>
      <c r="Y66" t="s">
        <v>1275</v>
      </c>
      <c r="Z66" t="s">
        <v>74</v>
      </c>
      <c r="AA66" t="s">
        <v>1276</v>
      </c>
      <c r="AB66" t="s">
        <v>74</v>
      </c>
      <c r="AC66" t="s">
        <v>74</v>
      </c>
      <c r="AD66" t="s">
        <v>74</v>
      </c>
      <c r="AE66" t="s">
        <v>74</v>
      </c>
      <c r="AF66" t="s">
        <v>74</v>
      </c>
      <c r="AG66">
        <v>0</v>
      </c>
      <c r="AH66">
        <v>0</v>
      </c>
      <c r="AI66">
        <v>0</v>
      </c>
      <c r="AJ66">
        <v>0</v>
      </c>
      <c r="AK66">
        <v>0</v>
      </c>
      <c r="AL66" t="s">
        <v>1216</v>
      </c>
      <c r="AM66" t="s">
        <v>1080</v>
      </c>
      <c r="AN66" t="s">
        <v>1235</v>
      </c>
      <c r="AO66" t="s">
        <v>74</v>
      </c>
      <c r="AP66" t="s">
        <v>74</v>
      </c>
      <c r="AQ66" t="s">
        <v>1257</v>
      </c>
      <c r="AR66" t="s">
        <v>74</v>
      </c>
      <c r="AS66" t="s">
        <v>74</v>
      </c>
      <c r="AT66" t="s">
        <v>74</v>
      </c>
      <c r="AU66">
        <v>2019</v>
      </c>
      <c r="AV66" t="s">
        <v>74</v>
      </c>
      <c r="AW66" t="s">
        <v>74</v>
      </c>
      <c r="AX66" t="s">
        <v>74</v>
      </c>
      <c r="AY66" t="s">
        <v>74</v>
      </c>
      <c r="AZ66" t="s">
        <v>74</v>
      </c>
      <c r="BA66" t="s">
        <v>74</v>
      </c>
      <c r="BB66" t="s">
        <v>74</v>
      </c>
      <c r="BC66" t="s">
        <v>74</v>
      </c>
      <c r="BD66" t="s">
        <v>74</v>
      </c>
      <c r="BE66" t="s">
        <v>74</v>
      </c>
      <c r="BF66" t="s">
        <v>74</v>
      </c>
      <c r="BG66" t="s">
        <v>74</v>
      </c>
      <c r="BH66" t="s">
        <v>74</v>
      </c>
      <c r="BI66">
        <v>1</v>
      </c>
      <c r="BJ66" t="s">
        <v>1258</v>
      </c>
      <c r="BK66" t="s">
        <v>190</v>
      </c>
      <c r="BL66" t="s">
        <v>1241</v>
      </c>
      <c r="BM66" t="s">
        <v>1259</v>
      </c>
      <c r="BN66" t="s">
        <v>74</v>
      </c>
      <c r="BO66" t="s">
        <v>74</v>
      </c>
      <c r="BP66" t="s">
        <v>74</v>
      </c>
      <c r="BQ66" t="s">
        <v>74</v>
      </c>
      <c r="BR66" t="s">
        <v>104</v>
      </c>
      <c r="BS66" t="s">
        <v>1277</v>
      </c>
      <c r="BT66" t="str">
        <f>HYPERLINK("https%3A%2F%2Fwww.webofscience.com%2Fwos%2Fwoscc%2Ffull-record%2FWOS:000491262700308","View Full Record in Web of Science")</f>
        <v>View Full Record in Web of Science</v>
      </c>
    </row>
    <row r="67" spans="1:72" x14ac:dyDescent="0.15">
      <c r="A67" t="s">
        <v>164</v>
      </c>
      <c r="B67" t="s">
        <v>1278</v>
      </c>
      <c r="C67" t="s">
        <v>74</v>
      </c>
      <c r="D67" t="s">
        <v>74</v>
      </c>
      <c r="E67" t="s">
        <v>1216</v>
      </c>
      <c r="F67" t="s">
        <v>1279</v>
      </c>
      <c r="G67" t="s">
        <v>74</v>
      </c>
      <c r="H67" t="s">
        <v>74</v>
      </c>
      <c r="I67" t="s">
        <v>1280</v>
      </c>
      <c r="J67" t="s">
        <v>1247</v>
      </c>
      <c r="K67" t="s">
        <v>74</v>
      </c>
      <c r="L67" t="s">
        <v>74</v>
      </c>
      <c r="M67" t="s">
        <v>78</v>
      </c>
      <c r="N67" t="s">
        <v>172</v>
      </c>
      <c r="O67" t="s">
        <v>1248</v>
      </c>
      <c r="P67" t="s">
        <v>1249</v>
      </c>
      <c r="Q67" t="s">
        <v>1250</v>
      </c>
      <c r="R67" t="s">
        <v>74</v>
      </c>
      <c r="S67" t="s">
        <v>74</v>
      </c>
      <c r="T67" t="s">
        <v>74</v>
      </c>
      <c r="U67" t="s">
        <v>74</v>
      </c>
      <c r="V67" t="s">
        <v>74</v>
      </c>
      <c r="W67" t="s">
        <v>1281</v>
      </c>
      <c r="X67" t="s">
        <v>1282</v>
      </c>
      <c r="Y67" t="s">
        <v>1283</v>
      </c>
      <c r="Z67" t="s">
        <v>1284</v>
      </c>
      <c r="AA67" t="s">
        <v>1285</v>
      </c>
      <c r="AB67" t="s">
        <v>1286</v>
      </c>
      <c r="AC67" t="s">
        <v>1287</v>
      </c>
      <c r="AD67" t="s">
        <v>74</v>
      </c>
      <c r="AE67" t="s">
        <v>1288</v>
      </c>
      <c r="AF67" t="s">
        <v>74</v>
      </c>
      <c r="AG67">
        <v>1</v>
      </c>
      <c r="AH67">
        <v>0</v>
      </c>
      <c r="AI67">
        <v>0</v>
      </c>
      <c r="AJ67">
        <v>0</v>
      </c>
      <c r="AK67">
        <v>0</v>
      </c>
      <c r="AL67" t="s">
        <v>1216</v>
      </c>
      <c r="AM67" t="s">
        <v>1080</v>
      </c>
      <c r="AN67" t="s">
        <v>1235</v>
      </c>
      <c r="AO67" t="s">
        <v>74</v>
      </c>
      <c r="AP67" t="s">
        <v>74</v>
      </c>
      <c r="AQ67" t="s">
        <v>1257</v>
      </c>
      <c r="AR67" t="s">
        <v>74</v>
      </c>
      <c r="AS67" t="s">
        <v>74</v>
      </c>
      <c r="AT67" t="s">
        <v>74</v>
      </c>
      <c r="AU67">
        <v>2019</v>
      </c>
      <c r="AV67" t="s">
        <v>74</v>
      </c>
      <c r="AW67" t="s">
        <v>74</v>
      </c>
      <c r="AX67" t="s">
        <v>74</v>
      </c>
      <c r="AY67" t="s">
        <v>74</v>
      </c>
      <c r="AZ67" t="s">
        <v>74</v>
      </c>
      <c r="BA67" t="s">
        <v>74</v>
      </c>
      <c r="BB67" t="s">
        <v>74</v>
      </c>
      <c r="BC67" t="s">
        <v>74</v>
      </c>
      <c r="BD67" t="s">
        <v>74</v>
      </c>
      <c r="BE67" t="s">
        <v>1289</v>
      </c>
      <c r="BF67" t="str">
        <f>HYPERLINK("http://dx.doi.org/10.23919/ursiap-rasc.2019.8738614","http://dx.doi.org/10.23919/ursiap-rasc.2019.8738614")</f>
        <v>http://dx.doi.org/10.23919/ursiap-rasc.2019.8738614</v>
      </c>
      <c r="BG67" t="s">
        <v>74</v>
      </c>
      <c r="BH67" t="s">
        <v>74</v>
      </c>
      <c r="BI67">
        <v>1</v>
      </c>
      <c r="BJ67" t="s">
        <v>1258</v>
      </c>
      <c r="BK67" t="s">
        <v>190</v>
      </c>
      <c r="BL67" t="s">
        <v>1241</v>
      </c>
      <c r="BM67" t="s">
        <v>1259</v>
      </c>
      <c r="BN67" t="s">
        <v>74</v>
      </c>
      <c r="BO67" t="s">
        <v>74</v>
      </c>
      <c r="BP67" t="s">
        <v>74</v>
      </c>
      <c r="BQ67" t="s">
        <v>74</v>
      </c>
      <c r="BR67" t="s">
        <v>104</v>
      </c>
      <c r="BS67" t="s">
        <v>1290</v>
      </c>
      <c r="BT67" t="str">
        <f>HYPERLINK("https%3A%2F%2Fwww.webofscience.com%2Fwos%2Fwoscc%2Ffull-record%2FWOS:000491262700467","View Full Record in Web of Science")</f>
        <v>View Full Record in Web of Science</v>
      </c>
    </row>
    <row r="68" spans="1:72" x14ac:dyDescent="0.15">
      <c r="A68" t="s">
        <v>133</v>
      </c>
      <c r="B68" t="s">
        <v>1291</v>
      </c>
      <c r="C68" t="s">
        <v>74</v>
      </c>
      <c r="D68" t="s">
        <v>1292</v>
      </c>
      <c r="E68" t="s">
        <v>74</v>
      </c>
      <c r="F68" t="s">
        <v>1293</v>
      </c>
      <c r="G68" t="s">
        <v>74</v>
      </c>
      <c r="H68" t="s">
        <v>74</v>
      </c>
      <c r="I68" t="s">
        <v>1294</v>
      </c>
      <c r="J68" t="s">
        <v>1295</v>
      </c>
      <c r="K68" t="s">
        <v>1296</v>
      </c>
      <c r="L68" t="s">
        <v>74</v>
      </c>
      <c r="M68" t="s">
        <v>78</v>
      </c>
      <c r="N68" t="s">
        <v>1297</v>
      </c>
      <c r="O68" t="s">
        <v>74</v>
      </c>
      <c r="P68" t="s">
        <v>74</v>
      </c>
      <c r="Q68" t="s">
        <v>74</v>
      </c>
      <c r="R68" t="s">
        <v>74</v>
      </c>
      <c r="S68" t="s">
        <v>74</v>
      </c>
      <c r="T68" t="s">
        <v>1298</v>
      </c>
      <c r="U68" t="s">
        <v>1299</v>
      </c>
      <c r="V68" t="s">
        <v>1300</v>
      </c>
      <c r="W68" t="s">
        <v>1301</v>
      </c>
      <c r="X68" t="s">
        <v>1302</v>
      </c>
      <c r="Y68" t="s">
        <v>1303</v>
      </c>
      <c r="Z68" t="s">
        <v>1304</v>
      </c>
      <c r="AA68" t="s">
        <v>1305</v>
      </c>
      <c r="AB68" t="s">
        <v>74</v>
      </c>
      <c r="AC68" t="s">
        <v>74</v>
      </c>
      <c r="AD68" t="s">
        <v>74</v>
      </c>
      <c r="AE68" t="s">
        <v>74</v>
      </c>
      <c r="AF68" t="s">
        <v>74</v>
      </c>
      <c r="AG68">
        <v>184</v>
      </c>
      <c r="AH68">
        <v>44</v>
      </c>
      <c r="AI68">
        <v>47</v>
      </c>
      <c r="AJ68">
        <v>5</v>
      </c>
      <c r="AK68">
        <v>78</v>
      </c>
      <c r="AL68" t="s">
        <v>1306</v>
      </c>
      <c r="AM68" t="s">
        <v>1307</v>
      </c>
      <c r="AN68" t="s">
        <v>1308</v>
      </c>
      <c r="AO68" t="s">
        <v>1309</v>
      </c>
      <c r="AP68" t="s">
        <v>74</v>
      </c>
      <c r="AQ68" t="s">
        <v>1310</v>
      </c>
      <c r="AR68" t="s">
        <v>1311</v>
      </c>
      <c r="AS68" t="s">
        <v>1312</v>
      </c>
      <c r="AT68" t="s">
        <v>74</v>
      </c>
      <c r="AU68">
        <v>2019</v>
      </c>
      <c r="AV68">
        <v>44</v>
      </c>
      <c r="AW68" t="s">
        <v>74</v>
      </c>
      <c r="AX68" t="s">
        <v>74</v>
      </c>
      <c r="AY68" t="s">
        <v>74</v>
      </c>
      <c r="AZ68" t="s">
        <v>74</v>
      </c>
      <c r="BA68" t="s">
        <v>74</v>
      </c>
      <c r="BB68">
        <v>1</v>
      </c>
      <c r="BC68">
        <v>30</v>
      </c>
      <c r="BD68" t="s">
        <v>74</v>
      </c>
      <c r="BE68" t="s">
        <v>1313</v>
      </c>
      <c r="BF68" t="str">
        <f>HYPERLINK("http://dx.doi.org/10.1146/annurev-environ-101718-033236","http://dx.doi.org/10.1146/annurev-environ-101718-033236")</f>
        <v>http://dx.doi.org/10.1146/annurev-environ-101718-033236</v>
      </c>
      <c r="BG68" t="s">
        <v>74</v>
      </c>
      <c r="BH68" t="s">
        <v>74</v>
      </c>
      <c r="BI68">
        <v>30</v>
      </c>
      <c r="BJ68" t="s">
        <v>1314</v>
      </c>
      <c r="BK68" t="s">
        <v>1315</v>
      </c>
      <c r="BL68" t="s">
        <v>799</v>
      </c>
      <c r="BM68" t="s">
        <v>1316</v>
      </c>
      <c r="BN68" t="s">
        <v>74</v>
      </c>
      <c r="BO68" t="s">
        <v>131</v>
      </c>
      <c r="BP68" t="s">
        <v>74</v>
      </c>
      <c r="BQ68" t="s">
        <v>74</v>
      </c>
      <c r="BR68" t="s">
        <v>104</v>
      </c>
      <c r="BS68" t="s">
        <v>1317</v>
      </c>
      <c r="BT68" t="str">
        <f>HYPERLINK("https%3A%2F%2Fwww.webofscience.com%2Fwos%2Fwoscc%2Ffull-record%2FWOS:000491256100001","View Full Record in Web of Science")</f>
        <v>View Full Record in Web of Science</v>
      </c>
    </row>
    <row r="69" spans="1:72" x14ac:dyDescent="0.15">
      <c r="A69" t="s">
        <v>72</v>
      </c>
      <c r="B69" t="s">
        <v>1318</v>
      </c>
      <c r="C69" t="s">
        <v>74</v>
      </c>
      <c r="D69" t="s">
        <v>74</v>
      </c>
      <c r="E69" t="s">
        <v>74</v>
      </c>
      <c r="F69" t="s">
        <v>1319</v>
      </c>
      <c r="G69" t="s">
        <v>74</v>
      </c>
      <c r="H69" t="s">
        <v>74</v>
      </c>
      <c r="I69" t="s">
        <v>1320</v>
      </c>
      <c r="J69" t="s">
        <v>1321</v>
      </c>
      <c r="K69" t="s">
        <v>74</v>
      </c>
      <c r="L69" t="s">
        <v>74</v>
      </c>
      <c r="M69" t="s">
        <v>78</v>
      </c>
      <c r="N69" t="s">
        <v>79</v>
      </c>
      <c r="O69" t="s">
        <v>74</v>
      </c>
      <c r="P69" t="s">
        <v>74</v>
      </c>
      <c r="Q69" t="s">
        <v>74</v>
      </c>
      <c r="R69" t="s">
        <v>74</v>
      </c>
      <c r="S69" t="s">
        <v>74</v>
      </c>
      <c r="T69" t="s">
        <v>1322</v>
      </c>
      <c r="U69" t="s">
        <v>1323</v>
      </c>
      <c r="V69" t="s">
        <v>1324</v>
      </c>
      <c r="W69" t="s">
        <v>1325</v>
      </c>
      <c r="X69" t="s">
        <v>1326</v>
      </c>
      <c r="Y69" t="s">
        <v>1327</v>
      </c>
      <c r="Z69" t="s">
        <v>1328</v>
      </c>
      <c r="AA69" t="s">
        <v>1329</v>
      </c>
      <c r="AB69" t="s">
        <v>1330</v>
      </c>
      <c r="AC69" t="s">
        <v>1331</v>
      </c>
      <c r="AD69" t="s">
        <v>1332</v>
      </c>
      <c r="AE69" t="s">
        <v>1333</v>
      </c>
      <c r="AF69" t="s">
        <v>74</v>
      </c>
      <c r="AG69">
        <v>67</v>
      </c>
      <c r="AH69">
        <v>8</v>
      </c>
      <c r="AI69">
        <v>8</v>
      </c>
      <c r="AJ69">
        <v>1</v>
      </c>
      <c r="AK69">
        <v>1</v>
      </c>
      <c r="AL69" t="s">
        <v>1334</v>
      </c>
      <c r="AM69" t="s">
        <v>1335</v>
      </c>
      <c r="AN69" t="s">
        <v>1336</v>
      </c>
      <c r="AO69" t="s">
        <v>1337</v>
      </c>
      <c r="AP69" t="s">
        <v>74</v>
      </c>
      <c r="AQ69" t="s">
        <v>74</v>
      </c>
      <c r="AR69" t="s">
        <v>1338</v>
      </c>
      <c r="AS69" t="s">
        <v>1339</v>
      </c>
      <c r="AT69" t="s">
        <v>74</v>
      </c>
      <c r="AU69">
        <v>2019</v>
      </c>
      <c r="AV69">
        <v>20</v>
      </c>
      <c r="AW69" t="s">
        <v>74</v>
      </c>
      <c r="AX69" t="s">
        <v>74</v>
      </c>
      <c r="AY69" t="s">
        <v>74</v>
      </c>
      <c r="AZ69" t="s">
        <v>74</v>
      </c>
      <c r="BA69" t="s">
        <v>74</v>
      </c>
      <c r="BB69" t="s">
        <v>74</v>
      </c>
      <c r="BC69" t="s">
        <v>74</v>
      </c>
      <c r="BD69">
        <v>147</v>
      </c>
      <c r="BE69" t="s">
        <v>74</v>
      </c>
      <c r="BF69" t="s">
        <v>74</v>
      </c>
      <c r="BG69" t="s">
        <v>74</v>
      </c>
      <c r="BH69" t="s">
        <v>74</v>
      </c>
      <c r="BI69">
        <v>50</v>
      </c>
      <c r="BJ69" t="s">
        <v>1340</v>
      </c>
      <c r="BK69" t="s">
        <v>101</v>
      </c>
      <c r="BL69" t="s">
        <v>1341</v>
      </c>
      <c r="BM69" t="s">
        <v>1342</v>
      </c>
      <c r="BN69" t="s">
        <v>74</v>
      </c>
      <c r="BO69" t="s">
        <v>74</v>
      </c>
      <c r="BP69" t="s">
        <v>74</v>
      </c>
      <c r="BQ69" t="s">
        <v>74</v>
      </c>
      <c r="BR69" t="s">
        <v>104</v>
      </c>
      <c r="BS69" t="s">
        <v>1343</v>
      </c>
      <c r="BT69" t="str">
        <f>HYPERLINK("https%3A%2F%2Fwww.webofscience.com%2Fwos%2Fwoscc%2Ffull-record%2FWOS:000491132200011","View Full Record in Web of Science")</f>
        <v>View Full Record in Web of Science</v>
      </c>
    </row>
    <row r="70" spans="1:72" x14ac:dyDescent="0.15">
      <c r="A70" t="s">
        <v>72</v>
      </c>
      <c r="B70" t="s">
        <v>1344</v>
      </c>
      <c r="C70" t="s">
        <v>74</v>
      </c>
      <c r="D70" t="s">
        <v>74</v>
      </c>
      <c r="E70" t="s">
        <v>74</v>
      </c>
      <c r="F70" t="s">
        <v>1345</v>
      </c>
      <c r="G70" t="s">
        <v>74</v>
      </c>
      <c r="H70" t="s">
        <v>74</v>
      </c>
      <c r="I70" t="s">
        <v>1346</v>
      </c>
      <c r="J70" t="s">
        <v>1347</v>
      </c>
      <c r="K70" t="s">
        <v>74</v>
      </c>
      <c r="L70" t="s">
        <v>74</v>
      </c>
      <c r="M70" t="s">
        <v>78</v>
      </c>
      <c r="N70" t="s">
        <v>79</v>
      </c>
      <c r="O70" t="s">
        <v>74</v>
      </c>
      <c r="P70" t="s">
        <v>74</v>
      </c>
      <c r="Q70" t="s">
        <v>74</v>
      </c>
      <c r="R70" t="s">
        <v>74</v>
      </c>
      <c r="S70" t="s">
        <v>74</v>
      </c>
      <c r="T70" t="s">
        <v>1348</v>
      </c>
      <c r="U70" t="s">
        <v>1349</v>
      </c>
      <c r="V70" t="s">
        <v>1350</v>
      </c>
      <c r="W70" t="s">
        <v>1351</v>
      </c>
      <c r="X70" t="s">
        <v>74</v>
      </c>
      <c r="Y70" t="s">
        <v>1352</v>
      </c>
      <c r="Z70" t="s">
        <v>1353</v>
      </c>
      <c r="AA70" t="s">
        <v>1354</v>
      </c>
      <c r="AB70" t="s">
        <v>1355</v>
      </c>
      <c r="AC70" t="s">
        <v>74</v>
      </c>
      <c r="AD70" t="s">
        <v>74</v>
      </c>
      <c r="AE70" t="s">
        <v>74</v>
      </c>
      <c r="AF70" t="s">
        <v>74</v>
      </c>
      <c r="AG70">
        <v>64</v>
      </c>
      <c r="AH70">
        <v>0</v>
      </c>
      <c r="AI70">
        <v>0</v>
      </c>
      <c r="AJ70">
        <v>0</v>
      </c>
      <c r="AK70">
        <v>0</v>
      </c>
      <c r="AL70" t="s">
        <v>1356</v>
      </c>
      <c r="AM70" t="s">
        <v>1357</v>
      </c>
      <c r="AN70" t="s">
        <v>1358</v>
      </c>
      <c r="AO70" t="s">
        <v>1359</v>
      </c>
      <c r="AP70" t="s">
        <v>1360</v>
      </c>
      <c r="AQ70" t="s">
        <v>74</v>
      </c>
      <c r="AR70" t="s">
        <v>1347</v>
      </c>
      <c r="AS70" t="s">
        <v>1361</v>
      </c>
      <c r="AT70" t="s">
        <v>74</v>
      </c>
      <c r="AU70">
        <v>2019</v>
      </c>
      <c r="AV70">
        <v>65</v>
      </c>
      <c r="AW70">
        <v>5</v>
      </c>
      <c r="AX70" t="s">
        <v>74</v>
      </c>
      <c r="AY70" t="s">
        <v>74</v>
      </c>
      <c r="AZ70" t="s">
        <v>74</v>
      </c>
      <c r="BA70" t="s">
        <v>74</v>
      </c>
      <c r="BB70">
        <v>425</v>
      </c>
      <c r="BC70">
        <v>433</v>
      </c>
      <c r="BD70" t="s">
        <v>74</v>
      </c>
      <c r="BE70" t="s">
        <v>74</v>
      </c>
      <c r="BF70" t="s">
        <v>74</v>
      </c>
      <c r="BG70" t="s">
        <v>74</v>
      </c>
      <c r="BH70" t="s">
        <v>74</v>
      </c>
      <c r="BI70">
        <v>9</v>
      </c>
      <c r="BJ70" t="s">
        <v>375</v>
      </c>
      <c r="BK70" t="s">
        <v>101</v>
      </c>
      <c r="BL70" t="s">
        <v>375</v>
      </c>
      <c r="BM70" t="s">
        <v>1362</v>
      </c>
      <c r="BN70" t="s">
        <v>74</v>
      </c>
      <c r="BO70" t="s">
        <v>74</v>
      </c>
      <c r="BP70" t="s">
        <v>74</v>
      </c>
      <c r="BQ70" t="s">
        <v>74</v>
      </c>
      <c r="BR70" t="s">
        <v>104</v>
      </c>
      <c r="BS70" t="s">
        <v>1363</v>
      </c>
      <c r="BT70" t="str">
        <f>HYPERLINK("https%3A%2F%2Fwww.webofscience.com%2Fwos%2Fwoscc%2Ffull-record%2FWOS:000491076400003","View Full Record in Web of Science")</f>
        <v>View Full Record in Web of Science</v>
      </c>
    </row>
    <row r="71" spans="1:72" x14ac:dyDescent="0.15">
      <c r="A71" t="s">
        <v>72</v>
      </c>
      <c r="B71" t="s">
        <v>1364</v>
      </c>
      <c r="C71" t="s">
        <v>74</v>
      </c>
      <c r="D71" t="s">
        <v>74</v>
      </c>
      <c r="E71" t="s">
        <v>74</v>
      </c>
      <c r="F71" t="s">
        <v>1365</v>
      </c>
      <c r="G71" t="s">
        <v>74</v>
      </c>
      <c r="H71" t="s">
        <v>74</v>
      </c>
      <c r="I71" t="s">
        <v>1366</v>
      </c>
      <c r="J71" t="s">
        <v>972</v>
      </c>
      <c r="K71" t="s">
        <v>74</v>
      </c>
      <c r="L71" t="s">
        <v>74</v>
      </c>
      <c r="M71" t="s">
        <v>78</v>
      </c>
      <c r="N71" t="s">
        <v>79</v>
      </c>
      <c r="O71" t="s">
        <v>74</v>
      </c>
      <c r="P71" t="s">
        <v>74</v>
      </c>
      <c r="Q71" t="s">
        <v>74</v>
      </c>
      <c r="R71" t="s">
        <v>74</v>
      </c>
      <c r="S71" t="s">
        <v>74</v>
      </c>
      <c r="T71" t="s">
        <v>1367</v>
      </c>
      <c r="U71" t="s">
        <v>1368</v>
      </c>
      <c r="V71" t="s">
        <v>1369</v>
      </c>
      <c r="W71" t="s">
        <v>1370</v>
      </c>
      <c r="X71" t="s">
        <v>1371</v>
      </c>
      <c r="Y71" t="s">
        <v>1372</v>
      </c>
      <c r="Z71" t="s">
        <v>1373</v>
      </c>
      <c r="AA71" t="s">
        <v>1374</v>
      </c>
      <c r="AB71" t="s">
        <v>1375</v>
      </c>
      <c r="AC71" t="s">
        <v>1376</v>
      </c>
      <c r="AD71" t="s">
        <v>1376</v>
      </c>
      <c r="AE71" t="s">
        <v>1377</v>
      </c>
      <c r="AF71" t="s">
        <v>74</v>
      </c>
      <c r="AG71">
        <v>56</v>
      </c>
      <c r="AH71">
        <v>10</v>
      </c>
      <c r="AI71">
        <v>14</v>
      </c>
      <c r="AJ71">
        <v>1</v>
      </c>
      <c r="AK71">
        <v>3</v>
      </c>
      <c r="AL71" t="s">
        <v>985</v>
      </c>
      <c r="AM71" t="s">
        <v>986</v>
      </c>
      <c r="AN71" t="s">
        <v>987</v>
      </c>
      <c r="AO71" t="s">
        <v>988</v>
      </c>
      <c r="AP71" t="s">
        <v>989</v>
      </c>
      <c r="AQ71" t="s">
        <v>74</v>
      </c>
      <c r="AR71" t="s">
        <v>990</v>
      </c>
      <c r="AS71" t="s">
        <v>991</v>
      </c>
      <c r="AT71" t="s">
        <v>74</v>
      </c>
      <c r="AU71">
        <v>2019</v>
      </c>
      <c r="AV71">
        <v>38</v>
      </c>
      <c r="AW71" t="s">
        <v>74</v>
      </c>
      <c r="AX71" t="s">
        <v>74</v>
      </c>
      <c r="AY71" t="s">
        <v>74</v>
      </c>
      <c r="AZ71" t="s">
        <v>74</v>
      </c>
      <c r="BA71" t="s">
        <v>74</v>
      </c>
      <c r="BB71">
        <v>55</v>
      </c>
      <c r="BC71">
        <v>66</v>
      </c>
      <c r="BD71" t="s">
        <v>74</v>
      </c>
      <c r="BE71" t="s">
        <v>1378</v>
      </c>
      <c r="BF71" t="str">
        <f>HYPERLINK("http://dx.doi.org/10.3354/esr00934","http://dx.doi.org/10.3354/esr00934")</f>
        <v>http://dx.doi.org/10.3354/esr00934</v>
      </c>
      <c r="BG71" t="s">
        <v>74</v>
      </c>
      <c r="BH71" t="s">
        <v>74</v>
      </c>
      <c r="BI71">
        <v>12</v>
      </c>
      <c r="BJ71" t="s">
        <v>993</v>
      </c>
      <c r="BK71" t="s">
        <v>101</v>
      </c>
      <c r="BL71" t="s">
        <v>994</v>
      </c>
      <c r="BM71" t="s">
        <v>1379</v>
      </c>
      <c r="BN71" t="s">
        <v>74</v>
      </c>
      <c r="BO71" t="s">
        <v>949</v>
      </c>
      <c r="BP71" t="s">
        <v>74</v>
      </c>
      <c r="BQ71" t="s">
        <v>74</v>
      </c>
      <c r="BR71" t="s">
        <v>104</v>
      </c>
      <c r="BS71" t="s">
        <v>1380</v>
      </c>
      <c r="BT71" t="str">
        <f>HYPERLINK("https%3A%2F%2Fwww.webofscience.com%2Fwos%2Fwoscc%2Ffull-record%2FWOS:000487121600003","View Full Record in Web of Science")</f>
        <v>View Full Record in Web of Science</v>
      </c>
    </row>
    <row r="72" spans="1:72" x14ac:dyDescent="0.15">
      <c r="A72" t="s">
        <v>164</v>
      </c>
      <c r="B72" t="s">
        <v>1381</v>
      </c>
      <c r="C72" t="s">
        <v>74</v>
      </c>
      <c r="D72" t="s">
        <v>1382</v>
      </c>
      <c r="E72" t="s">
        <v>74</v>
      </c>
      <c r="F72" t="s">
        <v>1383</v>
      </c>
      <c r="G72" t="s">
        <v>74</v>
      </c>
      <c r="H72" t="s">
        <v>74</v>
      </c>
      <c r="I72" t="s">
        <v>1384</v>
      </c>
      <c r="J72" t="s">
        <v>1385</v>
      </c>
      <c r="K72" t="s">
        <v>1386</v>
      </c>
      <c r="L72" t="s">
        <v>74</v>
      </c>
      <c r="M72" t="s">
        <v>78</v>
      </c>
      <c r="N72" t="s">
        <v>172</v>
      </c>
      <c r="O72" t="s">
        <v>1387</v>
      </c>
      <c r="P72" t="s">
        <v>1388</v>
      </c>
      <c r="Q72" t="s">
        <v>1389</v>
      </c>
      <c r="R72" t="s">
        <v>74</v>
      </c>
      <c r="S72" t="s">
        <v>74</v>
      </c>
      <c r="T72" t="s">
        <v>1390</v>
      </c>
      <c r="U72" t="s">
        <v>74</v>
      </c>
      <c r="V72" t="s">
        <v>1391</v>
      </c>
      <c r="W72" t="s">
        <v>1392</v>
      </c>
      <c r="X72" t="s">
        <v>1393</v>
      </c>
      <c r="Y72" t="s">
        <v>1394</v>
      </c>
      <c r="Z72" t="s">
        <v>1395</v>
      </c>
      <c r="AA72" t="s">
        <v>1396</v>
      </c>
      <c r="AB72" t="s">
        <v>1397</v>
      </c>
      <c r="AC72" t="s">
        <v>1398</v>
      </c>
      <c r="AD72" t="s">
        <v>1399</v>
      </c>
      <c r="AE72" t="s">
        <v>1400</v>
      </c>
      <c r="AF72" t="s">
        <v>74</v>
      </c>
      <c r="AG72">
        <v>14</v>
      </c>
      <c r="AH72">
        <v>0</v>
      </c>
      <c r="AI72">
        <v>0</v>
      </c>
      <c r="AJ72">
        <v>0</v>
      </c>
      <c r="AK72">
        <v>7</v>
      </c>
      <c r="AL72" t="s">
        <v>1401</v>
      </c>
      <c r="AM72" t="s">
        <v>1402</v>
      </c>
      <c r="AN72" t="s">
        <v>1403</v>
      </c>
      <c r="AO72" t="s">
        <v>1404</v>
      </c>
      <c r="AP72" t="s">
        <v>1405</v>
      </c>
      <c r="AQ72" t="s">
        <v>1406</v>
      </c>
      <c r="AR72" t="s">
        <v>1407</v>
      </c>
      <c r="AS72" t="s">
        <v>74</v>
      </c>
      <c r="AT72" t="s">
        <v>74</v>
      </c>
      <c r="AU72">
        <v>2019</v>
      </c>
      <c r="AV72">
        <v>563</v>
      </c>
      <c r="AW72" t="s">
        <v>74</v>
      </c>
      <c r="AX72" t="s">
        <v>74</v>
      </c>
      <c r="AY72" t="s">
        <v>74</v>
      </c>
      <c r="AZ72" t="s">
        <v>74</v>
      </c>
      <c r="BA72" t="s">
        <v>74</v>
      </c>
      <c r="BB72">
        <v>162</v>
      </c>
      <c r="BC72">
        <v>173</v>
      </c>
      <c r="BD72" t="s">
        <v>74</v>
      </c>
      <c r="BE72" t="s">
        <v>1408</v>
      </c>
      <c r="BF72" t="str">
        <f>HYPERLINK("http://dx.doi.org/10.1007/978-981-13-7759-4_15","http://dx.doi.org/10.1007/978-981-13-7759-4_15")</f>
        <v>http://dx.doi.org/10.1007/978-981-13-7759-4_15</v>
      </c>
      <c r="BG72" t="s">
        <v>74</v>
      </c>
      <c r="BH72" t="s">
        <v>74</v>
      </c>
      <c r="BI72">
        <v>12</v>
      </c>
      <c r="BJ72" t="s">
        <v>1409</v>
      </c>
      <c r="BK72" t="s">
        <v>190</v>
      </c>
      <c r="BL72" t="s">
        <v>1241</v>
      </c>
      <c r="BM72" t="s">
        <v>1410</v>
      </c>
      <c r="BN72" t="s">
        <v>74</v>
      </c>
      <c r="BO72" t="s">
        <v>74</v>
      </c>
      <c r="BP72" t="s">
        <v>74</v>
      </c>
      <c r="BQ72" t="s">
        <v>74</v>
      </c>
      <c r="BR72" t="s">
        <v>104</v>
      </c>
      <c r="BS72" t="s">
        <v>1411</v>
      </c>
      <c r="BT72" t="str">
        <f>HYPERLINK("https%3A%2F%2Fwww.webofscience.com%2Fwos%2Fwoscc%2Ffull-record%2FWOS:000489755400015","View Full Record in Web of Science")</f>
        <v>View Full Record in Web of Science</v>
      </c>
    </row>
    <row r="73" spans="1:72" x14ac:dyDescent="0.15">
      <c r="A73" t="s">
        <v>133</v>
      </c>
      <c r="B73" t="s">
        <v>1412</v>
      </c>
      <c r="C73" t="s">
        <v>74</v>
      </c>
      <c r="D73" t="s">
        <v>1413</v>
      </c>
      <c r="E73" t="s">
        <v>74</v>
      </c>
      <c r="F73" t="s">
        <v>1414</v>
      </c>
      <c r="G73" t="s">
        <v>74</v>
      </c>
      <c r="H73" t="s">
        <v>74</v>
      </c>
      <c r="I73" t="s">
        <v>1415</v>
      </c>
      <c r="J73" t="s">
        <v>1416</v>
      </c>
      <c r="K73" t="s">
        <v>1417</v>
      </c>
      <c r="L73" t="s">
        <v>74</v>
      </c>
      <c r="M73" t="s">
        <v>78</v>
      </c>
      <c r="N73" t="s">
        <v>140</v>
      </c>
      <c r="O73" t="s">
        <v>74</v>
      </c>
      <c r="P73" t="s">
        <v>74</v>
      </c>
      <c r="Q73" t="s">
        <v>74</v>
      </c>
      <c r="R73" t="s">
        <v>74</v>
      </c>
      <c r="S73" t="s">
        <v>74</v>
      </c>
      <c r="T73" t="s">
        <v>1418</v>
      </c>
      <c r="U73" t="s">
        <v>1419</v>
      </c>
      <c r="V73" t="s">
        <v>1420</v>
      </c>
      <c r="W73" t="s">
        <v>1421</v>
      </c>
      <c r="X73" t="s">
        <v>1422</v>
      </c>
      <c r="Y73" t="s">
        <v>1423</v>
      </c>
      <c r="Z73" t="s">
        <v>1424</v>
      </c>
      <c r="AA73" t="s">
        <v>1425</v>
      </c>
      <c r="AB73" t="s">
        <v>1426</v>
      </c>
      <c r="AC73" t="s">
        <v>74</v>
      </c>
      <c r="AD73" t="s">
        <v>74</v>
      </c>
      <c r="AE73" t="s">
        <v>74</v>
      </c>
      <c r="AF73" t="s">
        <v>74</v>
      </c>
      <c r="AG73">
        <v>121</v>
      </c>
      <c r="AH73">
        <v>18</v>
      </c>
      <c r="AI73">
        <v>20</v>
      </c>
      <c r="AJ73">
        <v>0</v>
      </c>
      <c r="AK73">
        <v>7</v>
      </c>
      <c r="AL73" t="s">
        <v>1203</v>
      </c>
      <c r="AM73" t="s">
        <v>1204</v>
      </c>
      <c r="AN73" t="s">
        <v>1205</v>
      </c>
      <c r="AO73" t="s">
        <v>1427</v>
      </c>
      <c r="AP73" t="s">
        <v>74</v>
      </c>
      <c r="AQ73" t="s">
        <v>1428</v>
      </c>
      <c r="AR73" t="s">
        <v>1429</v>
      </c>
      <c r="AS73" t="s">
        <v>74</v>
      </c>
      <c r="AT73" t="s">
        <v>74</v>
      </c>
      <c r="AU73">
        <v>2019</v>
      </c>
      <c r="AV73">
        <v>2</v>
      </c>
      <c r="AW73" t="s">
        <v>74</v>
      </c>
      <c r="AX73" t="s">
        <v>74</v>
      </c>
      <c r="AY73" t="s">
        <v>74</v>
      </c>
      <c r="AZ73" t="s">
        <v>74</v>
      </c>
      <c r="BA73" t="s">
        <v>74</v>
      </c>
      <c r="BB73">
        <v>537</v>
      </c>
      <c r="BC73">
        <v>562</v>
      </c>
      <c r="BD73" t="s">
        <v>74</v>
      </c>
      <c r="BE73" t="s">
        <v>1430</v>
      </c>
      <c r="BF73" t="str">
        <f>HYPERLINK("http://dx.doi.org/10.1007/978-3-319-46425-1_14","http://dx.doi.org/10.1007/978-3-319-46425-1_14")</f>
        <v>http://dx.doi.org/10.1007/978-3-319-46425-1_14</v>
      </c>
      <c r="BG73" t="s">
        <v>1431</v>
      </c>
      <c r="BH73" t="s">
        <v>74</v>
      </c>
      <c r="BI73">
        <v>26</v>
      </c>
      <c r="BJ73" t="s">
        <v>1432</v>
      </c>
      <c r="BK73" t="s">
        <v>159</v>
      </c>
      <c r="BL73" t="s">
        <v>799</v>
      </c>
      <c r="BM73" t="s">
        <v>1433</v>
      </c>
      <c r="BN73" t="s">
        <v>74</v>
      </c>
      <c r="BO73" t="s">
        <v>162</v>
      </c>
      <c r="BP73" t="s">
        <v>74</v>
      </c>
      <c r="BQ73" t="s">
        <v>74</v>
      </c>
      <c r="BR73" t="s">
        <v>104</v>
      </c>
      <c r="BS73" t="s">
        <v>1434</v>
      </c>
      <c r="BT73" t="str">
        <f>HYPERLINK("https%3A%2F%2Fwww.webofscience.com%2Fwos%2Fwoscc%2Ffull-record%2FWOS:000488059000014","View Full Record in Web of Science")</f>
        <v>View Full Record in Web of Science</v>
      </c>
    </row>
    <row r="74" spans="1:72" x14ac:dyDescent="0.15">
      <c r="A74" t="s">
        <v>72</v>
      </c>
      <c r="B74" t="s">
        <v>1435</v>
      </c>
      <c r="C74" t="s">
        <v>74</v>
      </c>
      <c r="D74" t="s">
        <v>74</v>
      </c>
      <c r="E74" t="s">
        <v>74</v>
      </c>
      <c r="F74" t="s">
        <v>1436</v>
      </c>
      <c r="G74" t="s">
        <v>74</v>
      </c>
      <c r="H74" t="s">
        <v>74</v>
      </c>
      <c r="I74" t="s">
        <v>1437</v>
      </c>
      <c r="J74" t="s">
        <v>1438</v>
      </c>
      <c r="K74" t="s">
        <v>74</v>
      </c>
      <c r="L74" t="s">
        <v>74</v>
      </c>
      <c r="M74" t="s">
        <v>78</v>
      </c>
      <c r="N74" t="s">
        <v>79</v>
      </c>
      <c r="O74" t="s">
        <v>74</v>
      </c>
      <c r="P74" t="s">
        <v>74</v>
      </c>
      <c r="Q74" t="s">
        <v>74</v>
      </c>
      <c r="R74" t="s">
        <v>74</v>
      </c>
      <c r="S74" t="s">
        <v>74</v>
      </c>
      <c r="T74" t="s">
        <v>1439</v>
      </c>
      <c r="U74" t="s">
        <v>74</v>
      </c>
      <c r="V74" t="s">
        <v>1440</v>
      </c>
      <c r="W74" t="s">
        <v>1441</v>
      </c>
      <c r="X74" t="s">
        <v>1442</v>
      </c>
      <c r="Y74" t="s">
        <v>1443</v>
      </c>
      <c r="Z74" t="s">
        <v>1444</v>
      </c>
      <c r="AA74" t="s">
        <v>1445</v>
      </c>
      <c r="AB74" t="s">
        <v>1446</v>
      </c>
      <c r="AC74" t="s">
        <v>1447</v>
      </c>
      <c r="AD74" t="s">
        <v>1448</v>
      </c>
      <c r="AE74" t="s">
        <v>1449</v>
      </c>
      <c r="AF74" t="s">
        <v>74</v>
      </c>
      <c r="AG74">
        <v>14</v>
      </c>
      <c r="AH74">
        <v>2</v>
      </c>
      <c r="AI74">
        <v>2</v>
      </c>
      <c r="AJ74">
        <v>0</v>
      </c>
      <c r="AK74">
        <v>4</v>
      </c>
      <c r="AL74" t="s">
        <v>210</v>
      </c>
      <c r="AM74" t="s">
        <v>211</v>
      </c>
      <c r="AN74" t="s">
        <v>212</v>
      </c>
      <c r="AO74" t="s">
        <v>74</v>
      </c>
      <c r="AP74" t="s">
        <v>1450</v>
      </c>
      <c r="AQ74" t="s">
        <v>74</v>
      </c>
      <c r="AR74" t="s">
        <v>1451</v>
      </c>
      <c r="AS74" t="s">
        <v>1452</v>
      </c>
      <c r="AT74" t="s">
        <v>74</v>
      </c>
      <c r="AU74">
        <v>2019</v>
      </c>
      <c r="AV74">
        <v>4</v>
      </c>
      <c r="AW74">
        <v>2</v>
      </c>
      <c r="AX74" t="s">
        <v>74</v>
      </c>
      <c r="AY74" t="s">
        <v>74</v>
      </c>
      <c r="AZ74" t="s">
        <v>74</v>
      </c>
      <c r="BA74" t="s">
        <v>74</v>
      </c>
      <c r="BB74">
        <v>2936</v>
      </c>
      <c r="BC74">
        <v>2937</v>
      </c>
      <c r="BD74" t="s">
        <v>74</v>
      </c>
      <c r="BE74" t="s">
        <v>1453</v>
      </c>
      <c r="BF74" t="str">
        <f>HYPERLINK("http://dx.doi.org/10.1080/23802359.2019.1662751","http://dx.doi.org/10.1080/23802359.2019.1662751")</f>
        <v>http://dx.doi.org/10.1080/23802359.2019.1662751</v>
      </c>
      <c r="BG74" t="s">
        <v>74</v>
      </c>
      <c r="BH74" t="s">
        <v>74</v>
      </c>
      <c r="BI74">
        <v>2</v>
      </c>
      <c r="BJ74" t="s">
        <v>1454</v>
      </c>
      <c r="BK74" t="s">
        <v>101</v>
      </c>
      <c r="BL74" t="s">
        <v>1454</v>
      </c>
      <c r="BM74" t="s">
        <v>1455</v>
      </c>
      <c r="BN74">
        <v>33365800</v>
      </c>
      <c r="BO74" t="s">
        <v>270</v>
      </c>
      <c r="BP74" t="s">
        <v>74</v>
      </c>
      <c r="BQ74" t="s">
        <v>74</v>
      </c>
      <c r="BR74" t="s">
        <v>104</v>
      </c>
      <c r="BS74" t="s">
        <v>1456</v>
      </c>
      <c r="BT74" t="str">
        <f>HYPERLINK("https%3A%2F%2Fwww.webofscience.com%2Fwos%2Fwoscc%2Ffull-record%2FWOS:000488872200025","View Full Record in Web of Science")</f>
        <v>View Full Record in Web of Science</v>
      </c>
    </row>
    <row r="75" spans="1:72" x14ac:dyDescent="0.15">
      <c r="A75" t="s">
        <v>72</v>
      </c>
      <c r="B75" t="s">
        <v>1457</v>
      </c>
      <c r="C75" t="s">
        <v>74</v>
      </c>
      <c r="D75" t="s">
        <v>74</v>
      </c>
      <c r="E75" t="s">
        <v>74</v>
      </c>
      <c r="F75" t="s">
        <v>1458</v>
      </c>
      <c r="G75" t="s">
        <v>74</v>
      </c>
      <c r="H75" t="s">
        <v>74</v>
      </c>
      <c r="I75" t="s">
        <v>1459</v>
      </c>
      <c r="J75" t="s">
        <v>1460</v>
      </c>
      <c r="K75" t="s">
        <v>74</v>
      </c>
      <c r="L75" t="s">
        <v>74</v>
      </c>
      <c r="M75" t="s">
        <v>78</v>
      </c>
      <c r="N75" t="s">
        <v>79</v>
      </c>
      <c r="O75" t="s">
        <v>74</v>
      </c>
      <c r="P75" t="s">
        <v>74</v>
      </c>
      <c r="Q75" t="s">
        <v>74</v>
      </c>
      <c r="R75" t="s">
        <v>74</v>
      </c>
      <c r="S75" t="s">
        <v>74</v>
      </c>
      <c r="T75" t="s">
        <v>1461</v>
      </c>
      <c r="U75" t="s">
        <v>1462</v>
      </c>
      <c r="V75" t="s">
        <v>1463</v>
      </c>
      <c r="W75" t="s">
        <v>1464</v>
      </c>
      <c r="X75" t="s">
        <v>1465</v>
      </c>
      <c r="Y75" t="s">
        <v>1466</v>
      </c>
      <c r="Z75" t="s">
        <v>1467</v>
      </c>
      <c r="AA75" t="s">
        <v>1468</v>
      </c>
      <c r="AB75" t="s">
        <v>1469</v>
      </c>
      <c r="AC75" t="s">
        <v>1470</v>
      </c>
      <c r="AD75" t="s">
        <v>1471</v>
      </c>
      <c r="AE75" t="s">
        <v>1472</v>
      </c>
      <c r="AF75" t="s">
        <v>74</v>
      </c>
      <c r="AG75">
        <v>96</v>
      </c>
      <c r="AH75">
        <v>29</v>
      </c>
      <c r="AI75">
        <v>32</v>
      </c>
      <c r="AJ75">
        <v>0</v>
      </c>
      <c r="AK75">
        <v>13</v>
      </c>
      <c r="AL75" t="s">
        <v>1473</v>
      </c>
      <c r="AM75" t="s">
        <v>1080</v>
      </c>
      <c r="AN75" t="s">
        <v>1474</v>
      </c>
      <c r="AO75" t="s">
        <v>1475</v>
      </c>
      <c r="AP75" t="s">
        <v>1476</v>
      </c>
      <c r="AQ75" t="s">
        <v>74</v>
      </c>
      <c r="AR75" t="s">
        <v>1477</v>
      </c>
      <c r="AS75" t="s">
        <v>1478</v>
      </c>
      <c r="AT75" t="s">
        <v>718</v>
      </c>
      <c r="AU75">
        <v>2019</v>
      </c>
      <c r="AV75">
        <v>91</v>
      </c>
      <c r="AW75">
        <v>1</v>
      </c>
      <c r="AX75" t="s">
        <v>74</v>
      </c>
      <c r="AY75" t="s">
        <v>74</v>
      </c>
      <c r="AZ75" t="s">
        <v>74</v>
      </c>
      <c r="BA75" t="s">
        <v>74</v>
      </c>
      <c r="BB75">
        <v>194</v>
      </c>
      <c r="BC75">
        <v>217</v>
      </c>
      <c r="BD75" t="s">
        <v>74</v>
      </c>
      <c r="BE75" t="s">
        <v>1479</v>
      </c>
      <c r="BF75" t="str">
        <f>HYPERLINK("http://dx.doi.org/10.1017/qua.2018.93","http://dx.doi.org/10.1017/qua.2018.93")</f>
        <v>http://dx.doi.org/10.1017/qua.2018.93</v>
      </c>
      <c r="BG75" t="s">
        <v>74</v>
      </c>
      <c r="BH75" t="s">
        <v>74</v>
      </c>
      <c r="BI75">
        <v>24</v>
      </c>
      <c r="BJ75" t="s">
        <v>1480</v>
      </c>
      <c r="BK75" t="s">
        <v>101</v>
      </c>
      <c r="BL75" t="s">
        <v>1481</v>
      </c>
      <c r="BM75" t="s">
        <v>1482</v>
      </c>
      <c r="BN75" t="s">
        <v>74</v>
      </c>
      <c r="BO75" t="s">
        <v>74</v>
      </c>
      <c r="BP75" t="s">
        <v>74</v>
      </c>
      <c r="BQ75" t="s">
        <v>74</v>
      </c>
      <c r="BR75" t="s">
        <v>104</v>
      </c>
      <c r="BS75" t="s">
        <v>1483</v>
      </c>
      <c r="BT75" t="str">
        <f>HYPERLINK("https%3A%2F%2Fwww.webofscience.com%2Fwos%2Fwoscc%2Ffull-record%2FWOS:000488837500014","View Full Record in Web of Science")</f>
        <v>View Full Record in Web of Science</v>
      </c>
    </row>
    <row r="76" spans="1:72" x14ac:dyDescent="0.15">
      <c r="A76" t="s">
        <v>72</v>
      </c>
      <c r="B76" t="s">
        <v>1484</v>
      </c>
      <c r="C76" t="s">
        <v>74</v>
      </c>
      <c r="D76" t="s">
        <v>74</v>
      </c>
      <c r="E76" t="s">
        <v>74</v>
      </c>
      <c r="F76" t="s">
        <v>1485</v>
      </c>
      <c r="G76" t="s">
        <v>74</v>
      </c>
      <c r="H76" t="s">
        <v>74</v>
      </c>
      <c r="I76" t="s">
        <v>1486</v>
      </c>
      <c r="J76" t="s">
        <v>1460</v>
      </c>
      <c r="K76" t="s">
        <v>74</v>
      </c>
      <c r="L76" t="s">
        <v>74</v>
      </c>
      <c r="M76" t="s">
        <v>78</v>
      </c>
      <c r="N76" t="s">
        <v>79</v>
      </c>
      <c r="O76" t="s">
        <v>74</v>
      </c>
      <c r="P76" t="s">
        <v>74</v>
      </c>
      <c r="Q76" t="s">
        <v>74</v>
      </c>
      <c r="R76" t="s">
        <v>74</v>
      </c>
      <c r="S76" t="s">
        <v>74</v>
      </c>
      <c r="T76" t="s">
        <v>1487</v>
      </c>
      <c r="U76" t="s">
        <v>1488</v>
      </c>
      <c r="V76" t="s">
        <v>1489</v>
      </c>
      <c r="W76" t="s">
        <v>1490</v>
      </c>
      <c r="X76" t="s">
        <v>1491</v>
      </c>
      <c r="Y76" t="s">
        <v>1492</v>
      </c>
      <c r="Z76" t="s">
        <v>1493</v>
      </c>
      <c r="AA76" t="s">
        <v>74</v>
      </c>
      <c r="AB76" t="s">
        <v>74</v>
      </c>
      <c r="AC76" t="s">
        <v>74</v>
      </c>
      <c r="AD76" t="s">
        <v>74</v>
      </c>
      <c r="AE76" t="s">
        <v>74</v>
      </c>
      <c r="AF76" t="s">
        <v>74</v>
      </c>
      <c r="AG76">
        <v>163</v>
      </c>
      <c r="AH76">
        <v>4</v>
      </c>
      <c r="AI76">
        <v>6</v>
      </c>
      <c r="AJ76">
        <v>1</v>
      </c>
      <c r="AK76">
        <v>3</v>
      </c>
      <c r="AL76" t="s">
        <v>1473</v>
      </c>
      <c r="AM76" t="s">
        <v>1080</v>
      </c>
      <c r="AN76" t="s">
        <v>1474</v>
      </c>
      <c r="AO76" t="s">
        <v>1475</v>
      </c>
      <c r="AP76" t="s">
        <v>1476</v>
      </c>
      <c r="AQ76" t="s">
        <v>74</v>
      </c>
      <c r="AR76" t="s">
        <v>1477</v>
      </c>
      <c r="AS76" t="s">
        <v>1478</v>
      </c>
      <c r="AT76" t="s">
        <v>718</v>
      </c>
      <c r="AU76">
        <v>2019</v>
      </c>
      <c r="AV76">
        <v>91</v>
      </c>
      <c r="AW76">
        <v>1</v>
      </c>
      <c r="AX76" t="s">
        <v>74</v>
      </c>
      <c r="AY76" t="s">
        <v>74</v>
      </c>
      <c r="AZ76" t="s">
        <v>74</v>
      </c>
      <c r="BA76" t="s">
        <v>74</v>
      </c>
      <c r="BB76">
        <v>218</v>
      </c>
      <c r="BC76">
        <v>233</v>
      </c>
      <c r="BD76" t="s">
        <v>1494</v>
      </c>
      <c r="BE76" t="s">
        <v>1495</v>
      </c>
      <c r="BF76" t="str">
        <f>HYPERLINK("http://dx.doi.org/10.1017/qua.2018.74","http://dx.doi.org/10.1017/qua.2018.74")</f>
        <v>http://dx.doi.org/10.1017/qua.2018.74</v>
      </c>
      <c r="BG76" t="s">
        <v>74</v>
      </c>
      <c r="BH76" t="s">
        <v>74</v>
      </c>
      <c r="BI76">
        <v>16</v>
      </c>
      <c r="BJ76" t="s">
        <v>1480</v>
      </c>
      <c r="BK76" t="s">
        <v>101</v>
      </c>
      <c r="BL76" t="s">
        <v>1481</v>
      </c>
      <c r="BM76" t="s">
        <v>1482</v>
      </c>
      <c r="BN76" t="s">
        <v>74</v>
      </c>
      <c r="BO76" t="s">
        <v>404</v>
      </c>
      <c r="BP76" t="s">
        <v>74</v>
      </c>
      <c r="BQ76" t="s">
        <v>74</v>
      </c>
      <c r="BR76" t="s">
        <v>104</v>
      </c>
      <c r="BS76" t="s">
        <v>1496</v>
      </c>
      <c r="BT76" t="str">
        <f>HYPERLINK("https%3A%2F%2Fwww.webofscience.com%2Fwos%2Fwoscc%2Ffull-record%2FWOS:000488837500015","View Full Record in Web of Science")</f>
        <v>View Full Record in Web of Science</v>
      </c>
    </row>
    <row r="77" spans="1:72" x14ac:dyDescent="0.15">
      <c r="A77" t="s">
        <v>72</v>
      </c>
      <c r="B77" t="s">
        <v>1497</v>
      </c>
      <c r="C77" t="s">
        <v>74</v>
      </c>
      <c r="D77" t="s">
        <v>74</v>
      </c>
      <c r="E77" t="s">
        <v>74</v>
      </c>
      <c r="F77" t="s">
        <v>1498</v>
      </c>
      <c r="G77" t="s">
        <v>74</v>
      </c>
      <c r="H77" t="s">
        <v>74</v>
      </c>
      <c r="I77" t="s">
        <v>1499</v>
      </c>
      <c r="J77" t="s">
        <v>1460</v>
      </c>
      <c r="K77" t="s">
        <v>74</v>
      </c>
      <c r="L77" t="s">
        <v>74</v>
      </c>
      <c r="M77" t="s">
        <v>78</v>
      </c>
      <c r="N77" t="s">
        <v>79</v>
      </c>
      <c r="O77" t="s">
        <v>74</v>
      </c>
      <c r="P77" t="s">
        <v>74</v>
      </c>
      <c r="Q77" t="s">
        <v>74</v>
      </c>
      <c r="R77" t="s">
        <v>74</v>
      </c>
      <c r="S77" t="s">
        <v>74</v>
      </c>
      <c r="T77" t="s">
        <v>1500</v>
      </c>
      <c r="U77" t="s">
        <v>1501</v>
      </c>
      <c r="V77" t="s">
        <v>1502</v>
      </c>
      <c r="W77" t="s">
        <v>1503</v>
      </c>
      <c r="X77" t="s">
        <v>1504</v>
      </c>
      <c r="Y77" t="s">
        <v>1505</v>
      </c>
      <c r="Z77" t="s">
        <v>1506</v>
      </c>
      <c r="AA77" t="s">
        <v>1507</v>
      </c>
      <c r="AB77" t="s">
        <v>1508</v>
      </c>
      <c r="AC77" t="s">
        <v>1509</v>
      </c>
      <c r="AD77" t="s">
        <v>1510</v>
      </c>
      <c r="AE77" t="s">
        <v>1511</v>
      </c>
      <c r="AF77" t="s">
        <v>74</v>
      </c>
      <c r="AG77">
        <v>85</v>
      </c>
      <c r="AH77">
        <v>3</v>
      </c>
      <c r="AI77">
        <v>3</v>
      </c>
      <c r="AJ77">
        <v>0</v>
      </c>
      <c r="AK77">
        <v>10</v>
      </c>
      <c r="AL77" t="s">
        <v>1473</v>
      </c>
      <c r="AM77" t="s">
        <v>1080</v>
      </c>
      <c r="AN77" t="s">
        <v>1474</v>
      </c>
      <c r="AO77" t="s">
        <v>1475</v>
      </c>
      <c r="AP77" t="s">
        <v>1476</v>
      </c>
      <c r="AQ77" t="s">
        <v>74</v>
      </c>
      <c r="AR77" t="s">
        <v>1477</v>
      </c>
      <c r="AS77" t="s">
        <v>1478</v>
      </c>
      <c r="AT77" t="s">
        <v>718</v>
      </c>
      <c r="AU77">
        <v>2019</v>
      </c>
      <c r="AV77">
        <v>91</v>
      </c>
      <c r="AW77">
        <v>1</v>
      </c>
      <c r="AX77" t="s">
        <v>74</v>
      </c>
      <c r="AY77" t="s">
        <v>74</v>
      </c>
      <c r="AZ77" t="s">
        <v>74</v>
      </c>
      <c r="BA77" t="s">
        <v>74</v>
      </c>
      <c r="BB77">
        <v>399</v>
      </c>
      <c r="BC77">
        <v>413</v>
      </c>
      <c r="BD77" t="s">
        <v>1512</v>
      </c>
      <c r="BE77" t="s">
        <v>1513</v>
      </c>
      <c r="BF77" t="str">
        <f>HYPERLINK("http://dx.doi.org/10.1017/qua.2018.88","http://dx.doi.org/10.1017/qua.2018.88")</f>
        <v>http://dx.doi.org/10.1017/qua.2018.88</v>
      </c>
      <c r="BG77" t="s">
        <v>74</v>
      </c>
      <c r="BH77" t="s">
        <v>74</v>
      </c>
      <c r="BI77">
        <v>15</v>
      </c>
      <c r="BJ77" t="s">
        <v>1480</v>
      </c>
      <c r="BK77" t="s">
        <v>101</v>
      </c>
      <c r="BL77" t="s">
        <v>1481</v>
      </c>
      <c r="BM77" t="s">
        <v>1482</v>
      </c>
      <c r="BN77" t="s">
        <v>74</v>
      </c>
      <c r="BO77" t="s">
        <v>1514</v>
      </c>
      <c r="BP77" t="s">
        <v>74</v>
      </c>
      <c r="BQ77" t="s">
        <v>74</v>
      </c>
      <c r="BR77" t="s">
        <v>104</v>
      </c>
      <c r="BS77" t="s">
        <v>1515</v>
      </c>
      <c r="BT77" t="str">
        <f>HYPERLINK("https%3A%2F%2Fwww.webofscience.com%2Fwos%2Fwoscc%2Ffull-record%2FWOS:000488837500026","View Full Record in Web of Science")</f>
        <v>View Full Record in Web of Science</v>
      </c>
    </row>
    <row r="78" spans="1:72" x14ac:dyDescent="0.15">
      <c r="A78" t="s">
        <v>133</v>
      </c>
      <c r="B78" t="s">
        <v>1516</v>
      </c>
      <c r="C78" t="s">
        <v>74</v>
      </c>
      <c r="D78" t="s">
        <v>1517</v>
      </c>
      <c r="E78" t="s">
        <v>74</v>
      </c>
      <c r="F78" t="s">
        <v>1518</v>
      </c>
      <c r="G78" t="s">
        <v>74</v>
      </c>
      <c r="H78" t="s">
        <v>74</v>
      </c>
      <c r="I78" t="s">
        <v>1519</v>
      </c>
      <c r="J78" t="s">
        <v>1520</v>
      </c>
      <c r="K78" t="s">
        <v>1521</v>
      </c>
      <c r="L78" t="s">
        <v>74</v>
      </c>
      <c r="M78" t="s">
        <v>78</v>
      </c>
      <c r="N78" t="s">
        <v>140</v>
      </c>
      <c r="O78" t="s">
        <v>74</v>
      </c>
      <c r="P78" t="s">
        <v>74</v>
      </c>
      <c r="Q78" t="s">
        <v>74</v>
      </c>
      <c r="R78" t="s">
        <v>74</v>
      </c>
      <c r="S78" t="s">
        <v>74</v>
      </c>
      <c r="T78" t="s">
        <v>74</v>
      </c>
      <c r="U78" t="s">
        <v>1522</v>
      </c>
      <c r="V78" t="s">
        <v>1523</v>
      </c>
      <c r="W78" t="s">
        <v>1524</v>
      </c>
      <c r="X78" t="s">
        <v>1525</v>
      </c>
      <c r="Y78" t="s">
        <v>1526</v>
      </c>
      <c r="Z78" t="s">
        <v>1527</v>
      </c>
      <c r="AA78" t="s">
        <v>1528</v>
      </c>
      <c r="AB78" t="s">
        <v>1529</v>
      </c>
      <c r="AC78" t="s">
        <v>74</v>
      </c>
      <c r="AD78" t="s">
        <v>74</v>
      </c>
      <c r="AE78" t="s">
        <v>74</v>
      </c>
      <c r="AF78" t="s">
        <v>74</v>
      </c>
      <c r="AG78">
        <v>70</v>
      </c>
      <c r="AH78">
        <v>5</v>
      </c>
      <c r="AI78">
        <v>5</v>
      </c>
      <c r="AJ78">
        <v>0</v>
      </c>
      <c r="AK78">
        <v>1</v>
      </c>
      <c r="AL78" t="s">
        <v>1203</v>
      </c>
      <c r="AM78" t="s">
        <v>1204</v>
      </c>
      <c r="AN78" t="s">
        <v>1205</v>
      </c>
      <c r="AO78" t="s">
        <v>1530</v>
      </c>
      <c r="AP78" t="s">
        <v>74</v>
      </c>
      <c r="AQ78" t="s">
        <v>1531</v>
      </c>
      <c r="AR78" t="s">
        <v>1532</v>
      </c>
      <c r="AS78" t="s">
        <v>74</v>
      </c>
      <c r="AT78" t="s">
        <v>74</v>
      </c>
      <c r="AU78">
        <v>2019</v>
      </c>
      <c r="AV78">
        <v>7</v>
      </c>
      <c r="AW78" t="s">
        <v>74</v>
      </c>
      <c r="AX78" t="s">
        <v>74</v>
      </c>
      <c r="AY78" t="s">
        <v>74</v>
      </c>
      <c r="AZ78" t="s">
        <v>74</v>
      </c>
      <c r="BA78" t="s">
        <v>74</v>
      </c>
      <c r="BB78">
        <v>91</v>
      </c>
      <c r="BC78">
        <v>120</v>
      </c>
      <c r="BD78" t="s">
        <v>74</v>
      </c>
      <c r="BE78" t="s">
        <v>1533</v>
      </c>
      <c r="BF78" t="str">
        <f>HYPERLINK("http://dx.doi.org/10.1007/978-3-030-16775-2_4","http://dx.doi.org/10.1007/978-3-030-16775-2_4")</f>
        <v>http://dx.doi.org/10.1007/978-3-030-16775-2_4</v>
      </c>
      <c r="BG78" t="s">
        <v>1534</v>
      </c>
      <c r="BH78" t="s">
        <v>74</v>
      </c>
      <c r="BI78">
        <v>30</v>
      </c>
      <c r="BJ78" t="s">
        <v>1535</v>
      </c>
      <c r="BK78" t="s">
        <v>159</v>
      </c>
      <c r="BL78" t="s">
        <v>1536</v>
      </c>
      <c r="BM78" t="s">
        <v>1537</v>
      </c>
      <c r="BN78" t="s">
        <v>74</v>
      </c>
      <c r="BO78" t="s">
        <v>74</v>
      </c>
      <c r="BP78" t="s">
        <v>74</v>
      </c>
      <c r="BQ78" t="s">
        <v>74</v>
      </c>
      <c r="BR78" t="s">
        <v>104</v>
      </c>
      <c r="BS78" t="s">
        <v>1538</v>
      </c>
      <c r="BT78" t="str">
        <f>HYPERLINK("https%3A%2F%2Fwww.webofscience.com%2Fwos%2Fwoscc%2Ffull-record%2FWOS:000488198100006","View Full Record in Web of Science")</f>
        <v>View Full Record in Web of Science</v>
      </c>
    </row>
    <row r="79" spans="1:72" x14ac:dyDescent="0.15">
      <c r="A79" t="s">
        <v>72</v>
      </c>
      <c r="B79" t="s">
        <v>1539</v>
      </c>
      <c r="C79" t="s">
        <v>74</v>
      </c>
      <c r="D79" t="s">
        <v>74</v>
      </c>
      <c r="E79" t="s">
        <v>74</v>
      </c>
      <c r="F79" t="s">
        <v>1540</v>
      </c>
      <c r="G79" t="s">
        <v>74</v>
      </c>
      <c r="H79" t="s">
        <v>74</v>
      </c>
      <c r="I79" t="s">
        <v>1541</v>
      </c>
      <c r="J79" t="s">
        <v>972</v>
      </c>
      <c r="K79" t="s">
        <v>74</v>
      </c>
      <c r="L79" t="s">
        <v>74</v>
      </c>
      <c r="M79" t="s">
        <v>78</v>
      </c>
      <c r="N79" t="s">
        <v>79</v>
      </c>
      <c r="O79" t="s">
        <v>74</v>
      </c>
      <c r="P79" t="s">
        <v>74</v>
      </c>
      <c r="Q79" t="s">
        <v>74</v>
      </c>
      <c r="R79" t="s">
        <v>74</v>
      </c>
      <c r="S79" t="s">
        <v>74</v>
      </c>
      <c r="T79" t="s">
        <v>1542</v>
      </c>
      <c r="U79" t="s">
        <v>1543</v>
      </c>
      <c r="V79" t="s">
        <v>1544</v>
      </c>
      <c r="W79" t="s">
        <v>1545</v>
      </c>
      <c r="X79" t="s">
        <v>1546</v>
      </c>
      <c r="Y79" t="s">
        <v>1547</v>
      </c>
      <c r="Z79" t="s">
        <v>1548</v>
      </c>
      <c r="AA79" t="s">
        <v>1549</v>
      </c>
      <c r="AB79" t="s">
        <v>1550</v>
      </c>
      <c r="AC79" t="s">
        <v>1551</v>
      </c>
      <c r="AD79" t="s">
        <v>1552</v>
      </c>
      <c r="AE79" t="s">
        <v>1553</v>
      </c>
      <c r="AF79" t="s">
        <v>74</v>
      </c>
      <c r="AG79">
        <v>49</v>
      </c>
      <c r="AH79">
        <v>15</v>
      </c>
      <c r="AI79">
        <v>15</v>
      </c>
      <c r="AJ79">
        <v>1</v>
      </c>
      <c r="AK79">
        <v>9</v>
      </c>
      <c r="AL79" t="s">
        <v>985</v>
      </c>
      <c r="AM79" t="s">
        <v>986</v>
      </c>
      <c r="AN79" t="s">
        <v>987</v>
      </c>
      <c r="AO79" t="s">
        <v>988</v>
      </c>
      <c r="AP79" t="s">
        <v>989</v>
      </c>
      <c r="AQ79" t="s">
        <v>74</v>
      </c>
      <c r="AR79" t="s">
        <v>990</v>
      </c>
      <c r="AS79" t="s">
        <v>991</v>
      </c>
      <c r="AT79" t="s">
        <v>74</v>
      </c>
      <c r="AU79">
        <v>2019</v>
      </c>
      <c r="AV79">
        <v>39</v>
      </c>
      <c r="AW79" t="s">
        <v>74</v>
      </c>
      <c r="AX79" t="s">
        <v>74</v>
      </c>
      <c r="AY79" t="s">
        <v>74</v>
      </c>
      <c r="AZ79" t="s">
        <v>74</v>
      </c>
      <c r="BA79" t="s">
        <v>74</v>
      </c>
      <c r="BB79">
        <v>135</v>
      </c>
      <c r="BC79">
        <v>145</v>
      </c>
      <c r="BD79" t="s">
        <v>74</v>
      </c>
      <c r="BE79" t="s">
        <v>1554</v>
      </c>
      <c r="BF79" t="str">
        <f>HYPERLINK("http://dx.doi.org/10.3354/esr00956","http://dx.doi.org/10.3354/esr00956")</f>
        <v>http://dx.doi.org/10.3354/esr00956</v>
      </c>
      <c r="BG79" t="s">
        <v>74</v>
      </c>
      <c r="BH79" t="s">
        <v>74</v>
      </c>
      <c r="BI79">
        <v>11</v>
      </c>
      <c r="BJ79" t="s">
        <v>993</v>
      </c>
      <c r="BK79" t="s">
        <v>101</v>
      </c>
      <c r="BL79" t="s">
        <v>994</v>
      </c>
      <c r="BM79" t="s">
        <v>1555</v>
      </c>
      <c r="BN79" t="s">
        <v>74</v>
      </c>
      <c r="BO79" t="s">
        <v>1556</v>
      </c>
      <c r="BP79" t="s">
        <v>74</v>
      </c>
      <c r="BQ79" t="s">
        <v>74</v>
      </c>
      <c r="BR79" t="s">
        <v>104</v>
      </c>
      <c r="BS79" t="s">
        <v>1557</v>
      </c>
      <c r="BT79" t="str">
        <f>HYPERLINK("https%3A%2F%2Fwww.webofscience.com%2Fwos%2Fwoscc%2Ffull-record%2FWOS:000487122600011","View Full Record in Web of Science")</f>
        <v>View Full Record in Web of Science</v>
      </c>
    </row>
    <row r="80" spans="1:72" x14ac:dyDescent="0.15">
      <c r="A80" t="s">
        <v>72</v>
      </c>
      <c r="B80" t="s">
        <v>1558</v>
      </c>
      <c r="C80" t="s">
        <v>74</v>
      </c>
      <c r="D80" t="s">
        <v>74</v>
      </c>
      <c r="E80" t="s">
        <v>74</v>
      </c>
      <c r="F80" t="s">
        <v>1559</v>
      </c>
      <c r="G80" t="s">
        <v>74</v>
      </c>
      <c r="H80" t="s">
        <v>74</v>
      </c>
      <c r="I80" t="s">
        <v>1560</v>
      </c>
      <c r="J80" t="s">
        <v>862</v>
      </c>
      <c r="K80" t="s">
        <v>74</v>
      </c>
      <c r="L80" t="s">
        <v>74</v>
      </c>
      <c r="M80" t="s">
        <v>863</v>
      </c>
      <c r="N80" t="s">
        <v>79</v>
      </c>
      <c r="O80" t="s">
        <v>74</v>
      </c>
      <c r="P80" t="s">
        <v>74</v>
      </c>
      <c r="Q80" t="s">
        <v>74</v>
      </c>
      <c r="R80" t="s">
        <v>74</v>
      </c>
      <c r="S80" t="s">
        <v>74</v>
      </c>
      <c r="T80" t="s">
        <v>1561</v>
      </c>
      <c r="U80" t="s">
        <v>1562</v>
      </c>
      <c r="V80" t="s">
        <v>1563</v>
      </c>
      <c r="W80" t="s">
        <v>1564</v>
      </c>
      <c r="X80" t="s">
        <v>1565</v>
      </c>
      <c r="Y80" t="s">
        <v>1566</v>
      </c>
      <c r="Z80" t="s">
        <v>1567</v>
      </c>
      <c r="AA80" t="s">
        <v>1568</v>
      </c>
      <c r="AB80" t="s">
        <v>1569</v>
      </c>
      <c r="AC80" t="s">
        <v>1570</v>
      </c>
      <c r="AD80" t="s">
        <v>1571</v>
      </c>
      <c r="AE80" t="s">
        <v>1572</v>
      </c>
      <c r="AF80" t="s">
        <v>74</v>
      </c>
      <c r="AG80">
        <v>30</v>
      </c>
      <c r="AH80">
        <v>3</v>
      </c>
      <c r="AI80">
        <v>3</v>
      </c>
      <c r="AJ80">
        <v>0</v>
      </c>
      <c r="AK80">
        <v>2</v>
      </c>
      <c r="AL80" t="s">
        <v>876</v>
      </c>
      <c r="AM80" t="s">
        <v>877</v>
      </c>
      <c r="AN80" t="s">
        <v>878</v>
      </c>
      <c r="AO80" t="s">
        <v>879</v>
      </c>
      <c r="AP80" t="s">
        <v>880</v>
      </c>
      <c r="AQ80" t="s">
        <v>74</v>
      </c>
      <c r="AR80" t="s">
        <v>881</v>
      </c>
      <c r="AS80" t="s">
        <v>882</v>
      </c>
      <c r="AT80" t="s">
        <v>74</v>
      </c>
      <c r="AU80">
        <v>2019</v>
      </c>
      <c r="AV80">
        <v>59</v>
      </c>
      <c r="AW80">
        <v>3</v>
      </c>
      <c r="AX80" t="s">
        <v>74</v>
      </c>
      <c r="AY80" t="s">
        <v>74</v>
      </c>
      <c r="AZ80" t="s">
        <v>74</v>
      </c>
      <c r="BA80" t="s">
        <v>74</v>
      </c>
      <c r="BB80">
        <v>293</v>
      </c>
      <c r="BC80">
        <v>305</v>
      </c>
      <c r="BD80" t="s">
        <v>74</v>
      </c>
      <c r="BE80" t="s">
        <v>1573</v>
      </c>
      <c r="BF80" t="str">
        <f>HYPERLINK("http://dx.doi.org/10.15356/2076-6734-2019-3-426","http://dx.doi.org/10.15356/2076-6734-2019-3-426")</f>
        <v>http://dx.doi.org/10.15356/2076-6734-2019-3-426</v>
      </c>
      <c r="BG80" t="s">
        <v>74</v>
      </c>
      <c r="BH80" t="s">
        <v>74</v>
      </c>
      <c r="BI80">
        <v>13</v>
      </c>
      <c r="BJ80" t="s">
        <v>884</v>
      </c>
      <c r="BK80" t="s">
        <v>349</v>
      </c>
      <c r="BL80" t="s">
        <v>528</v>
      </c>
      <c r="BM80" t="s">
        <v>1574</v>
      </c>
      <c r="BN80" t="s">
        <v>74</v>
      </c>
      <c r="BO80" t="s">
        <v>131</v>
      </c>
      <c r="BP80" t="s">
        <v>74</v>
      </c>
      <c r="BQ80" t="s">
        <v>74</v>
      </c>
      <c r="BR80" t="s">
        <v>104</v>
      </c>
      <c r="BS80" t="s">
        <v>1575</v>
      </c>
      <c r="BT80" t="str">
        <f>HYPERLINK("https%3A%2F%2Fwww.webofscience.com%2Fwos%2Fwoscc%2Ffull-record%2FWOS:000487297900001","View Full Record in Web of Science")</f>
        <v>View Full Record in Web of Science</v>
      </c>
    </row>
    <row r="81" spans="1:72" x14ac:dyDescent="0.15">
      <c r="A81" t="s">
        <v>72</v>
      </c>
      <c r="B81" t="s">
        <v>1576</v>
      </c>
      <c r="C81" t="s">
        <v>74</v>
      </c>
      <c r="D81" t="s">
        <v>74</v>
      </c>
      <c r="E81" t="s">
        <v>74</v>
      </c>
      <c r="F81" t="s">
        <v>1577</v>
      </c>
      <c r="G81" t="s">
        <v>74</v>
      </c>
      <c r="H81" t="s">
        <v>74</v>
      </c>
      <c r="I81" t="s">
        <v>1578</v>
      </c>
      <c r="J81" t="s">
        <v>862</v>
      </c>
      <c r="K81" t="s">
        <v>74</v>
      </c>
      <c r="L81" t="s">
        <v>74</v>
      </c>
      <c r="M81" t="s">
        <v>863</v>
      </c>
      <c r="N81" t="s">
        <v>79</v>
      </c>
      <c r="O81" t="s">
        <v>74</v>
      </c>
      <c r="P81" t="s">
        <v>74</v>
      </c>
      <c r="Q81" t="s">
        <v>74</v>
      </c>
      <c r="R81" t="s">
        <v>74</v>
      </c>
      <c r="S81" t="s">
        <v>74</v>
      </c>
      <c r="T81" t="s">
        <v>1579</v>
      </c>
      <c r="U81" t="s">
        <v>74</v>
      </c>
      <c r="V81" t="s">
        <v>1580</v>
      </c>
      <c r="W81" t="s">
        <v>1581</v>
      </c>
      <c r="X81" t="s">
        <v>893</v>
      </c>
      <c r="Y81" t="s">
        <v>1582</v>
      </c>
      <c r="Z81" t="s">
        <v>1583</v>
      </c>
      <c r="AA81" t="s">
        <v>1584</v>
      </c>
      <c r="AB81" t="s">
        <v>1585</v>
      </c>
      <c r="AC81" t="s">
        <v>1586</v>
      </c>
      <c r="AD81" t="s">
        <v>1587</v>
      </c>
      <c r="AE81" t="s">
        <v>1588</v>
      </c>
      <c r="AF81" t="s">
        <v>74</v>
      </c>
      <c r="AG81">
        <v>18</v>
      </c>
      <c r="AH81">
        <v>3</v>
      </c>
      <c r="AI81">
        <v>4</v>
      </c>
      <c r="AJ81">
        <v>0</v>
      </c>
      <c r="AK81">
        <v>3</v>
      </c>
      <c r="AL81" t="s">
        <v>876</v>
      </c>
      <c r="AM81" t="s">
        <v>877</v>
      </c>
      <c r="AN81" t="s">
        <v>878</v>
      </c>
      <c r="AO81" t="s">
        <v>879</v>
      </c>
      <c r="AP81" t="s">
        <v>880</v>
      </c>
      <c r="AQ81" t="s">
        <v>74</v>
      </c>
      <c r="AR81" t="s">
        <v>881</v>
      </c>
      <c r="AS81" t="s">
        <v>882</v>
      </c>
      <c r="AT81" t="s">
        <v>74</v>
      </c>
      <c r="AU81">
        <v>2019</v>
      </c>
      <c r="AV81">
        <v>59</v>
      </c>
      <c r="AW81">
        <v>3</v>
      </c>
      <c r="AX81" t="s">
        <v>74</v>
      </c>
      <c r="AY81" t="s">
        <v>74</v>
      </c>
      <c r="AZ81" t="s">
        <v>74</v>
      </c>
      <c r="BA81" t="s">
        <v>74</v>
      </c>
      <c r="BB81">
        <v>355</v>
      </c>
      <c r="BC81">
        <v>362</v>
      </c>
      <c r="BD81" t="s">
        <v>74</v>
      </c>
      <c r="BE81" t="s">
        <v>1589</v>
      </c>
      <c r="BF81" t="str">
        <f>HYPERLINK("http://dx.doi.org/10.15356/2076-6734-2019-3-385","http://dx.doi.org/10.15356/2076-6734-2019-3-385")</f>
        <v>http://dx.doi.org/10.15356/2076-6734-2019-3-385</v>
      </c>
      <c r="BG81" t="s">
        <v>74</v>
      </c>
      <c r="BH81" t="s">
        <v>74</v>
      </c>
      <c r="BI81">
        <v>8</v>
      </c>
      <c r="BJ81" t="s">
        <v>884</v>
      </c>
      <c r="BK81" t="s">
        <v>349</v>
      </c>
      <c r="BL81" t="s">
        <v>528</v>
      </c>
      <c r="BM81" t="s">
        <v>1574</v>
      </c>
      <c r="BN81" t="s">
        <v>74</v>
      </c>
      <c r="BO81" t="s">
        <v>131</v>
      </c>
      <c r="BP81" t="s">
        <v>74</v>
      </c>
      <c r="BQ81" t="s">
        <v>74</v>
      </c>
      <c r="BR81" t="s">
        <v>104</v>
      </c>
      <c r="BS81" t="s">
        <v>1590</v>
      </c>
      <c r="BT81" t="str">
        <f>HYPERLINK("https%3A%2F%2Fwww.webofscience.com%2Fwos%2Fwoscc%2Ffull-record%2FWOS:000487297900006","View Full Record in Web of Science")</f>
        <v>View Full Record in Web of Science</v>
      </c>
    </row>
    <row r="82" spans="1:72" x14ac:dyDescent="0.15">
      <c r="A82" t="s">
        <v>72</v>
      </c>
      <c r="B82" t="s">
        <v>1591</v>
      </c>
      <c r="C82" t="s">
        <v>74</v>
      </c>
      <c r="D82" t="s">
        <v>74</v>
      </c>
      <c r="E82" t="s">
        <v>74</v>
      </c>
      <c r="F82" t="s">
        <v>1592</v>
      </c>
      <c r="G82" t="s">
        <v>74</v>
      </c>
      <c r="H82" t="s">
        <v>74</v>
      </c>
      <c r="I82" t="s">
        <v>1593</v>
      </c>
      <c r="J82" t="s">
        <v>862</v>
      </c>
      <c r="K82" t="s">
        <v>74</v>
      </c>
      <c r="L82" t="s">
        <v>74</v>
      </c>
      <c r="M82" t="s">
        <v>863</v>
      </c>
      <c r="N82" t="s">
        <v>79</v>
      </c>
      <c r="O82" t="s">
        <v>74</v>
      </c>
      <c r="P82" t="s">
        <v>74</v>
      </c>
      <c r="Q82" t="s">
        <v>74</v>
      </c>
      <c r="R82" t="s">
        <v>74</v>
      </c>
      <c r="S82" t="s">
        <v>74</v>
      </c>
      <c r="T82" t="s">
        <v>1594</v>
      </c>
      <c r="U82" t="s">
        <v>1595</v>
      </c>
      <c r="V82" t="s">
        <v>1596</v>
      </c>
      <c r="W82" t="s">
        <v>1597</v>
      </c>
      <c r="X82" t="s">
        <v>1598</v>
      </c>
      <c r="Y82" t="s">
        <v>1599</v>
      </c>
      <c r="Z82" t="s">
        <v>1600</v>
      </c>
      <c r="AA82" t="s">
        <v>1601</v>
      </c>
      <c r="AB82" t="s">
        <v>1602</v>
      </c>
      <c r="AC82" t="s">
        <v>1603</v>
      </c>
      <c r="AD82" t="s">
        <v>1587</v>
      </c>
      <c r="AE82" t="s">
        <v>1604</v>
      </c>
      <c r="AF82" t="s">
        <v>74</v>
      </c>
      <c r="AG82">
        <v>27</v>
      </c>
      <c r="AH82">
        <v>2</v>
      </c>
      <c r="AI82">
        <v>2</v>
      </c>
      <c r="AJ82">
        <v>0</v>
      </c>
      <c r="AK82">
        <v>3</v>
      </c>
      <c r="AL82" t="s">
        <v>876</v>
      </c>
      <c r="AM82" t="s">
        <v>877</v>
      </c>
      <c r="AN82" t="s">
        <v>878</v>
      </c>
      <c r="AO82" t="s">
        <v>879</v>
      </c>
      <c r="AP82" t="s">
        <v>880</v>
      </c>
      <c r="AQ82" t="s">
        <v>74</v>
      </c>
      <c r="AR82" t="s">
        <v>881</v>
      </c>
      <c r="AS82" t="s">
        <v>882</v>
      </c>
      <c r="AT82" t="s">
        <v>74</v>
      </c>
      <c r="AU82">
        <v>2019</v>
      </c>
      <c r="AV82">
        <v>59</v>
      </c>
      <c r="AW82">
        <v>3</v>
      </c>
      <c r="AX82" t="s">
        <v>74</v>
      </c>
      <c r="AY82" t="s">
        <v>74</v>
      </c>
      <c r="AZ82" t="s">
        <v>74</v>
      </c>
      <c r="BA82" t="s">
        <v>74</v>
      </c>
      <c r="BB82">
        <v>363</v>
      </c>
      <c r="BC82">
        <v>376</v>
      </c>
      <c r="BD82" t="s">
        <v>74</v>
      </c>
      <c r="BE82" t="s">
        <v>1605</v>
      </c>
      <c r="BF82" t="str">
        <f>HYPERLINK("http://dx.doi.org/10.15356/2076-6734-2019-3-387","http://dx.doi.org/10.15356/2076-6734-2019-3-387")</f>
        <v>http://dx.doi.org/10.15356/2076-6734-2019-3-387</v>
      </c>
      <c r="BG82" t="s">
        <v>74</v>
      </c>
      <c r="BH82" t="s">
        <v>74</v>
      </c>
      <c r="BI82">
        <v>14</v>
      </c>
      <c r="BJ82" t="s">
        <v>884</v>
      </c>
      <c r="BK82" t="s">
        <v>349</v>
      </c>
      <c r="BL82" t="s">
        <v>528</v>
      </c>
      <c r="BM82" t="s">
        <v>1574</v>
      </c>
      <c r="BN82" t="s">
        <v>74</v>
      </c>
      <c r="BO82" t="s">
        <v>131</v>
      </c>
      <c r="BP82" t="s">
        <v>74</v>
      </c>
      <c r="BQ82" t="s">
        <v>74</v>
      </c>
      <c r="BR82" t="s">
        <v>104</v>
      </c>
      <c r="BS82" t="s">
        <v>1606</v>
      </c>
      <c r="BT82" t="str">
        <f>HYPERLINK("https%3A%2F%2Fwww.webofscience.com%2Fwos%2Fwoscc%2Ffull-record%2FWOS:000487297900007","View Full Record in Web of Science")</f>
        <v>View Full Record in Web of Science</v>
      </c>
    </row>
    <row r="83" spans="1:72" x14ac:dyDescent="0.15">
      <c r="A83" t="s">
        <v>72</v>
      </c>
      <c r="B83" t="s">
        <v>1607</v>
      </c>
      <c r="C83" t="s">
        <v>74</v>
      </c>
      <c r="D83" t="s">
        <v>74</v>
      </c>
      <c r="E83" t="s">
        <v>74</v>
      </c>
      <c r="F83" t="s">
        <v>1608</v>
      </c>
      <c r="G83" t="s">
        <v>74</v>
      </c>
      <c r="H83" t="s">
        <v>74</v>
      </c>
      <c r="I83" t="s">
        <v>1609</v>
      </c>
      <c r="J83" t="s">
        <v>862</v>
      </c>
      <c r="K83" t="s">
        <v>74</v>
      </c>
      <c r="L83" t="s">
        <v>74</v>
      </c>
      <c r="M83" t="s">
        <v>863</v>
      </c>
      <c r="N83" t="s">
        <v>79</v>
      </c>
      <c r="O83" t="s">
        <v>74</v>
      </c>
      <c r="P83" t="s">
        <v>74</v>
      </c>
      <c r="Q83" t="s">
        <v>74</v>
      </c>
      <c r="R83" t="s">
        <v>74</v>
      </c>
      <c r="S83" t="s">
        <v>74</v>
      </c>
      <c r="T83" t="s">
        <v>1610</v>
      </c>
      <c r="U83" t="s">
        <v>74</v>
      </c>
      <c r="V83" t="s">
        <v>1611</v>
      </c>
      <c r="W83" t="s">
        <v>1612</v>
      </c>
      <c r="X83" t="s">
        <v>893</v>
      </c>
      <c r="Y83" t="s">
        <v>1613</v>
      </c>
      <c r="Z83" t="s">
        <v>1614</v>
      </c>
      <c r="AA83" t="s">
        <v>74</v>
      </c>
      <c r="AB83" t="s">
        <v>74</v>
      </c>
      <c r="AC83" t="s">
        <v>1615</v>
      </c>
      <c r="AD83" t="s">
        <v>1616</v>
      </c>
      <c r="AE83" t="s">
        <v>1617</v>
      </c>
      <c r="AF83" t="s">
        <v>74</v>
      </c>
      <c r="AG83">
        <v>11</v>
      </c>
      <c r="AH83">
        <v>1</v>
      </c>
      <c r="AI83">
        <v>1</v>
      </c>
      <c r="AJ83">
        <v>1</v>
      </c>
      <c r="AK83">
        <v>3</v>
      </c>
      <c r="AL83" t="s">
        <v>876</v>
      </c>
      <c r="AM83" t="s">
        <v>877</v>
      </c>
      <c r="AN83" t="s">
        <v>878</v>
      </c>
      <c r="AO83" t="s">
        <v>879</v>
      </c>
      <c r="AP83" t="s">
        <v>880</v>
      </c>
      <c r="AQ83" t="s">
        <v>74</v>
      </c>
      <c r="AR83" t="s">
        <v>881</v>
      </c>
      <c r="AS83" t="s">
        <v>882</v>
      </c>
      <c r="AT83" t="s">
        <v>74</v>
      </c>
      <c r="AU83">
        <v>2019</v>
      </c>
      <c r="AV83">
        <v>59</v>
      </c>
      <c r="AW83">
        <v>3</v>
      </c>
      <c r="AX83" t="s">
        <v>74</v>
      </c>
      <c r="AY83" t="s">
        <v>74</v>
      </c>
      <c r="AZ83" t="s">
        <v>74</v>
      </c>
      <c r="BA83" t="s">
        <v>74</v>
      </c>
      <c r="BB83">
        <v>377</v>
      </c>
      <c r="BC83">
        <v>387</v>
      </c>
      <c r="BD83" t="s">
        <v>74</v>
      </c>
      <c r="BE83" t="s">
        <v>1618</v>
      </c>
      <c r="BF83" t="str">
        <f>HYPERLINK("http://dx.doi.org/10.15356/2076-6734-2019-3-411","http://dx.doi.org/10.15356/2076-6734-2019-3-411")</f>
        <v>http://dx.doi.org/10.15356/2076-6734-2019-3-411</v>
      </c>
      <c r="BG83" t="s">
        <v>74</v>
      </c>
      <c r="BH83" t="s">
        <v>74</v>
      </c>
      <c r="BI83">
        <v>11</v>
      </c>
      <c r="BJ83" t="s">
        <v>884</v>
      </c>
      <c r="BK83" t="s">
        <v>349</v>
      </c>
      <c r="BL83" t="s">
        <v>528</v>
      </c>
      <c r="BM83" t="s">
        <v>1574</v>
      </c>
      <c r="BN83" t="s">
        <v>74</v>
      </c>
      <c r="BO83" t="s">
        <v>131</v>
      </c>
      <c r="BP83" t="s">
        <v>74</v>
      </c>
      <c r="BQ83" t="s">
        <v>74</v>
      </c>
      <c r="BR83" t="s">
        <v>104</v>
      </c>
      <c r="BS83" t="s">
        <v>1619</v>
      </c>
      <c r="BT83" t="str">
        <f>HYPERLINK("https%3A%2F%2Fwww.webofscience.com%2Fwos%2Fwoscc%2Ffull-record%2FWOS:000487297900008","View Full Record in Web of Science")</f>
        <v>View Full Record in Web of Science</v>
      </c>
    </row>
    <row r="84" spans="1:72" x14ac:dyDescent="0.15">
      <c r="A84" t="s">
        <v>72</v>
      </c>
      <c r="B84" t="s">
        <v>1620</v>
      </c>
      <c r="C84" t="s">
        <v>74</v>
      </c>
      <c r="D84" t="s">
        <v>74</v>
      </c>
      <c r="E84" t="s">
        <v>74</v>
      </c>
      <c r="F84" t="s">
        <v>1621</v>
      </c>
      <c r="G84" t="s">
        <v>74</v>
      </c>
      <c r="H84" t="s">
        <v>74</v>
      </c>
      <c r="I84" t="s">
        <v>1622</v>
      </c>
      <c r="J84" t="s">
        <v>433</v>
      </c>
      <c r="K84" t="s">
        <v>74</v>
      </c>
      <c r="L84" t="s">
        <v>74</v>
      </c>
      <c r="M84" t="s">
        <v>78</v>
      </c>
      <c r="N84" t="s">
        <v>79</v>
      </c>
      <c r="O84" t="s">
        <v>74</v>
      </c>
      <c r="P84" t="s">
        <v>74</v>
      </c>
      <c r="Q84" t="s">
        <v>74</v>
      </c>
      <c r="R84" t="s">
        <v>74</v>
      </c>
      <c r="S84" t="s">
        <v>74</v>
      </c>
      <c r="T84" t="s">
        <v>1623</v>
      </c>
      <c r="U84" t="s">
        <v>1624</v>
      </c>
      <c r="V84" t="s">
        <v>1625</v>
      </c>
      <c r="W84" t="s">
        <v>1626</v>
      </c>
      <c r="X84" t="s">
        <v>1627</v>
      </c>
      <c r="Y84" t="s">
        <v>1628</v>
      </c>
      <c r="Z84" t="s">
        <v>1629</v>
      </c>
      <c r="AA84" t="s">
        <v>74</v>
      </c>
      <c r="AB84" t="s">
        <v>74</v>
      </c>
      <c r="AC84" t="s">
        <v>1630</v>
      </c>
      <c r="AD84" t="s">
        <v>74</v>
      </c>
      <c r="AE84" t="s">
        <v>1631</v>
      </c>
      <c r="AF84" t="s">
        <v>74</v>
      </c>
      <c r="AG84">
        <v>62</v>
      </c>
      <c r="AH84">
        <v>2</v>
      </c>
      <c r="AI84">
        <v>3</v>
      </c>
      <c r="AJ84">
        <v>0</v>
      </c>
      <c r="AK84">
        <v>1</v>
      </c>
      <c r="AL84" t="s">
        <v>443</v>
      </c>
      <c r="AM84" t="s">
        <v>444</v>
      </c>
      <c r="AN84" t="s">
        <v>445</v>
      </c>
      <c r="AO84" t="s">
        <v>446</v>
      </c>
      <c r="AP84" t="s">
        <v>447</v>
      </c>
      <c r="AQ84" t="s">
        <v>74</v>
      </c>
      <c r="AR84" t="s">
        <v>448</v>
      </c>
      <c r="AS84" t="s">
        <v>449</v>
      </c>
      <c r="AT84" t="s">
        <v>74</v>
      </c>
      <c r="AU84">
        <v>2019</v>
      </c>
      <c r="AV84">
        <v>40</v>
      </c>
      <c r="AW84">
        <v>3</v>
      </c>
      <c r="AX84" t="s">
        <v>74</v>
      </c>
      <c r="AY84" t="s">
        <v>74</v>
      </c>
      <c r="AZ84" t="s">
        <v>74</v>
      </c>
      <c r="BA84" t="s">
        <v>74</v>
      </c>
      <c r="BB84">
        <v>227</v>
      </c>
      <c r="BC84">
        <v>253</v>
      </c>
      <c r="BD84" t="s">
        <v>74</v>
      </c>
      <c r="BE84" t="s">
        <v>1632</v>
      </c>
      <c r="BF84" t="str">
        <f>HYPERLINK("http://dx.doi.org/10.24425/ppr.2019.129672","http://dx.doi.org/10.24425/ppr.2019.129672")</f>
        <v>http://dx.doi.org/10.24425/ppr.2019.129672</v>
      </c>
      <c r="BG84" t="s">
        <v>74</v>
      </c>
      <c r="BH84" t="s">
        <v>74</v>
      </c>
      <c r="BI84">
        <v>27</v>
      </c>
      <c r="BJ84" t="s">
        <v>451</v>
      </c>
      <c r="BK84" t="s">
        <v>101</v>
      </c>
      <c r="BL84" t="s">
        <v>452</v>
      </c>
      <c r="BM84" t="s">
        <v>1633</v>
      </c>
      <c r="BN84" t="s">
        <v>74</v>
      </c>
      <c r="BO84" t="s">
        <v>221</v>
      </c>
      <c r="BP84" t="s">
        <v>74</v>
      </c>
      <c r="BQ84" t="s">
        <v>74</v>
      </c>
      <c r="BR84" t="s">
        <v>104</v>
      </c>
      <c r="BS84" t="s">
        <v>1634</v>
      </c>
      <c r="BT84" t="str">
        <f>HYPERLINK("https%3A%2F%2Fwww.webofscience.com%2Fwos%2Fwoscc%2Ffull-record%2FWOS:000487521100003","View Full Record in Web of Science")</f>
        <v>View Full Record in Web of Science</v>
      </c>
    </row>
    <row r="85" spans="1:72" x14ac:dyDescent="0.15">
      <c r="A85" t="s">
        <v>72</v>
      </c>
      <c r="B85" t="s">
        <v>1635</v>
      </c>
      <c r="C85" t="s">
        <v>74</v>
      </c>
      <c r="D85" t="s">
        <v>74</v>
      </c>
      <c r="E85" t="s">
        <v>74</v>
      </c>
      <c r="F85" t="s">
        <v>1636</v>
      </c>
      <c r="G85" t="s">
        <v>74</v>
      </c>
      <c r="H85" t="s">
        <v>74</v>
      </c>
      <c r="I85" t="s">
        <v>1637</v>
      </c>
      <c r="J85" t="s">
        <v>433</v>
      </c>
      <c r="K85" t="s">
        <v>74</v>
      </c>
      <c r="L85" t="s">
        <v>74</v>
      </c>
      <c r="M85" t="s">
        <v>78</v>
      </c>
      <c r="N85" t="s">
        <v>79</v>
      </c>
      <c r="O85" t="s">
        <v>74</v>
      </c>
      <c r="P85" t="s">
        <v>74</v>
      </c>
      <c r="Q85" t="s">
        <v>74</v>
      </c>
      <c r="R85" t="s">
        <v>74</v>
      </c>
      <c r="S85" t="s">
        <v>74</v>
      </c>
      <c r="T85" t="s">
        <v>1638</v>
      </c>
      <c r="U85" t="s">
        <v>1639</v>
      </c>
      <c r="V85" t="s">
        <v>1640</v>
      </c>
      <c r="W85" t="s">
        <v>1641</v>
      </c>
      <c r="X85" t="s">
        <v>1642</v>
      </c>
      <c r="Y85" t="s">
        <v>1643</v>
      </c>
      <c r="Z85" t="s">
        <v>1644</v>
      </c>
      <c r="AA85" t="s">
        <v>1645</v>
      </c>
      <c r="AB85" t="s">
        <v>1646</v>
      </c>
      <c r="AC85" t="s">
        <v>1647</v>
      </c>
      <c r="AD85" t="s">
        <v>1648</v>
      </c>
      <c r="AE85" t="s">
        <v>1649</v>
      </c>
      <c r="AF85" t="s">
        <v>74</v>
      </c>
      <c r="AG85">
        <v>55</v>
      </c>
      <c r="AH85">
        <v>2</v>
      </c>
      <c r="AI85">
        <v>2</v>
      </c>
      <c r="AJ85">
        <v>0</v>
      </c>
      <c r="AK85">
        <v>5</v>
      </c>
      <c r="AL85" t="s">
        <v>443</v>
      </c>
      <c r="AM85" t="s">
        <v>444</v>
      </c>
      <c r="AN85" t="s">
        <v>445</v>
      </c>
      <c r="AO85" t="s">
        <v>446</v>
      </c>
      <c r="AP85" t="s">
        <v>447</v>
      </c>
      <c r="AQ85" t="s">
        <v>74</v>
      </c>
      <c r="AR85" t="s">
        <v>448</v>
      </c>
      <c r="AS85" t="s">
        <v>449</v>
      </c>
      <c r="AT85" t="s">
        <v>74</v>
      </c>
      <c r="AU85">
        <v>2019</v>
      </c>
      <c r="AV85">
        <v>40</v>
      </c>
      <c r="AW85">
        <v>3</v>
      </c>
      <c r="AX85" t="s">
        <v>74</v>
      </c>
      <c r="AY85" t="s">
        <v>74</v>
      </c>
      <c r="AZ85" t="s">
        <v>74</v>
      </c>
      <c r="BA85" t="s">
        <v>74</v>
      </c>
      <c r="BB85">
        <v>255</v>
      </c>
      <c r="BC85">
        <v>272</v>
      </c>
      <c r="BD85" t="s">
        <v>74</v>
      </c>
      <c r="BE85" t="s">
        <v>1650</v>
      </c>
      <c r="BF85" t="str">
        <f>HYPERLINK("http://dx.doi.org/10.24425/ppr.2019.129673","http://dx.doi.org/10.24425/ppr.2019.129673")</f>
        <v>http://dx.doi.org/10.24425/ppr.2019.129673</v>
      </c>
      <c r="BG85" t="s">
        <v>74</v>
      </c>
      <c r="BH85" t="s">
        <v>74</v>
      </c>
      <c r="BI85">
        <v>18</v>
      </c>
      <c r="BJ85" t="s">
        <v>451</v>
      </c>
      <c r="BK85" t="s">
        <v>101</v>
      </c>
      <c r="BL85" t="s">
        <v>452</v>
      </c>
      <c r="BM85" t="s">
        <v>1633</v>
      </c>
      <c r="BN85" t="s">
        <v>74</v>
      </c>
      <c r="BO85" t="s">
        <v>131</v>
      </c>
      <c r="BP85" t="s">
        <v>74</v>
      </c>
      <c r="BQ85" t="s">
        <v>74</v>
      </c>
      <c r="BR85" t="s">
        <v>104</v>
      </c>
      <c r="BS85" t="s">
        <v>1651</v>
      </c>
      <c r="BT85" t="str">
        <f>HYPERLINK("https%3A%2F%2Fwww.webofscience.com%2Fwos%2Fwoscc%2Ffull-record%2FWOS:000487521100004","View Full Record in Web of Science")</f>
        <v>View Full Record in Web of Science</v>
      </c>
    </row>
    <row r="86" spans="1:72" x14ac:dyDescent="0.15">
      <c r="A86" t="s">
        <v>72</v>
      </c>
      <c r="B86" t="s">
        <v>1652</v>
      </c>
      <c r="C86" t="s">
        <v>74</v>
      </c>
      <c r="D86" t="s">
        <v>74</v>
      </c>
      <c r="E86" t="s">
        <v>74</v>
      </c>
      <c r="F86" t="s">
        <v>1653</v>
      </c>
      <c r="G86" t="s">
        <v>74</v>
      </c>
      <c r="H86" t="s">
        <v>74</v>
      </c>
      <c r="I86" t="s">
        <v>1654</v>
      </c>
      <c r="J86" t="s">
        <v>433</v>
      </c>
      <c r="K86" t="s">
        <v>74</v>
      </c>
      <c r="L86" t="s">
        <v>74</v>
      </c>
      <c r="M86" t="s">
        <v>78</v>
      </c>
      <c r="N86" t="s">
        <v>79</v>
      </c>
      <c r="O86" t="s">
        <v>74</v>
      </c>
      <c r="P86" t="s">
        <v>74</v>
      </c>
      <c r="Q86" t="s">
        <v>74</v>
      </c>
      <c r="R86" t="s">
        <v>74</v>
      </c>
      <c r="S86" t="s">
        <v>74</v>
      </c>
      <c r="T86" t="s">
        <v>1655</v>
      </c>
      <c r="U86" t="s">
        <v>1656</v>
      </c>
      <c r="V86" t="s">
        <v>1657</v>
      </c>
      <c r="W86" t="s">
        <v>1658</v>
      </c>
      <c r="X86" t="s">
        <v>1659</v>
      </c>
      <c r="Y86" t="s">
        <v>1660</v>
      </c>
      <c r="Z86" t="s">
        <v>1661</v>
      </c>
      <c r="AA86" t="s">
        <v>1662</v>
      </c>
      <c r="AB86" t="s">
        <v>1663</v>
      </c>
      <c r="AC86" t="s">
        <v>1664</v>
      </c>
      <c r="AD86" t="s">
        <v>1665</v>
      </c>
      <c r="AE86" t="s">
        <v>1666</v>
      </c>
      <c r="AF86" t="s">
        <v>74</v>
      </c>
      <c r="AG86">
        <v>73</v>
      </c>
      <c r="AH86">
        <v>1</v>
      </c>
      <c r="AI86">
        <v>1</v>
      </c>
      <c r="AJ86">
        <v>1</v>
      </c>
      <c r="AK86">
        <v>3</v>
      </c>
      <c r="AL86" t="s">
        <v>443</v>
      </c>
      <c r="AM86" t="s">
        <v>444</v>
      </c>
      <c r="AN86" t="s">
        <v>445</v>
      </c>
      <c r="AO86" t="s">
        <v>446</v>
      </c>
      <c r="AP86" t="s">
        <v>447</v>
      </c>
      <c r="AQ86" t="s">
        <v>74</v>
      </c>
      <c r="AR86" t="s">
        <v>448</v>
      </c>
      <c r="AS86" t="s">
        <v>449</v>
      </c>
      <c r="AT86" t="s">
        <v>74</v>
      </c>
      <c r="AU86">
        <v>2019</v>
      </c>
      <c r="AV86">
        <v>40</v>
      </c>
      <c r="AW86">
        <v>3</v>
      </c>
      <c r="AX86" t="s">
        <v>74</v>
      </c>
      <c r="AY86" t="s">
        <v>74</v>
      </c>
      <c r="AZ86" t="s">
        <v>74</v>
      </c>
      <c r="BA86" t="s">
        <v>74</v>
      </c>
      <c r="BB86">
        <v>273</v>
      </c>
      <c r="BC86">
        <v>292</v>
      </c>
      <c r="BD86" t="s">
        <v>74</v>
      </c>
      <c r="BE86" t="s">
        <v>1667</v>
      </c>
      <c r="BF86" t="str">
        <f>HYPERLINK("http://dx.doi.org/10.24425/ppr.2019.129674","http://dx.doi.org/10.24425/ppr.2019.129674")</f>
        <v>http://dx.doi.org/10.24425/ppr.2019.129674</v>
      </c>
      <c r="BG86" t="s">
        <v>74</v>
      </c>
      <c r="BH86" t="s">
        <v>74</v>
      </c>
      <c r="BI86">
        <v>20</v>
      </c>
      <c r="BJ86" t="s">
        <v>451</v>
      </c>
      <c r="BK86" t="s">
        <v>101</v>
      </c>
      <c r="BL86" t="s">
        <v>452</v>
      </c>
      <c r="BM86" t="s">
        <v>1633</v>
      </c>
      <c r="BN86" t="s">
        <v>74</v>
      </c>
      <c r="BO86" t="s">
        <v>131</v>
      </c>
      <c r="BP86" t="s">
        <v>74</v>
      </c>
      <c r="BQ86" t="s">
        <v>74</v>
      </c>
      <c r="BR86" t="s">
        <v>104</v>
      </c>
      <c r="BS86" t="s">
        <v>1668</v>
      </c>
      <c r="BT86" t="str">
        <f>HYPERLINK("https%3A%2F%2Fwww.webofscience.com%2Fwos%2Fwoscc%2Ffull-record%2FWOS:000487521100005","View Full Record in Web of Science")</f>
        <v>View Full Record in Web of Science</v>
      </c>
    </row>
    <row r="87" spans="1:72" x14ac:dyDescent="0.15">
      <c r="A87" t="s">
        <v>72</v>
      </c>
      <c r="B87" t="s">
        <v>1669</v>
      </c>
      <c r="C87" t="s">
        <v>74</v>
      </c>
      <c r="D87" t="s">
        <v>74</v>
      </c>
      <c r="E87" t="s">
        <v>74</v>
      </c>
      <c r="F87" t="s">
        <v>1670</v>
      </c>
      <c r="G87" t="s">
        <v>74</v>
      </c>
      <c r="H87" t="s">
        <v>74</v>
      </c>
      <c r="I87" t="s">
        <v>1671</v>
      </c>
      <c r="J87" t="s">
        <v>1672</v>
      </c>
      <c r="K87" t="s">
        <v>74</v>
      </c>
      <c r="L87" t="s">
        <v>74</v>
      </c>
      <c r="M87" t="s">
        <v>78</v>
      </c>
      <c r="N87" t="s">
        <v>79</v>
      </c>
      <c r="O87" t="s">
        <v>74</v>
      </c>
      <c r="P87" t="s">
        <v>74</v>
      </c>
      <c r="Q87" t="s">
        <v>74</v>
      </c>
      <c r="R87" t="s">
        <v>74</v>
      </c>
      <c r="S87" t="s">
        <v>74</v>
      </c>
      <c r="T87" t="s">
        <v>1673</v>
      </c>
      <c r="U87" t="s">
        <v>1674</v>
      </c>
      <c r="V87" t="s">
        <v>1675</v>
      </c>
      <c r="W87" t="s">
        <v>1676</v>
      </c>
      <c r="X87" t="s">
        <v>1677</v>
      </c>
      <c r="Y87" t="s">
        <v>1678</v>
      </c>
      <c r="Z87" t="s">
        <v>1679</v>
      </c>
      <c r="AA87" t="s">
        <v>1680</v>
      </c>
      <c r="AB87" t="s">
        <v>74</v>
      </c>
      <c r="AC87" t="s">
        <v>1681</v>
      </c>
      <c r="AD87" t="s">
        <v>1682</v>
      </c>
      <c r="AE87" t="s">
        <v>1683</v>
      </c>
      <c r="AF87" t="s">
        <v>74</v>
      </c>
      <c r="AG87">
        <v>85</v>
      </c>
      <c r="AH87">
        <v>2</v>
      </c>
      <c r="AI87">
        <v>2</v>
      </c>
      <c r="AJ87">
        <v>0</v>
      </c>
      <c r="AK87">
        <v>2</v>
      </c>
      <c r="AL87" t="s">
        <v>1684</v>
      </c>
      <c r="AM87" t="s">
        <v>1685</v>
      </c>
      <c r="AN87" t="s">
        <v>1686</v>
      </c>
      <c r="AO87" t="s">
        <v>1687</v>
      </c>
      <c r="AP87" t="s">
        <v>1688</v>
      </c>
      <c r="AQ87" t="s">
        <v>74</v>
      </c>
      <c r="AR87" t="s">
        <v>1689</v>
      </c>
      <c r="AS87" t="s">
        <v>1690</v>
      </c>
      <c r="AT87" t="s">
        <v>74</v>
      </c>
      <c r="AU87">
        <v>2019</v>
      </c>
      <c r="AV87">
        <v>64</v>
      </c>
      <c r="AW87">
        <v>3</v>
      </c>
      <c r="AX87" t="s">
        <v>74</v>
      </c>
      <c r="AY87" t="s">
        <v>74</v>
      </c>
      <c r="AZ87" t="s">
        <v>74</v>
      </c>
      <c r="BA87" t="s">
        <v>74</v>
      </c>
      <c r="BB87">
        <v>523</v>
      </c>
      <c r="BC87">
        <v>542</v>
      </c>
      <c r="BD87" t="s">
        <v>74</v>
      </c>
      <c r="BE87" t="s">
        <v>1691</v>
      </c>
      <c r="BF87" t="str">
        <f>HYPERLINK("http://dx.doi.org/10.4202/app.00560.2018","http://dx.doi.org/10.4202/app.00560.2018")</f>
        <v>http://dx.doi.org/10.4202/app.00560.2018</v>
      </c>
      <c r="BG87" t="s">
        <v>74</v>
      </c>
      <c r="BH87" t="s">
        <v>74</v>
      </c>
      <c r="BI87">
        <v>20</v>
      </c>
      <c r="BJ87" t="s">
        <v>375</v>
      </c>
      <c r="BK87" t="s">
        <v>101</v>
      </c>
      <c r="BL87" t="s">
        <v>375</v>
      </c>
      <c r="BM87" t="s">
        <v>1692</v>
      </c>
      <c r="BN87" t="s">
        <v>74</v>
      </c>
      <c r="BO87" t="s">
        <v>1693</v>
      </c>
      <c r="BP87" t="s">
        <v>74</v>
      </c>
      <c r="BQ87" t="s">
        <v>74</v>
      </c>
      <c r="BR87" t="s">
        <v>104</v>
      </c>
      <c r="BS87" t="s">
        <v>1694</v>
      </c>
      <c r="BT87" t="str">
        <f>HYPERLINK("https%3A%2F%2Fwww.webofscience.com%2Fwos%2Fwoscc%2Ffull-record%2FWOS:000486595900005","View Full Record in Web of Science")</f>
        <v>View Full Record in Web of Science</v>
      </c>
    </row>
    <row r="88" spans="1:72" x14ac:dyDescent="0.15">
      <c r="A88" t="s">
        <v>72</v>
      </c>
      <c r="B88" t="s">
        <v>1695</v>
      </c>
      <c r="C88" t="s">
        <v>74</v>
      </c>
      <c r="D88" t="s">
        <v>74</v>
      </c>
      <c r="E88" t="s">
        <v>74</v>
      </c>
      <c r="F88" t="s">
        <v>1696</v>
      </c>
      <c r="G88" t="s">
        <v>74</v>
      </c>
      <c r="H88" t="s">
        <v>74</v>
      </c>
      <c r="I88" t="s">
        <v>1697</v>
      </c>
      <c r="J88" t="s">
        <v>1698</v>
      </c>
      <c r="K88" t="s">
        <v>74</v>
      </c>
      <c r="L88" t="s">
        <v>74</v>
      </c>
      <c r="M88" t="s">
        <v>78</v>
      </c>
      <c r="N88" t="s">
        <v>79</v>
      </c>
      <c r="O88" t="s">
        <v>74</v>
      </c>
      <c r="P88" t="s">
        <v>74</v>
      </c>
      <c r="Q88" t="s">
        <v>74</v>
      </c>
      <c r="R88" t="s">
        <v>74</v>
      </c>
      <c r="S88" t="s">
        <v>74</v>
      </c>
      <c r="T88" t="s">
        <v>1699</v>
      </c>
      <c r="U88" t="s">
        <v>1700</v>
      </c>
      <c r="V88" t="s">
        <v>1701</v>
      </c>
      <c r="W88" t="s">
        <v>1702</v>
      </c>
      <c r="X88" t="s">
        <v>1703</v>
      </c>
      <c r="Y88" t="s">
        <v>1704</v>
      </c>
      <c r="Z88" t="s">
        <v>1705</v>
      </c>
      <c r="AA88" t="s">
        <v>74</v>
      </c>
      <c r="AB88" t="s">
        <v>74</v>
      </c>
      <c r="AC88" t="s">
        <v>1706</v>
      </c>
      <c r="AD88" t="s">
        <v>1707</v>
      </c>
      <c r="AE88" t="s">
        <v>1708</v>
      </c>
      <c r="AF88" t="s">
        <v>74</v>
      </c>
      <c r="AG88">
        <v>72</v>
      </c>
      <c r="AH88">
        <v>5</v>
      </c>
      <c r="AI88">
        <v>5</v>
      </c>
      <c r="AJ88">
        <v>1</v>
      </c>
      <c r="AK88">
        <v>20</v>
      </c>
      <c r="AL88" t="s">
        <v>985</v>
      </c>
      <c r="AM88" t="s">
        <v>986</v>
      </c>
      <c r="AN88" t="s">
        <v>987</v>
      </c>
      <c r="AO88" t="s">
        <v>1709</v>
      </c>
      <c r="AP88" t="s">
        <v>1710</v>
      </c>
      <c r="AQ88" t="s">
        <v>74</v>
      </c>
      <c r="AR88" t="s">
        <v>1711</v>
      </c>
      <c r="AS88" t="s">
        <v>1712</v>
      </c>
      <c r="AT88" t="s">
        <v>74</v>
      </c>
      <c r="AU88">
        <v>2019</v>
      </c>
      <c r="AV88">
        <v>82</v>
      </c>
      <c r="AW88">
        <v>3</v>
      </c>
      <c r="AX88" t="s">
        <v>74</v>
      </c>
      <c r="AY88" t="s">
        <v>74</v>
      </c>
      <c r="AZ88" t="s">
        <v>74</v>
      </c>
      <c r="BA88" t="s">
        <v>74</v>
      </c>
      <c r="BB88">
        <v>225</v>
      </c>
      <c r="BC88">
        <v>239</v>
      </c>
      <c r="BD88" t="s">
        <v>74</v>
      </c>
      <c r="BE88" t="s">
        <v>1713</v>
      </c>
      <c r="BF88" t="str">
        <f>HYPERLINK("http://dx.doi.org/10.3354/ame01891","http://dx.doi.org/10.3354/ame01891")</f>
        <v>http://dx.doi.org/10.3354/ame01891</v>
      </c>
      <c r="BG88" t="s">
        <v>74</v>
      </c>
      <c r="BH88" t="s">
        <v>74</v>
      </c>
      <c r="BI88">
        <v>15</v>
      </c>
      <c r="BJ88" t="s">
        <v>1535</v>
      </c>
      <c r="BK88" t="s">
        <v>101</v>
      </c>
      <c r="BL88" t="s">
        <v>1536</v>
      </c>
      <c r="BM88" t="s">
        <v>1714</v>
      </c>
      <c r="BN88" t="s">
        <v>74</v>
      </c>
      <c r="BO88" t="s">
        <v>74</v>
      </c>
      <c r="BP88" t="s">
        <v>74</v>
      </c>
      <c r="BQ88" t="s">
        <v>74</v>
      </c>
      <c r="BR88" t="s">
        <v>104</v>
      </c>
      <c r="BS88" t="s">
        <v>1715</v>
      </c>
      <c r="BT88" t="str">
        <f>HYPERLINK("https%3A%2F%2Fwww.webofscience.com%2Fwos%2Fwoscc%2Ffull-record%2FWOS:000487114000001","View Full Record in Web of Science")</f>
        <v>View Full Record in Web of Science</v>
      </c>
    </row>
    <row r="89" spans="1:72" x14ac:dyDescent="0.15">
      <c r="A89" t="s">
        <v>72</v>
      </c>
      <c r="B89" t="s">
        <v>1716</v>
      </c>
      <c r="C89" t="s">
        <v>74</v>
      </c>
      <c r="D89" t="s">
        <v>74</v>
      </c>
      <c r="E89" t="s">
        <v>74</v>
      </c>
      <c r="F89" t="s">
        <v>1717</v>
      </c>
      <c r="G89" t="s">
        <v>74</v>
      </c>
      <c r="H89" t="s">
        <v>74</v>
      </c>
      <c r="I89" t="s">
        <v>1718</v>
      </c>
      <c r="J89" t="s">
        <v>1719</v>
      </c>
      <c r="K89" t="s">
        <v>74</v>
      </c>
      <c r="L89" t="s">
        <v>74</v>
      </c>
      <c r="M89" t="s">
        <v>78</v>
      </c>
      <c r="N89" t="s">
        <v>79</v>
      </c>
      <c r="O89" t="s">
        <v>74</v>
      </c>
      <c r="P89" t="s">
        <v>74</v>
      </c>
      <c r="Q89" t="s">
        <v>74</v>
      </c>
      <c r="R89" t="s">
        <v>74</v>
      </c>
      <c r="S89" t="s">
        <v>74</v>
      </c>
      <c r="T89" t="s">
        <v>1720</v>
      </c>
      <c r="U89" t="s">
        <v>1721</v>
      </c>
      <c r="V89" t="s">
        <v>1722</v>
      </c>
      <c r="W89" t="s">
        <v>1723</v>
      </c>
      <c r="X89" t="s">
        <v>1724</v>
      </c>
      <c r="Y89" t="s">
        <v>1725</v>
      </c>
      <c r="Z89" t="s">
        <v>1726</v>
      </c>
      <c r="AA89" t="s">
        <v>1727</v>
      </c>
      <c r="AB89" t="s">
        <v>1728</v>
      </c>
      <c r="AC89" t="s">
        <v>1729</v>
      </c>
      <c r="AD89" t="s">
        <v>1730</v>
      </c>
      <c r="AE89" t="s">
        <v>1731</v>
      </c>
      <c r="AF89" t="s">
        <v>74</v>
      </c>
      <c r="AG89">
        <v>35</v>
      </c>
      <c r="AH89">
        <v>3</v>
      </c>
      <c r="AI89">
        <v>3</v>
      </c>
      <c r="AJ89">
        <v>0</v>
      </c>
      <c r="AK89">
        <v>3</v>
      </c>
      <c r="AL89" t="s">
        <v>1732</v>
      </c>
      <c r="AM89" t="s">
        <v>1733</v>
      </c>
      <c r="AN89" t="s">
        <v>1734</v>
      </c>
      <c r="AO89" t="s">
        <v>1735</v>
      </c>
      <c r="AP89" t="s">
        <v>74</v>
      </c>
      <c r="AQ89" t="s">
        <v>74</v>
      </c>
      <c r="AR89" t="s">
        <v>1736</v>
      </c>
      <c r="AS89" t="s">
        <v>1737</v>
      </c>
      <c r="AT89" t="s">
        <v>74</v>
      </c>
      <c r="AU89">
        <v>2019</v>
      </c>
      <c r="AV89">
        <v>10</v>
      </c>
      <c r="AW89">
        <v>3</v>
      </c>
      <c r="AX89" t="s">
        <v>74</v>
      </c>
      <c r="AY89" t="s">
        <v>74</v>
      </c>
      <c r="AZ89" t="s">
        <v>74</v>
      </c>
      <c r="BA89" t="s">
        <v>74</v>
      </c>
      <c r="BB89">
        <v>673</v>
      </c>
      <c r="BC89">
        <v>685</v>
      </c>
      <c r="BD89" t="s">
        <v>74</v>
      </c>
      <c r="BE89" t="s">
        <v>1738</v>
      </c>
      <c r="BF89" t="str">
        <f>HYPERLINK("http://dx.doi.org/10.5800/GT-2019-10-3-0434","http://dx.doi.org/10.5800/GT-2019-10-3-0434")</f>
        <v>http://dx.doi.org/10.5800/GT-2019-10-3-0434</v>
      </c>
      <c r="BG89" t="s">
        <v>74</v>
      </c>
      <c r="BH89" t="s">
        <v>74</v>
      </c>
      <c r="BI89">
        <v>13</v>
      </c>
      <c r="BJ89" t="s">
        <v>746</v>
      </c>
      <c r="BK89" t="s">
        <v>349</v>
      </c>
      <c r="BL89" t="s">
        <v>746</v>
      </c>
      <c r="BM89" t="s">
        <v>1739</v>
      </c>
      <c r="BN89" t="s">
        <v>74</v>
      </c>
      <c r="BO89" t="s">
        <v>131</v>
      </c>
      <c r="BP89" t="s">
        <v>74</v>
      </c>
      <c r="BQ89" t="s">
        <v>74</v>
      </c>
      <c r="BR89" t="s">
        <v>104</v>
      </c>
      <c r="BS89" t="s">
        <v>1740</v>
      </c>
      <c r="BT89" t="str">
        <f>HYPERLINK("https%3A%2F%2Fwww.webofscience.com%2Fwos%2Fwoscc%2Ffull-record%2FWOS:000486139400008","View Full Record in Web of Science")</f>
        <v>View Full Record in Web of Science</v>
      </c>
    </row>
    <row r="90" spans="1:72" x14ac:dyDescent="0.15">
      <c r="A90" t="s">
        <v>72</v>
      </c>
      <c r="B90" t="s">
        <v>1741</v>
      </c>
      <c r="C90" t="s">
        <v>74</v>
      </c>
      <c r="D90" t="s">
        <v>74</v>
      </c>
      <c r="E90" t="s">
        <v>74</v>
      </c>
      <c r="F90" t="s">
        <v>1742</v>
      </c>
      <c r="G90" t="s">
        <v>74</v>
      </c>
      <c r="H90" t="s">
        <v>74</v>
      </c>
      <c r="I90" t="s">
        <v>1743</v>
      </c>
      <c r="J90" t="s">
        <v>198</v>
      </c>
      <c r="K90" t="s">
        <v>74</v>
      </c>
      <c r="L90" t="s">
        <v>74</v>
      </c>
      <c r="M90" t="s">
        <v>78</v>
      </c>
      <c r="N90" t="s">
        <v>79</v>
      </c>
      <c r="O90" t="s">
        <v>74</v>
      </c>
      <c r="P90" t="s">
        <v>74</v>
      </c>
      <c r="Q90" t="s">
        <v>74</v>
      </c>
      <c r="R90" t="s">
        <v>74</v>
      </c>
      <c r="S90" t="s">
        <v>74</v>
      </c>
      <c r="T90" t="s">
        <v>1744</v>
      </c>
      <c r="U90" t="s">
        <v>1745</v>
      </c>
      <c r="V90" t="s">
        <v>1746</v>
      </c>
      <c r="W90" t="s">
        <v>1747</v>
      </c>
      <c r="X90" t="s">
        <v>1748</v>
      </c>
      <c r="Y90" t="s">
        <v>1749</v>
      </c>
      <c r="Z90" t="s">
        <v>1750</v>
      </c>
      <c r="AA90" t="s">
        <v>1751</v>
      </c>
      <c r="AB90" t="s">
        <v>74</v>
      </c>
      <c r="AC90" t="s">
        <v>1752</v>
      </c>
      <c r="AD90" t="s">
        <v>1753</v>
      </c>
      <c r="AE90" t="s">
        <v>1754</v>
      </c>
      <c r="AF90" t="s">
        <v>74</v>
      </c>
      <c r="AG90">
        <v>30</v>
      </c>
      <c r="AH90">
        <v>4</v>
      </c>
      <c r="AI90">
        <v>5</v>
      </c>
      <c r="AJ90">
        <v>3</v>
      </c>
      <c r="AK90">
        <v>26</v>
      </c>
      <c r="AL90" t="s">
        <v>210</v>
      </c>
      <c r="AM90" t="s">
        <v>211</v>
      </c>
      <c r="AN90" t="s">
        <v>212</v>
      </c>
      <c r="AO90" t="s">
        <v>213</v>
      </c>
      <c r="AP90" t="s">
        <v>214</v>
      </c>
      <c r="AQ90" t="s">
        <v>74</v>
      </c>
      <c r="AR90" t="s">
        <v>215</v>
      </c>
      <c r="AS90" t="s">
        <v>216</v>
      </c>
      <c r="AT90" t="s">
        <v>74</v>
      </c>
      <c r="AU90">
        <v>2019</v>
      </c>
      <c r="AV90">
        <v>51</v>
      </c>
      <c r="AW90">
        <v>1</v>
      </c>
      <c r="AX90" t="s">
        <v>74</v>
      </c>
      <c r="AY90" t="s">
        <v>74</v>
      </c>
      <c r="AZ90" t="s">
        <v>74</v>
      </c>
      <c r="BA90" t="s">
        <v>74</v>
      </c>
      <c r="BB90">
        <v>1</v>
      </c>
      <c r="BC90">
        <v>8</v>
      </c>
      <c r="BD90" t="s">
        <v>74</v>
      </c>
      <c r="BE90" t="s">
        <v>1755</v>
      </c>
      <c r="BF90" t="str">
        <f>HYPERLINK("http://dx.doi.org/10.1080/15230430.2018.1560112","http://dx.doi.org/10.1080/15230430.2018.1560112")</f>
        <v>http://dx.doi.org/10.1080/15230430.2018.1560112</v>
      </c>
      <c r="BG90" t="s">
        <v>74</v>
      </c>
      <c r="BH90" t="s">
        <v>74</v>
      </c>
      <c r="BI90">
        <v>8</v>
      </c>
      <c r="BJ90" t="s">
        <v>218</v>
      </c>
      <c r="BK90" t="s">
        <v>101</v>
      </c>
      <c r="BL90" t="s">
        <v>219</v>
      </c>
      <c r="BM90" t="s">
        <v>1756</v>
      </c>
      <c r="BN90" t="s">
        <v>74</v>
      </c>
      <c r="BO90" t="s">
        <v>131</v>
      </c>
      <c r="BP90" t="s">
        <v>74</v>
      </c>
      <c r="BQ90" t="s">
        <v>74</v>
      </c>
      <c r="BR90" t="s">
        <v>104</v>
      </c>
      <c r="BS90" t="s">
        <v>1757</v>
      </c>
      <c r="BT90" t="str">
        <f>HYPERLINK("https%3A%2F%2Fwww.webofscience.com%2Fwos%2Fwoscc%2Ffull-record%2FWOS:000486105800001","View Full Record in Web of Science")</f>
        <v>View Full Record in Web of Science</v>
      </c>
    </row>
    <row r="91" spans="1:72" x14ac:dyDescent="0.15">
      <c r="A91" t="s">
        <v>72</v>
      </c>
      <c r="B91" t="s">
        <v>1758</v>
      </c>
      <c r="C91" t="s">
        <v>74</v>
      </c>
      <c r="D91" t="s">
        <v>74</v>
      </c>
      <c r="E91" t="s">
        <v>74</v>
      </c>
      <c r="F91" t="s">
        <v>1759</v>
      </c>
      <c r="G91" t="s">
        <v>74</v>
      </c>
      <c r="H91" t="s">
        <v>74</v>
      </c>
      <c r="I91" t="s">
        <v>1760</v>
      </c>
      <c r="J91" t="s">
        <v>198</v>
      </c>
      <c r="K91" t="s">
        <v>74</v>
      </c>
      <c r="L91" t="s">
        <v>74</v>
      </c>
      <c r="M91" t="s">
        <v>78</v>
      </c>
      <c r="N91" t="s">
        <v>79</v>
      </c>
      <c r="O91" t="s">
        <v>74</v>
      </c>
      <c r="P91" t="s">
        <v>74</v>
      </c>
      <c r="Q91" t="s">
        <v>74</v>
      </c>
      <c r="R91" t="s">
        <v>74</v>
      </c>
      <c r="S91" t="s">
        <v>74</v>
      </c>
      <c r="T91" t="s">
        <v>1761</v>
      </c>
      <c r="U91" t="s">
        <v>1762</v>
      </c>
      <c r="V91" t="s">
        <v>1763</v>
      </c>
      <c r="W91" t="s">
        <v>1764</v>
      </c>
      <c r="X91" t="s">
        <v>1765</v>
      </c>
      <c r="Y91" t="s">
        <v>1766</v>
      </c>
      <c r="Z91" t="s">
        <v>1767</v>
      </c>
      <c r="AA91" t="s">
        <v>1768</v>
      </c>
      <c r="AB91" t="s">
        <v>1769</v>
      </c>
      <c r="AC91" t="s">
        <v>1770</v>
      </c>
      <c r="AD91" t="s">
        <v>1771</v>
      </c>
      <c r="AE91" t="s">
        <v>1772</v>
      </c>
      <c r="AF91" t="s">
        <v>74</v>
      </c>
      <c r="AG91">
        <v>70</v>
      </c>
      <c r="AH91">
        <v>21</v>
      </c>
      <c r="AI91">
        <v>25</v>
      </c>
      <c r="AJ91">
        <v>5</v>
      </c>
      <c r="AK91">
        <v>25</v>
      </c>
      <c r="AL91" t="s">
        <v>210</v>
      </c>
      <c r="AM91" t="s">
        <v>211</v>
      </c>
      <c r="AN91" t="s">
        <v>212</v>
      </c>
      <c r="AO91" t="s">
        <v>213</v>
      </c>
      <c r="AP91" t="s">
        <v>214</v>
      </c>
      <c r="AQ91" t="s">
        <v>74</v>
      </c>
      <c r="AR91" t="s">
        <v>215</v>
      </c>
      <c r="AS91" t="s">
        <v>216</v>
      </c>
      <c r="AT91" t="s">
        <v>74</v>
      </c>
      <c r="AU91">
        <v>2019</v>
      </c>
      <c r="AV91">
        <v>51</v>
      </c>
      <c r="AW91">
        <v>1</v>
      </c>
      <c r="AX91" t="s">
        <v>74</v>
      </c>
      <c r="AY91" t="s">
        <v>74</v>
      </c>
      <c r="AZ91" t="s">
        <v>74</v>
      </c>
      <c r="BA91" t="s">
        <v>74</v>
      </c>
      <c r="BB91">
        <v>9</v>
      </c>
      <c r="BC91">
        <v>23</v>
      </c>
      <c r="BD91" t="s">
        <v>74</v>
      </c>
      <c r="BE91" t="s">
        <v>1773</v>
      </c>
      <c r="BF91" t="str">
        <f>HYPERLINK("http://dx.doi.org/10.1080/15230430.2018.1560839","http://dx.doi.org/10.1080/15230430.2018.1560839")</f>
        <v>http://dx.doi.org/10.1080/15230430.2018.1560839</v>
      </c>
      <c r="BG91" t="s">
        <v>74</v>
      </c>
      <c r="BH91" t="s">
        <v>74</v>
      </c>
      <c r="BI91">
        <v>15</v>
      </c>
      <c r="BJ91" t="s">
        <v>218</v>
      </c>
      <c r="BK91" t="s">
        <v>101</v>
      </c>
      <c r="BL91" t="s">
        <v>219</v>
      </c>
      <c r="BM91" t="s">
        <v>1756</v>
      </c>
      <c r="BN91" t="s">
        <v>74</v>
      </c>
      <c r="BO91" t="s">
        <v>131</v>
      </c>
      <c r="BP91" t="s">
        <v>74</v>
      </c>
      <c r="BQ91" t="s">
        <v>74</v>
      </c>
      <c r="BR91" t="s">
        <v>104</v>
      </c>
      <c r="BS91" t="s">
        <v>1774</v>
      </c>
      <c r="BT91" t="str">
        <f>HYPERLINK("https%3A%2F%2Fwww.webofscience.com%2Fwos%2Fwoscc%2Ffull-record%2FWOS:000486105800002","View Full Record in Web of Science")</f>
        <v>View Full Record in Web of Science</v>
      </c>
    </row>
    <row r="92" spans="1:72" x14ac:dyDescent="0.15">
      <c r="A92" t="s">
        <v>72</v>
      </c>
      <c r="B92" t="s">
        <v>1775</v>
      </c>
      <c r="C92" t="s">
        <v>74</v>
      </c>
      <c r="D92" t="s">
        <v>74</v>
      </c>
      <c r="E92" t="s">
        <v>74</v>
      </c>
      <c r="F92" t="s">
        <v>1776</v>
      </c>
      <c r="G92" t="s">
        <v>74</v>
      </c>
      <c r="H92" t="s">
        <v>74</v>
      </c>
      <c r="I92" t="s">
        <v>1777</v>
      </c>
      <c r="J92" t="s">
        <v>198</v>
      </c>
      <c r="K92" t="s">
        <v>74</v>
      </c>
      <c r="L92" t="s">
        <v>74</v>
      </c>
      <c r="M92" t="s">
        <v>78</v>
      </c>
      <c r="N92" t="s">
        <v>79</v>
      </c>
      <c r="O92" t="s">
        <v>74</v>
      </c>
      <c r="P92" t="s">
        <v>74</v>
      </c>
      <c r="Q92" t="s">
        <v>74</v>
      </c>
      <c r="R92" t="s">
        <v>74</v>
      </c>
      <c r="S92" t="s">
        <v>74</v>
      </c>
      <c r="T92" t="s">
        <v>1778</v>
      </c>
      <c r="U92" t="s">
        <v>1779</v>
      </c>
      <c r="V92" t="s">
        <v>1780</v>
      </c>
      <c r="W92" t="s">
        <v>1781</v>
      </c>
      <c r="X92" t="s">
        <v>1782</v>
      </c>
      <c r="Y92" t="s">
        <v>1783</v>
      </c>
      <c r="Z92" t="s">
        <v>1784</v>
      </c>
      <c r="AA92" t="s">
        <v>74</v>
      </c>
      <c r="AB92" t="s">
        <v>1785</v>
      </c>
      <c r="AC92" t="s">
        <v>1786</v>
      </c>
      <c r="AD92" t="s">
        <v>1787</v>
      </c>
      <c r="AE92" t="s">
        <v>1788</v>
      </c>
      <c r="AF92" t="s">
        <v>74</v>
      </c>
      <c r="AG92">
        <v>68</v>
      </c>
      <c r="AH92">
        <v>10</v>
      </c>
      <c r="AI92">
        <v>11</v>
      </c>
      <c r="AJ92">
        <v>0</v>
      </c>
      <c r="AK92">
        <v>10</v>
      </c>
      <c r="AL92" t="s">
        <v>210</v>
      </c>
      <c r="AM92" t="s">
        <v>211</v>
      </c>
      <c r="AN92" t="s">
        <v>212</v>
      </c>
      <c r="AO92" t="s">
        <v>213</v>
      </c>
      <c r="AP92" t="s">
        <v>214</v>
      </c>
      <c r="AQ92" t="s">
        <v>74</v>
      </c>
      <c r="AR92" t="s">
        <v>215</v>
      </c>
      <c r="AS92" t="s">
        <v>216</v>
      </c>
      <c r="AT92" t="s">
        <v>74</v>
      </c>
      <c r="AU92">
        <v>2019</v>
      </c>
      <c r="AV92">
        <v>51</v>
      </c>
      <c r="AW92">
        <v>1</v>
      </c>
      <c r="AX92" t="s">
        <v>74</v>
      </c>
      <c r="AY92" t="s">
        <v>74</v>
      </c>
      <c r="AZ92" t="s">
        <v>74</v>
      </c>
      <c r="BA92" t="s">
        <v>74</v>
      </c>
      <c r="BB92">
        <v>25</v>
      </c>
      <c r="BC92">
        <v>39</v>
      </c>
      <c r="BD92" t="s">
        <v>74</v>
      </c>
      <c r="BE92" t="s">
        <v>1789</v>
      </c>
      <c r="BF92" t="str">
        <f>HYPERLINK("http://dx.doi.org/10.1080/15230430.2019.1565854","http://dx.doi.org/10.1080/15230430.2019.1565854")</f>
        <v>http://dx.doi.org/10.1080/15230430.2019.1565854</v>
      </c>
      <c r="BG92" t="s">
        <v>74</v>
      </c>
      <c r="BH92" t="s">
        <v>74</v>
      </c>
      <c r="BI92">
        <v>15</v>
      </c>
      <c r="BJ92" t="s">
        <v>218</v>
      </c>
      <c r="BK92" t="s">
        <v>101</v>
      </c>
      <c r="BL92" t="s">
        <v>219</v>
      </c>
      <c r="BM92" t="s">
        <v>1756</v>
      </c>
      <c r="BN92" t="s">
        <v>74</v>
      </c>
      <c r="BO92" t="s">
        <v>131</v>
      </c>
      <c r="BP92" t="s">
        <v>74</v>
      </c>
      <c r="BQ92" t="s">
        <v>74</v>
      </c>
      <c r="BR92" t="s">
        <v>104</v>
      </c>
      <c r="BS92" t="s">
        <v>1790</v>
      </c>
      <c r="BT92" t="str">
        <f>HYPERLINK("https%3A%2F%2Fwww.webofscience.com%2Fwos%2Fwoscc%2Ffull-record%2FWOS:000486105800003","View Full Record in Web of Science")</f>
        <v>View Full Record in Web of Science</v>
      </c>
    </row>
    <row r="93" spans="1:72" x14ac:dyDescent="0.15">
      <c r="A93" t="s">
        <v>72</v>
      </c>
      <c r="B93" t="s">
        <v>1791</v>
      </c>
      <c r="C93" t="s">
        <v>74</v>
      </c>
      <c r="D93" t="s">
        <v>74</v>
      </c>
      <c r="E93" t="s">
        <v>74</v>
      </c>
      <c r="F93" t="s">
        <v>1792</v>
      </c>
      <c r="G93" t="s">
        <v>74</v>
      </c>
      <c r="H93" t="s">
        <v>74</v>
      </c>
      <c r="I93" t="s">
        <v>1793</v>
      </c>
      <c r="J93" t="s">
        <v>198</v>
      </c>
      <c r="K93" t="s">
        <v>74</v>
      </c>
      <c r="L93" t="s">
        <v>74</v>
      </c>
      <c r="M93" t="s">
        <v>78</v>
      </c>
      <c r="N93" t="s">
        <v>79</v>
      </c>
      <c r="O93" t="s">
        <v>74</v>
      </c>
      <c r="P93" t="s">
        <v>74</v>
      </c>
      <c r="Q93" t="s">
        <v>74</v>
      </c>
      <c r="R93" t="s">
        <v>74</v>
      </c>
      <c r="S93" t="s">
        <v>74</v>
      </c>
      <c r="T93" t="s">
        <v>1794</v>
      </c>
      <c r="U93" t="s">
        <v>1795</v>
      </c>
      <c r="V93" t="s">
        <v>1796</v>
      </c>
      <c r="W93" t="s">
        <v>1797</v>
      </c>
      <c r="X93" t="s">
        <v>1798</v>
      </c>
      <c r="Y93" t="s">
        <v>1799</v>
      </c>
      <c r="Z93" t="s">
        <v>1800</v>
      </c>
      <c r="AA93" t="s">
        <v>1801</v>
      </c>
      <c r="AB93" t="s">
        <v>1802</v>
      </c>
      <c r="AC93" t="s">
        <v>1803</v>
      </c>
      <c r="AD93" t="s">
        <v>1804</v>
      </c>
      <c r="AE93" t="s">
        <v>1805</v>
      </c>
      <c r="AF93" t="s">
        <v>74</v>
      </c>
      <c r="AG93">
        <v>73</v>
      </c>
      <c r="AH93">
        <v>15</v>
      </c>
      <c r="AI93">
        <v>16</v>
      </c>
      <c r="AJ93">
        <v>1</v>
      </c>
      <c r="AK93">
        <v>18</v>
      </c>
      <c r="AL93" t="s">
        <v>210</v>
      </c>
      <c r="AM93" t="s">
        <v>211</v>
      </c>
      <c r="AN93" t="s">
        <v>212</v>
      </c>
      <c r="AO93" t="s">
        <v>213</v>
      </c>
      <c r="AP93" t="s">
        <v>214</v>
      </c>
      <c r="AQ93" t="s">
        <v>74</v>
      </c>
      <c r="AR93" t="s">
        <v>215</v>
      </c>
      <c r="AS93" t="s">
        <v>216</v>
      </c>
      <c r="AT93" t="s">
        <v>74</v>
      </c>
      <c r="AU93">
        <v>2019</v>
      </c>
      <c r="AV93">
        <v>51</v>
      </c>
      <c r="AW93">
        <v>1</v>
      </c>
      <c r="AX93" t="s">
        <v>74</v>
      </c>
      <c r="AY93" t="s">
        <v>74</v>
      </c>
      <c r="AZ93" t="s">
        <v>74</v>
      </c>
      <c r="BA93" t="s">
        <v>74</v>
      </c>
      <c r="BB93">
        <v>40</v>
      </c>
      <c r="BC93">
        <v>57</v>
      </c>
      <c r="BD93" t="s">
        <v>74</v>
      </c>
      <c r="BE93" t="s">
        <v>1806</v>
      </c>
      <c r="BF93" t="str">
        <f>HYPERLINK("http://dx.doi.org/10.1080/15230430.2019.1570784","http://dx.doi.org/10.1080/15230430.2019.1570784")</f>
        <v>http://dx.doi.org/10.1080/15230430.2019.1570784</v>
      </c>
      <c r="BG93" t="s">
        <v>74</v>
      </c>
      <c r="BH93" t="s">
        <v>74</v>
      </c>
      <c r="BI93">
        <v>18</v>
      </c>
      <c r="BJ93" t="s">
        <v>218</v>
      </c>
      <c r="BK93" t="s">
        <v>101</v>
      </c>
      <c r="BL93" t="s">
        <v>219</v>
      </c>
      <c r="BM93" t="s">
        <v>1756</v>
      </c>
      <c r="BN93" t="s">
        <v>74</v>
      </c>
      <c r="BO93" t="s">
        <v>221</v>
      </c>
      <c r="BP93" t="s">
        <v>74</v>
      </c>
      <c r="BQ93" t="s">
        <v>74</v>
      </c>
      <c r="BR93" t="s">
        <v>104</v>
      </c>
      <c r="BS93" t="s">
        <v>1807</v>
      </c>
      <c r="BT93" t="str">
        <f>HYPERLINK("https%3A%2F%2Fwww.webofscience.com%2Fwos%2Fwoscc%2Ffull-record%2FWOS:000486105800004","View Full Record in Web of Science")</f>
        <v>View Full Record in Web of Science</v>
      </c>
    </row>
    <row r="94" spans="1:72" x14ac:dyDescent="0.15">
      <c r="A94" t="s">
        <v>72</v>
      </c>
      <c r="B94" t="s">
        <v>1808</v>
      </c>
      <c r="C94" t="s">
        <v>74</v>
      </c>
      <c r="D94" t="s">
        <v>74</v>
      </c>
      <c r="E94" t="s">
        <v>74</v>
      </c>
      <c r="F94" t="s">
        <v>1809</v>
      </c>
      <c r="G94" t="s">
        <v>74</v>
      </c>
      <c r="H94" t="s">
        <v>74</v>
      </c>
      <c r="I94" t="s">
        <v>1810</v>
      </c>
      <c r="J94" t="s">
        <v>198</v>
      </c>
      <c r="K94" t="s">
        <v>74</v>
      </c>
      <c r="L94" t="s">
        <v>74</v>
      </c>
      <c r="M94" t="s">
        <v>78</v>
      </c>
      <c r="N94" t="s">
        <v>79</v>
      </c>
      <c r="O94" t="s">
        <v>74</v>
      </c>
      <c r="P94" t="s">
        <v>74</v>
      </c>
      <c r="Q94" t="s">
        <v>74</v>
      </c>
      <c r="R94" t="s">
        <v>74</v>
      </c>
      <c r="S94" t="s">
        <v>74</v>
      </c>
      <c r="T94" t="s">
        <v>1811</v>
      </c>
      <c r="U94" t="s">
        <v>1812</v>
      </c>
      <c r="V94" t="s">
        <v>1813</v>
      </c>
      <c r="W94" t="s">
        <v>1814</v>
      </c>
      <c r="X94" t="s">
        <v>1815</v>
      </c>
      <c r="Y94" t="s">
        <v>1816</v>
      </c>
      <c r="Z94" t="s">
        <v>1817</v>
      </c>
      <c r="AA94" t="s">
        <v>1818</v>
      </c>
      <c r="AB94" t="s">
        <v>1819</v>
      </c>
      <c r="AC94" t="s">
        <v>1820</v>
      </c>
      <c r="AD94" t="s">
        <v>1821</v>
      </c>
      <c r="AE94" t="s">
        <v>1822</v>
      </c>
      <c r="AF94" t="s">
        <v>74</v>
      </c>
      <c r="AG94">
        <v>58</v>
      </c>
      <c r="AH94">
        <v>8</v>
      </c>
      <c r="AI94">
        <v>10</v>
      </c>
      <c r="AJ94">
        <v>9</v>
      </c>
      <c r="AK94">
        <v>37</v>
      </c>
      <c r="AL94" t="s">
        <v>210</v>
      </c>
      <c r="AM94" t="s">
        <v>211</v>
      </c>
      <c r="AN94" t="s">
        <v>212</v>
      </c>
      <c r="AO94" t="s">
        <v>213</v>
      </c>
      <c r="AP94" t="s">
        <v>214</v>
      </c>
      <c r="AQ94" t="s">
        <v>74</v>
      </c>
      <c r="AR94" t="s">
        <v>215</v>
      </c>
      <c r="AS94" t="s">
        <v>216</v>
      </c>
      <c r="AT94" t="s">
        <v>74</v>
      </c>
      <c r="AU94">
        <v>2019</v>
      </c>
      <c r="AV94">
        <v>51</v>
      </c>
      <c r="AW94">
        <v>1</v>
      </c>
      <c r="AX94" t="s">
        <v>74</v>
      </c>
      <c r="AY94" t="s">
        <v>74</v>
      </c>
      <c r="AZ94" t="s">
        <v>74</v>
      </c>
      <c r="BA94" t="s">
        <v>74</v>
      </c>
      <c r="BB94">
        <v>58</v>
      </c>
      <c r="BC94">
        <v>68</v>
      </c>
      <c r="BD94" t="s">
        <v>74</v>
      </c>
      <c r="BE94" t="s">
        <v>1823</v>
      </c>
      <c r="BF94" t="str">
        <f>HYPERLINK("http://dx.doi.org/10.1080/15230430.2019.1578163","http://dx.doi.org/10.1080/15230430.2019.1578163")</f>
        <v>http://dx.doi.org/10.1080/15230430.2019.1578163</v>
      </c>
      <c r="BG94" t="s">
        <v>74</v>
      </c>
      <c r="BH94" t="s">
        <v>74</v>
      </c>
      <c r="BI94">
        <v>11</v>
      </c>
      <c r="BJ94" t="s">
        <v>218</v>
      </c>
      <c r="BK94" t="s">
        <v>101</v>
      </c>
      <c r="BL94" t="s">
        <v>219</v>
      </c>
      <c r="BM94" t="s">
        <v>1756</v>
      </c>
      <c r="BN94" t="s">
        <v>74</v>
      </c>
      <c r="BO94" t="s">
        <v>949</v>
      </c>
      <c r="BP94" t="s">
        <v>74</v>
      </c>
      <c r="BQ94" t="s">
        <v>74</v>
      </c>
      <c r="BR94" t="s">
        <v>104</v>
      </c>
      <c r="BS94" t="s">
        <v>1824</v>
      </c>
      <c r="BT94" t="str">
        <f>HYPERLINK("https%3A%2F%2Fwww.webofscience.com%2Fwos%2Fwoscc%2Ffull-record%2FWOS:000486105800005","View Full Record in Web of Science")</f>
        <v>View Full Record in Web of Science</v>
      </c>
    </row>
    <row r="95" spans="1:72" x14ac:dyDescent="0.15">
      <c r="A95" t="s">
        <v>72</v>
      </c>
      <c r="B95" t="s">
        <v>1825</v>
      </c>
      <c r="C95" t="s">
        <v>74</v>
      </c>
      <c r="D95" t="s">
        <v>74</v>
      </c>
      <c r="E95" t="s">
        <v>74</v>
      </c>
      <c r="F95" t="s">
        <v>1826</v>
      </c>
      <c r="G95" t="s">
        <v>74</v>
      </c>
      <c r="H95" t="s">
        <v>74</v>
      </c>
      <c r="I95" t="s">
        <v>1827</v>
      </c>
      <c r="J95" t="s">
        <v>198</v>
      </c>
      <c r="K95" t="s">
        <v>74</v>
      </c>
      <c r="L95" t="s">
        <v>74</v>
      </c>
      <c r="M95" t="s">
        <v>78</v>
      </c>
      <c r="N95" t="s">
        <v>79</v>
      </c>
      <c r="O95" t="s">
        <v>74</v>
      </c>
      <c r="P95" t="s">
        <v>74</v>
      </c>
      <c r="Q95" t="s">
        <v>74</v>
      </c>
      <c r="R95" t="s">
        <v>74</v>
      </c>
      <c r="S95" t="s">
        <v>74</v>
      </c>
      <c r="T95" t="s">
        <v>1828</v>
      </c>
      <c r="U95" t="s">
        <v>1829</v>
      </c>
      <c r="V95" t="s">
        <v>1830</v>
      </c>
      <c r="W95" t="s">
        <v>1831</v>
      </c>
      <c r="X95" t="s">
        <v>1832</v>
      </c>
      <c r="Y95" t="s">
        <v>1833</v>
      </c>
      <c r="Z95" t="s">
        <v>1834</v>
      </c>
      <c r="AA95" t="s">
        <v>74</v>
      </c>
      <c r="AB95" t="s">
        <v>1835</v>
      </c>
      <c r="AC95" t="s">
        <v>1836</v>
      </c>
      <c r="AD95" t="s">
        <v>1837</v>
      </c>
      <c r="AE95" t="s">
        <v>1838</v>
      </c>
      <c r="AF95" t="s">
        <v>74</v>
      </c>
      <c r="AG95">
        <v>51</v>
      </c>
      <c r="AH95">
        <v>7</v>
      </c>
      <c r="AI95">
        <v>8</v>
      </c>
      <c r="AJ95">
        <v>0</v>
      </c>
      <c r="AK95">
        <v>10</v>
      </c>
      <c r="AL95" t="s">
        <v>210</v>
      </c>
      <c r="AM95" t="s">
        <v>211</v>
      </c>
      <c r="AN95" t="s">
        <v>212</v>
      </c>
      <c r="AO95" t="s">
        <v>213</v>
      </c>
      <c r="AP95" t="s">
        <v>214</v>
      </c>
      <c r="AQ95" t="s">
        <v>74</v>
      </c>
      <c r="AR95" t="s">
        <v>215</v>
      </c>
      <c r="AS95" t="s">
        <v>216</v>
      </c>
      <c r="AT95" t="s">
        <v>74</v>
      </c>
      <c r="AU95">
        <v>2019</v>
      </c>
      <c r="AV95">
        <v>51</v>
      </c>
      <c r="AW95">
        <v>1</v>
      </c>
      <c r="AX95" t="s">
        <v>74</v>
      </c>
      <c r="AY95" t="s">
        <v>74</v>
      </c>
      <c r="AZ95" t="s">
        <v>74</v>
      </c>
      <c r="BA95" t="s">
        <v>74</v>
      </c>
      <c r="BB95">
        <v>70</v>
      </c>
      <c r="BC95">
        <v>83</v>
      </c>
      <c r="BD95" t="s">
        <v>74</v>
      </c>
      <c r="BE95" t="s">
        <v>1839</v>
      </c>
      <c r="BF95" t="str">
        <f>HYPERLINK("http://dx.doi.org/10.1080/15230430.2019.1582269","http://dx.doi.org/10.1080/15230430.2019.1582269")</f>
        <v>http://dx.doi.org/10.1080/15230430.2019.1582269</v>
      </c>
      <c r="BG95" t="s">
        <v>74</v>
      </c>
      <c r="BH95" t="s">
        <v>74</v>
      </c>
      <c r="BI95">
        <v>14</v>
      </c>
      <c r="BJ95" t="s">
        <v>218</v>
      </c>
      <c r="BK95" t="s">
        <v>101</v>
      </c>
      <c r="BL95" t="s">
        <v>219</v>
      </c>
      <c r="BM95" t="s">
        <v>1756</v>
      </c>
      <c r="BN95" t="s">
        <v>74</v>
      </c>
      <c r="BO95" t="s">
        <v>221</v>
      </c>
      <c r="BP95" t="s">
        <v>74</v>
      </c>
      <c r="BQ95" t="s">
        <v>74</v>
      </c>
      <c r="BR95" t="s">
        <v>104</v>
      </c>
      <c r="BS95" t="s">
        <v>1840</v>
      </c>
      <c r="BT95" t="str">
        <f>HYPERLINK("https%3A%2F%2Fwww.webofscience.com%2Fwos%2Fwoscc%2Ffull-record%2FWOS:000486105800006","View Full Record in Web of Science")</f>
        <v>View Full Record in Web of Science</v>
      </c>
    </row>
    <row r="96" spans="1:72" x14ac:dyDescent="0.15">
      <c r="A96" t="s">
        <v>72</v>
      </c>
      <c r="B96" t="s">
        <v>1841</v>
      </c>
      <c r="C96" t="s">
        <v>74</v>
      </c>
      <c r="D96" t="s">
        <v>74</v>
      </c>
      <c r="E96" t="s">
        <v>74</v>
      </c>
      <c r="F96" t="s">
        <v>1842</v>
      </c>
      <c r="G96" t="s">
        <v>74</v>
      </c>
      <c r="H96" t="s">
        <v>74</v>
      </c>
      <c r="I96" t="s">
        <v>1843</v>
      </c>
      <c r="J96" t="s">
        <v>198</v>
      </c>
      <c r="K96" t="s">
        <v>74</v>
      </c>
      <c r="L96" t="s">
        <v>74</v>
      </c>
      <c r="M96" t="s">
        <v>78</v>
      </c>
      <c r="N96" t="s">
        <v>79</v>
      </c>
      <c r="O96" t="s">
        <v>74</v>
      </c>
      <c r="P96" t="s">
        <v>74</v>
      </c>
      <c r="Q96" t="s">
        <v>74</v>
      </c>
      <c r="R96" t="s">
        <v>74</v>
      </c>
      <c r="S96" t="s">
        <v>74</v>
      </c>
      <c r="T96" t="s">
        <v>1844</v>
      </c>
      <c r="U96" t="s">
        <v>1845</v>
      </c>
      <c r="V96" t="s">
        <v>1846</v>
      </c>
      <c r="W96" t="s">
        <v>1847</v>
      </c>
      <c r="X96" t="s">
        <v>1848</v>
      </c>
      <c r="Y96" t="s">
        <v>1849</v>
      </c>
      <c r="Z96" t="s">
        <v>1850</v>
      </c>
      <c r="AA96" t="s">
        <v>74</v>
      </c>
      <c r="AB96" t="s">
        <v>1851</v>
      </c>
      <c r="AC96" t="s">
        <v>74</v>
      </c>
      <c r="AD96" t="s">
        <v>74</v>
      </c>
      <c r="AE96" t="s">
        <v>74</v>
      </c>
      <c r="AF96" t="s">
        <v>74</v>
      </c>
      <c r="AG96">
        <v>62</v>
      </c>
      <c r="AH96">
        <v>8</v>
      </c>
      <c r="AI96">
        <v>8</v>
      </c>
      <c r="AJ96">
        <v>0</v>
      </c>
      <c r="AK96">
        <v>12</v>
      </c>
      <c r="AL96" t="s">
        <v>210</v>
      </c>
      <c r="AM96" t="s">
        <v>211</v>
      </c>
      <c r="AN96" t="s">
        <v>212</v>
      </c>
      <c r="AO96" t="s">
        <v>213</v>
      </c>
      <c r="AP96" t="s">
        <v>214</v>
      </c>
      <c r="AQ96" t="s">
        <v>74</v>
      </c>
      <c r="AR96" t="s">
        <v>215</v>
      </c>
      <c r="AS96" t="s">
        <v>216</v>
      </c>
      <c r="AT96" t="s">
        <v>74</v>
      </c>
      <c r="AU96">
        <v>2019</v>
      </c>
      <c r="AV96">
        <v>51</v>
      </c>
      <c r="AW96">
        <v>1</v>
      </c>
      <c r="AX96" t="s">
        <v>74</v>
      </c>
      <c r="AY96" t="s">
        <v>74</v>
      </c>
      <c r="AZ96" t="s">
        <v>74</v>
      </c>
      <c r="BA96" t="s">
        <v>74</v>
      </c>
      <c r="BB96">
        <v>84</v>
      </c>
      <c r="BC96">
        <v>95</v>
      </c>
      <c r="BD96" t="s">
        <v>74</v>
      </c>
      <c r="BE96" t="s">
        <v>1852</v>
      </c>
      <c r="BF96" t="str">
        <f>HYPERLINK("http://dx.doi.org/10.1080/15230430.2019.1585173","http://dx.doi.org/10.1080/15230430.2019.1585173")</f>
        <v>http://dx.doi.org/10.1080/15230430.2019.1585173</v>
      </c>
      <c r="BG96" t="s">
        <v>74</v>
      </c>
      <c r="BH96" t="s">
        <v>74</v>
      </c>
      <c r="BI96">
        <v>12</v>
      </c>
      <c r="BJ96" t="s">
        <v>218</v>
      </c>
      <c r="BK96" t="s">
        <v>101</v>
      </c>
      <c r="BL96" t="s">
        <v>219</v>
      </c>
      <c r="BM96" t="s">
        <v>1756</v>
      </c>
      <c r="BN96" t="s">
        <v>74</v>
      </c>
      <c r="BO96" t="s">
        <v>131</v>
      </c>
      <c r="BP96" t="s">
        <v>74</v>
      </c>
      <c r="BQ96" t="s">
        <v>74</v>
      </c>
      <c r="BR96" t="s">
        <v>104</v>
      </c>
      <c r="BS96" t="s">
        <v>1853</v>
      </c>
      <c r="BT96" t="str">
        <f>HYPERLINK("https%3A%2F%2Fwww.webofscience.com%2Fwos%2Fwoscc%2Ffull-record%2FWOS:000486105800007","View Full Record in Web of Science")</f>
        <v>View Full Record in Web of Science</v>
      </c>
    </row>
    <row r="97" spans="1:72" x14ac:dyDescent="0.15">
      <c r="A97" t="s">
        <v>72</v>
      </c>
      <c r="B97" t="s">
        <v>1854</v>
      </c>
      <c r="C97" t="s">
        <v>74</v>
      </c>
      <c r="D97" t="s">
        <v>74</v>
      </c>
      <c r="E97" t="s">
        <v>74</v>
      </c>
      <c r="F97" t="s">
        <v>1855</v>
      </c>
      <c r="G97" t="s">
        <v>74</v>
      </c>
      <c r="H97" t="s">
        <v>74</v>
      </c>
      <c r="I97" t="s">
        <v>1856</v>
      </c>
      <c r="J97" t="s">
        <v>198</v>
      </c>
      <c r="K97" t="s">
        <v>74</v>
      </c>
      <c r="L97" t="s">
        <v>74</v>
      </c>
      <c r="M97" t="s">
        <v>78</v>
      </c>
      <c r="N97" t="s">
        <v>79</v>
      </c>
      <c r="O97" t="s">
        <v>74</v>
      </c>
      <c r="P97" t="s">
        <v>74</v>
      </c>
      <c r="Q97" t="s">
        <v>74</v>
      </c>
      <c r="R97" t="s">
        <v>74</v>
      </c>
      <c r="S97" t="s">
        <v>74</v>
      </c>
      <c r="T97" t="s">
        <v>1857</v>
      </c>
      <c r="U97" t="s">
        <v>1858</v>
      </c>
      <c r="V97" t="s">
        <v>1859</v>
      </c>
      <c r="W97" t="s">
        <v>1860</v>
      </c>
      <c r="X97" t="s">
        <v>1861</v>
      </c>
      <c r="Y97" t="s">
        <v>1862</v>
      </c>
      <c r="Z97" t="s">
        <v>1863</v>
      </c>
      <c r="AA97" t="s">
        <v>1864</v>
      </c>
      <c r="AB97" t="s">
        <v>1865</v>
      </c>
      <c r="AC97" t="s">
        <v>1866</v>
      </c>
      <c r="AD97" t="s">
        <v>1867</v>
      </c>
      <c r="AE97" t="s">
        <v>1868</v>
      </c>
      <c r="AF97" t="s">
        <v>74</v>
      </c>
      <c r="AG97">
        <v>105</v>
      </c>
      <c r="AH97">
        <v>6</v>
      </c>
      <c r="AI97">
        <v>6</v>
      </c>
      <c r="AJ97">
        <v>1</v>
      </c>
      <c r="AK97">
        <v>8</v>
      </c>
      <c r="AL97" t="s">
        <v>210</v>
      </c>
      <c r="AM97" t="s">
        <v>211</v>
      </c>
      <c r="AN97" t="s">
        <v>212</v>
      </c>
      <c r="AO97" t="s">
        <v>213</v>
      </c>
      <c r="AP97" t="s">
        <v>214</v>
      </c>
      <c r="AQ97" t="s">
        <v>74</v>
      </c>
      <c r="AR97" t="s">
        <v>215</v>
      </c>
      <c r="AS97" t="s">
        <v>216</v>
      </c>
      <c r="AT97" t="s">
        <v>74</v>
      </c>
      <c r="AU97">
        <v>2019</v>
      </c>
      <c r="AV97">
        <v>51</v>
      </c>
      <c r="AW97">
        <v>1</v>
      </c>
      <c r="AX97" t="s">
        <v>74</v>
      </c>
      <c r="AY97" t="s">
        <v>74</v>
      </c>
      <c r="AZ97" t="s">
        <v>74</v>
      </c>
      <c r="BA97" t="s">
        <v>74</v>
      </c>
      <c r="BB97">
        <v>96</v>
      </c>
      <c r="BC97">
        <v>114</v>
      </c>
      <c r="BD97" t="s">
        <v>74</v>
      </c>
      <c r="BE97" t="s">
        <v>1869</v>
      </c>
      <c r="BF97" t="str">
        <f>HYPERLINK("http://dx.doi.org/10.1080/15230430.2019.1592648","http://dx.doi.org/10.1080/15230430.2019.1592648")</f>
        <v>http://dx.doi.org/10.1080/15230430.2019.1592648</v>
      </c>
      <c r="BG97" t="s">
        <v>74</v>
      </c>
      <c r="BH97" t="s">
        <v>74</v>
      </c>
      <c r="BI97">
        <v>19</v>
      </c>
      <c r="BJ97" t="s">
        <v>218</v>
      </c>
      <c r="BK97" t="s">
        <v>101</v>
      </c>
      <c r="BL97" t="s">
        <v>219</v>
      </c>
      <c r="BM97" t="s">
        <v>1756</v>
      </c>
      <c r="BN97" t="s">
        <v>74</v>
      </c>
      <c r="BO97" t="s">
        <v>949</v>
      </c>
      <c r="BP97" t="s">
        <v>74</v>
      </c>
      <c r="BQ97" t="s">
        <v>74</v>
      </c>
      <c r="BR97" t="s">
        <v>104</v>
      </c>
      <c r="BS97" t="s">
        <v>1870</v>
      </c>
      <c r="BT97" t="str">
        <f>HYPERLINK("https%3A%2F%2Fwww.webofscience.com%2Fwos%2Fwoscc%2Ffull-record%2FWOS:000486105800008","View Full Record in Web of Science")</f>
        <v>View Full Record in Web of Science</v>
      </c>
    </row>
    <row r="98" spans="1:72" x14ac:dyDescent="0.15">
      <c r="A98" t="s">
        <v>72</v>
      </c>
      <c r="B98" t="s">
        <v>1871</v>
      </c>
      <c r="C98" t="s">
        <v>74</v>
      </c>
      <c r="D98" t="s">
        <v>74</v>
      </c>
      <c r="E98" t="s">
        <v>74</v>
      </c>
      <c r="F98" t="s">
        <v>1872</v>
      </c>
      <c r="G98" t="s">
        <v>74</v>
      </c>
      <c r="H98" t="s">
        <v>74</v>
      </c>
      <c r="I98" t="s">
        <v>1873</v>
      </c>
      <c r="J98" t="s">
        <v>198</v>
      </c>
      <c r="K98" t="s">
        <v>74</v>
      </c>
      <c r="L98" t="s">
        <v>74</v>
      </c>
      <c r="M98" t="s">
        <v>78</v>
      </c>
      <c r="N98" t="s">
        <v>79</v>
      </c>
      <c r="O98" t="s">
        <v>74</v>
      </c>
      <c r="P98" t="s">
        <v>74</v>
      </c>
      <c r="Q98" t="s">
        <v>74</v>
      </c>
      <c r="R98" t="s">
        <v>74</v>
      </c>
      <c r="S98" t="s">
        <v>74</v>
      </c>
      <c r="T98" t="s">
        <v>1874</v>
      </c>
      <c r="U98" t="s">
        <v>1875</v>
      </c>
      <c r="V98" t="s">
        <v>1876</v>
      </c>
      <c r="W98" t="s">
        <v>1877</v>
      </c>
      <c r="X98" t="s">
        <v>1878</v>
      </c>
      <c r="Y98" t="s">
        <v>1879</v>
      </c>
      <c r="Z98" t="s">
        <v>1880</v>
      </c>
      <c r="AA98" t="s">
        <v>1881</v>
      </c>
      <c r="AB98" t="s">
        <v>1882</v>
      </c>
      <c r="AC98" t="s">
        <v>1883</v>
      </c>
      <c r="AD98" t="s">
        <v>1884</v>
      </c>
      <c r="AE98" t="s">
        <v>1885</v>
      </c>
      <c r="AF98" t="s">
        <v>74</v>
      </c>
      <c r="AG98">
        <v>106</v>
      </c>
      <c r="AH98">
        <v>8</v>
      </c>
      <c r="AI98">
        <v>8</v>
      </c>
      <c r="AJ98">
        <v>3</v>
      </c>
      <c r="AK98">
        <v>40</v>
      </c>
      <c r="AL98" t="s">
        <v>210</v>
      </c>
      <c r="AM98" t="s">
        <v>211</v>
      </c>
      <c r="AN98" t="s">
        <v>212</v>
      </c>
      <c r="AO98" t="s">
        <v>213</v>
      </c>
      <c r="AP98" t="s">
        <v>214</v>
      </c>
      <c r="AQ98" t="s">
        <v>74</v>
      </c>
      <c r="AR98" t="s">
        <v>215</v>
      </c>
      <c r="AS98" t="s">
        <v>216</v>
      </c>
      <c r="AT98" t="s">
        <v>74</v>
      </c>
      <c r="AU98">
        <v>2019</v>
      </c>
      <c r="AV98">
        <v>51</v>
      </c>
      <c r="AW98">
        <v>1</v>
      </c>
      <c r="AX98" t="s">
        <v>74</v>
      </c>
      <c r="AY98" t="s">
        <v>74</v>
      </c>
      <c r="AZ98" t="s">
        <v>74</v>
      </c>
      <c r="BA98" t="s">
        <v>74</v>
      </c>
      <c r="BB98">
        <v>128</v>
      </c>
      <c r="BC98">
        <v>147</v>
      </c>
      <c r="BD98" t="s">
        <v>74</v>
      </c>
      <c r="BE98" t="s">
        <v>1886</v>
      </c>
      <c r="BF98" t="str">
        <f>HYPERLINK("http://dx.doi.org/10.1080/15230430.2019.1592649","http://dx.doi.org/10.1080/15230430.2019.1592649")</f>
        <v>http://dx.doi.org/10.1080/15230430.2019.1592649</v>
      </c>
      <c r="BG98" t="s">
        <v>74</v>
      </c>
      <c r="BH98" t="s">
        <v>74</v>
      </c>
      <c r="BI98">
        <v>20</v>
      </c>
      <c r="BJ98" t="s">
        <v>218</v>
      </c>
      <c r="BK98" t="s">
        <v>101</v>
      </c>
      <c r="BL98" t="s">
        <v>219</v>
      </c>
      <c r="BM98" t="s">
        <v>1756</v>
      </c>
      <c r="BN98" t="s">
        <v>74</v>
      </c>
      <c r="BO98" t="s">
        <v>221</v>
      </c>
      <c r="BP98" t="s">
        <v>74</v>
      </c>
      <c r="BQ98" t="s">
        <v>74</v>
      </c>
      <c r="BR98" t="s">
        <v>104</v>
      </c>
      <c r="BS98" t="s">
        <v>1887</v>
      </c>
      <c r="BT98" t="str">
        <f>HYPERLINK("https%3A%2F%2Fwww.webofscience.com%2Fwos%2Fwoscc%2Ffull-record%2FWOS:000486105800010","View Full Record in Web of Science")</f>
        <v>View Full Record in Web of Science</v>
      </c>
    </row>
    <row r="99" spans="1:72" x14ac:dyDescent="0.15">
      <c r="A99" t="s">
        <v>72</v>
      </c>
      <c r="B99" t="s">
        <v>1888</v>
      </c>
      <c r="C99" t="s">
        <v>74</v>
      </c>
      <c r="D99" t="s">
        <v>74</v>
      </c>
      <c r="E99" t="s">
        <v>74</v>
      </c>
      <c r="F99" t="s">
        <v>1889</v>
      </c>
      <c r="G99" t="s">
        <v>74</v>
      </c>
      <c r="H99" t="s">
        <v>74</v>
      </c>
      <c r="I99" t="s">
        <v>1890</v>
      </c>
      <c r="J99" t="s">
        <v>198</v>
      </c>
      <c r="K99" t="s">
        <v>74</v>
      </c>
      <c r="L99" t="s">
        <v>74</v>
      </c>
      <c r="M99" t="s">
        <v>78</v>
      </c>
      <c r="N99" t="s">
        <v>79</v>
      </c>
      <c r="O99" t="s">
        <v>74</v>
      </c>
      <c r="P99" t="s">
        <v>74</v>
      </c>
      <c r="Q99" t="s">
        <v>74</v>
      </c>
      <c r="R99" t="s">
        <v>74</v>
      </c>
      <c r="S99" t="s">
        <v>74</v>
      </c>
      <c r="T99" t="s">
        <v>1891</v>
      </c>
      <c r="U99" t="s">
        <v>74</v>
      </c>
      <c r="V99" t="s">
        <v>1892</v>
      </c>
      <c r="W99" t="s">
        <v>1893</v>
      </c>
      <c r="X99" t="s">
        <v>1894</v>
      </c>
      <c r="Y99" t="s">
        <v>1895</v>
      </c>
      <c r="Z99" t="s">
        <v>1896</v>
      </c>
      <c r="AA99" t="s">
        <v>1897</v>
      </c>
      <c r="AB99" t="s">
        <v>1898</v>
      </c>
      <c r="AC99" t="s">
        <v>1899</v>
      </c>
      <c r="AD99" t="s">
        <v>1899</v>
      </c>
      <c r="AE99" t="s">
        <v>1900</v>
      </c>
      <c r="AF99" t="s">
        <v>74</v>
      </c>
      <c r="AG99">
        <v>23</v>
      </c>
      <c r="AH99">
        <v>1</v>
      </c>
      <c r="AI99">
        <v>1</v>
      </c>
      <c r="AJ99">
        <v>0</v>
      </c>
      <c r="AK99">
        <v>2</v>
      </c>
      <c r="AL99" t="s">
        <v>210</v>
      </c>
      <c r="AM99" t="s">
        <v>211</v>
      </c>
      <c r="AN99" t="s">
        <v>212</v>
      </c>
      <c r="AO99" t="s">
        <v>213</v>
      </c>
      <c r="AP99" t="s">
        <v>214</v>
      </c>
      <c r="AQ99" t="s">
        <v>74</v>
      </c>
      <c r="AR99" t="s">
        <v>215</v>
      </c>
      <c r="AS99" t="s">
        <v>216</v>
      </c>
      <c r="AT99" t="s">
        <v>74</v>
      </c>
      <c r="AU99">
        <v>2019</v>
      </c>
      <c r="AV99">
        <v>51</v>
      </c>
      <c r="AW99">
        <v>1</v>
      </c>
      <c r="AX99" t="s">
        <v>74</v>
      </c>
      <c r="AY99" t="s">
        <v>74</v>
      </c>
      <c r="AZ99" t="s">
        <v>74</v>
      </c>
      <c r="BA99" t="s">
        <v>74</v>
      </c>
      <c r="BB99">
        <v>148</v>
      </c>
      <c r="BC99">
        <v>154</v>
      </c>
      <c r="BD99" t="s">
        <v>74</v>
      </c>
      <c r="BE99" t="s">
        <v>1901</v>
      </c>
      <c r="BF99" t="str">
        <f>HYPERLINK("http://dx.doi.org/10.1080/15230430.2019.1600963","http://dx.doi.org/10.1080/15230430.2019.1600963")</f>
        <v>http://dx.doi.org/10.1080/15230430.2019.1600963</v>
      </c>
      <c r="BG99" t="s">
        <v>74</v>
      </c>
      <c r="BH99" t="s">
        <v>74</v>
      </c>
      <c r="BI99">
        <v>7</v>
      </c>
      <c r="BJ99" t="s">
        <v>218</v>
      </c>
      <c r="BK99" t="s">
        <v>101</v>
      </c>
      <c r="BL99" t="s">
        <v>219</v>
      </c>
      <c r="BM99" t="s">
        <v>1756</v>
      </c>
      <c r="BN99" t="s">
        <v>74</v>
      </c>
      <c r="BO99" t="s">
        <v>131</v>
      </c>
      <c r="BP99" t="s">
        <v>74</v>
      </c>
      <c r="BQ99" t="s">
        <v>74</v>
      </c>
      <c r="BR99" t="s">
        <v>104</v>
      </c>
      <c r="BS99" t="s">
        <v>1902</v>
      </c>
      <c r="BT99" t="str">
        <f>HYPERLINK("https%3A%2F%2Fwww.webofscience.com%2Fwos%2Fwoscc%2Ffull-record%2FWOS:000486105800011","View Full Record in Web of Science")</f>
        <v>View Full Record in Web of Science</v>
      </c>
    </row>
    <row r="100" spans="1:72" x14ac:dyDescent="0.15">
      <c r="A100" t="s">
        <v>72</v>
      </c>
      <c r="B100" t="s">
        <v>1903</v>
      </c>
      <c r="C100" t="s">
        <v>74</v>
      </c>
      <c r="D100" t="s">
        <v>74</v>
      </c>
      <c r="E100" t="s">
        <v>74</v>
      </c>
      <c r="F100" t="s">
        <v>1904</v>
      </c>
      <c r="G100" t="s">
        <v>74</v>
      </c>
      <c r="H100" t="s">
        <v>74</v>
      </c>
      <c r="I100" t="s">
        <v>1905</v>
      </c>
      <c r="J100" t="s">
        <v>198</v>
      </c>
      <c r="K100" t="s">
        <v>74</v>
      </c>
      <c r="L100" t="s">
        <v>74</v>
      </c>
      <c r="M100" t="s">
        <v>78</v>
      </c>
      <c r="N100" t="s">
        <v>79</v>
      </c>
      <c r="O100" t="s">
        <v>74</v>
      </c>
      <c r="P100" t="s">
        <v>74</v>
      </c>
      <c r="Q100" t="s">
        <v>74</v>
      </c>
      <c r="R100" t="s">
        <v>74</v>
      </c>
      <c r="S100" t="s">
        <v>74</v>
      </c>
      <c r="T100" t="s">
        <v>1906</v>
      </c>
      <c r="U100" t="s">
        <v>1907</v>
      </c>
      <c r="V100" t="s">
        <v>1908</v>
      </c>
      <c r="W100" t="s">
        <v>1909</v>
      </c>
      <c r="X100" t="s">
        <v>1910</v>
      </c>
      <c r="Y100" t="s">
        <v>1911</v>
      </c>
      <c r="Z100" t="s">
        <v>1912</v>
      </c>
      <c r="AA100" t="s">
        <v>1913</v>
      </c>
      <c r="AB100" t="s">
        <v>1914</v>
      </c>
      <c r="AC100" t="s">
        <v>1915</v>
      </c>
      <c r="AD100" t="s">
        <v>1916</v>
      </c>
      <c r="AE100" t="s">
        <v>1917</v>
      </c>
      <c r="AF100" t="s">
        <v>74</v>
      </c>
      <c r="AG100">
        <v>86</v>
      </c>
      <c r="AH100">
        <v>15</v>
      </c>
      <c r="AI100">
        <v>15</v>
      </c>
      <c r="AJ100">
        <v>3</v>
      </c>
      <c r="AK100">
        <v>47</v>
      </c>
      <c r="AL100" t="s">
        <v>210</v>
      </c>
      <c r="AM100" t="s">
        <v>211</v>
      </c>
      <c r="AN100" t="s">
        <v>212</v>
      </c>
      <c r="AO100" t="s">
        <v>213</v>
      </c>
      <c r="AP100" t="s">
        <v>214</v>
      </c>
      <c r="AQ100" t="s">
        <v>74</v>
      </c>
      <c r="AR100" t="s">
        <v>215</v>
      </c>
      <c r="AS100" t="s">
        <v>216</v>
      </c>
      <c r="AT100" t="s">
        <v>74</v>
      </c>
      <c r="AU100">
        <v>2019</v>
      </c>
      <c r="AV100">
        <v>51</v>
      </c>
      <c r="AW100">
        <v>1</v>
      </c>
      <c r="AX100" t="s">
        <v>74</v>
      </c>
      <c r="AY100" t="s">
        <v>74</v>
      </c>
      <c r="AZ100" t="s">
        <v>74</v>
      </c>
      <c r="BA100" t="s">
        <v>74</v>
      </c>
      <c r="BB100">
        <v>155</v>
      </c>
      <c r="BC100">
        <v>172</v>
      </c>
      <c r="BD100" t="s">
        <v>74</v>
      </c>
      <c r="BE100" t="s">
        <v>1918</v>
      </c>
      <c r="BF100" t="str">
        <f>HYPERLINK("http://dx.doi.org/10.1080/15230430.2019.1605798","http://dx.doi.org/10.1080/15230430.2019.1605798")</f>
        <v>http://dx.doi.org/10.1080/15230430.2019.1605798</v>
      </c>
      <c r="BG100" t="s">
        <v>74</v>
      </c>
      <c r="BH100" t="s">
        <v>74</v>
      </c>
      <c r="BI100">
        <v>18</v>
      </c>
      <c r="BJ100" t="s">
        <v>218</v>
      </c>
      <c r="BK100" t="s">
        <v>101</v>
      </c>
      <c r="BL100" t="s">
        <v>219</v>
      </c>
      <c r="BM100" t="s">
        <v>1756</v>
      </c>
      <c r="BN100" t="s">
        <v>74</v>
      </c>
      <c r="BO100" t="s">
        <v>131</v>
      </c>
      <c r="BP100" t="s">
        <v>74</v>
      </c>
      <c r="BQ100" t="s">
        <v>74</v>
      </c>
      <c r="BR100" t="s">
        <v>104</v>
      </c>
      <c r="BS100" t="s">
        <v>1919</v>
      </c>
      <c r="BT100" t="str">
        <f>HYPERLINK("https%3A%2F%2Fwww.webofscience.com%2Fwos%2Fwoscc%2Ffull-record%2FWOS:000486105800012","View Full Record in Web of Science")</f>
        <v>View Full Record in Web of Science</v>
      </c>
    </row>
    <row r="101" spans="1:72" x14ac:dyDescent="0.15">
      <c r="A101" t="s">
        <v>72</v>
      </c>
      <c r="B101" t="s">
        <v>1920</v>
      </c>
      <c r="C101" t="s">
        <v>74</v>
      </c>
      <c r="D101" t="s">
        <v>74</v>
      </c>
      <c r="E101" t="s">
        <v>74</v>
      </c>
      <c r="F101" t="s">
        <v>1921</v>
      </c>
      <c r="G101" t="s">
        <v>74</v>
      </c>
      <c r="H101" t="s">
        <v>74</v>
      </c>
      <c r="I101" t="s">
        <v>1922</v>
      </c>
      <c r="J101" t="s">
        <v>198</v>
      </c>
      <c r="K101" t="s">
        <v>74</v>
      </c>
      <c r="L101" t="s">
        <v>74</v>
      </c>
      <c r="M101" t="s">
        <v>78</v>
      </c>
      <c r="N101" t="s">
        <v>79</v>
      </c>
      <c r="O101" t="s">
        <v>74</v>
      </c>
      <c r="P101" t="s">
        <v>74</v>
      </c>
      <c r="Q101" t="s">
        <v>74</v>
      </c>
      <c r="R101" t="s">
        <v>74</v>
      </c>
      <c r="S101" t="s">
        <v>74</v>
      </c>
      <c r="T101" t="s">
        <v>1923</v>
      </c>
      <c r="U101" t="s">
        <v>1924</v>
      </c>
      <c r="V101" t="s">
        <v>1925</v>
      </c>
      <c r="W101" t="s">
        <v>1926</v>
      </c>
      <c r="X101" t="s">
        <v>1927</v>
      </c>
      <c r="Y101" t="s">
        <v>1928</v>
      </c>
      <c r="Z101" t="s">
        <v>1929</v>
      </c>
      <c r="AA101" t="s">
        <v>74</v>
      </c>
      <c r="AB101" t="s">
        <v>1930</v>
      </c>
      <c r="AC101" t="s">
        <v>1931</v>
      </c>
      <c r="AD101" t="s">
        <v>1931</v>
      </c>
      <c r="AE101" t="s">
        <v>1932</v>
      </c>
      <c r="AF101" t="s">
        <v>74</v>
      </c>
      <c r="AG101">
        <v>85</v>
      </c>
      <c r="AH101">
        <v>48</v>
      </c>
      <c r="AI101">
        <v>50</v>
      </c>
      <c r="AJ101">
        <v>1</v>
      </c>
      <c r="AK101">
        <v>14</v>
      </c>
      <c r="AL101" t="s">
        <v>210</v>
      </c>
      <c r="AM101" t="s">
        <v>211</v>
      </c>
      <c r="AN101" t="s">
        <v>212</v>
      </c>
      <c r="AO101" t="s">
        <v>213</v>
      </c>
      <c r="AP101" t="s">
        <v>214</v>
      </c>
      <c r="AQ101" t="s">
        <v>74</v>
      </c>
      <c r="AR101" t="s">
        <v>215</v>
      </c>
      <c r="AS101" t="s">
        <v>216</v>
      </c>
      <c r="AT101" t="s">
        <v>74</v>
      </c>
      <c r="AU101">
        <v>2019</v>
      </c>
      <c r="AV101">
        <v>51</v>
      </c>
      <c r="AW101">
        <v>1</v>
      </c>
      <c r="AX101" t="s">
        <v>74</v>
      </c>
      <c r="AY101" t="s">
        <v>74</v>
      </c>
      <c r="AZ101" t="s">
        <v>74</v>
      </c>
      <c r="BA101" t="s">
        <v>74</v>
      </c>
      <c r="BB101">
        <v>176</v>
      </c>
      <c r="BC101">
        <v>189</v>
      </c>
      <c r="BD101" t="s">
        <v>74</v>
      </c>
      <c r="BE101" t="s">
        <v>1933</v>
      </c>
      <c r="BF101" t="str">
        <f>HYPERLINK("http://dx.doi.org/10.1080/15230430.2019.1612216","http://dx.doi.org/10.1080/15230430.2019.1612216")</f>
        <v>http://dx.doi.org/10.1080/15230430.2019.1612216</v>
      </c>
      <c r="BG101" t="s">
        <v>74</v>
      </c>
      <c r="BH101" t="s">
        <v>74</v>
      </c>
      <c r="BI101">
        <v>14</v>
      </c>
      <c r="BJ101" t="s">
        <v>218</v>
      </c>
      <c r="BK101" t="s">
        <v>101</v>
      </c>
      <c r="BL101" t="s">
        <v>219</v>
      </c>
      <c r="BM101" t="s">
        <v>1756</v>
      </c>
      <c r="BN101" t="s">
        <v>74</v>
      </c>
      <c r="BO101" t="s">
        <v>221</v>
      </c>
      <c r="BP101" t="s">
        <v>74</v>
      </c>
      <c r="BQ101" t="s">
        <v>74</v>
      </c>
      <c r="BR101" t="s">
        <v>104</v>
      </c>
      <c r="BS101" t="s">
        <v>1934</v>
      </c>
      <c r="BT101" t="str">
        <f>HYPERLINK("https%3A%2F%2Fwww.webofscience.com%2Fwos%2Fwoscc%2Ffull-record%2FWOS:000486105800013","View Full Record in Web of Science")</f>
        <v>View Full Record in Web of Science</v>
      </c>
    </row>
    <row r="102" spans="1:72" x14ac:dyDescent="0.15">
      <c r="A102" t="s">
        <v>72</v>
      </c>
      <c r="B102" t="s">
        <v>1935</v>
      </c>
      <c r="C102" t="s">
        <v>74</v>
      </c>
      <c r="D102" t="s">
        <v>74</v>
      </c>
      <c r="E102" t="s">
        <v>74</v>
      </c>
      <c r="F102" t="s">
        <v>1936</v>
      </c>
      <c r="G102" t="s">
        <v>74</v>
      </c>
      <c r="H102" t="s">
        <v>74</v>
      </c>
      <c r="I102" t="s">
        <v>1937</v>
      </c>
      <c r="J102" t="s">
        <v>198</v>
      </c>
      <c r="K102" t="s">
        <v>74</v>
      </c>
      <c r="L102" t="s">
        <v>74</v>
      </c>
      <c r="M102" t="s">
        <v>78</v>
      </c>
      <c r="N102" t="s">
        <v>79</v>
      </c>
      <c r="O102" t="s">
        <v>74</v>
      </c>
      <c r="P102" t="s">
        <v>74</v>
      </c>
      <c r="Q102" t="s">
        <v>74</v>
      </c>
      <c r="R102" t="s">
        <v>74</v>
      </c>
      <c r="S102" t="s">
        <v>74</v>
      </c>
      <c r="T102" t="s">
        <v>1938</v>
      </c>
      <c r="U102" t="s">
        <v>1939</v>
      </c>
      <c r="V102" t="s">
        <v>1940</v>
      </c>
      <c r="W102" t="s">
        <v>1941</v>
      </c>
      <c r="X102" t="s">
        <v>1942</v>
      </c>
      <c r="Y102" t="s">
        <v>1943</v>
      </c>
      <c r="Z102" t="s">
        <v>1944</v>
      </c>
      <c r="AA102" t="s">
        <v>1945</v>
      </c>
      <c r="AB102" t="s">
        <v>1946</v>
      </c>
      <c r="AC102" t="s">
        <v>1947</v>
      </c>
      <c r="AD102" t="s">
        <v>1948</v>
      </c>
      <c r="AE102" t="s">
        <v>1949</v>
      </c>
      <c r="AF102" t="s">
        <v>74</v>
      </c>
      <c r="AG102">
        <v>69</v>
      </c>
      <c r="AH102">
        <v>13</v>
      </c>
      <c r="AI102">
        <v>16</v>
      </c>
      <c r="AJ102">
        <v>1</v>
      </c>
      <c r="AK102">
        <v>12</v>
      </c>
      <c r="AL102" t="s">
        <v>210</v>
      </c>
      <c r="AM102" t="s">
        <v>211</v>
      </c>
      <c r="AN102" t="s">
        <v>212</v>
      </c>
      <c r="AO102" t="s">
        <v>213</v>
      </c>
      <c r="AP102" t="s">
        <v>214</v>
      </c>
      <c r="AQ102" t="s">
        <v>74</v>
      </c>
      <c r="AR102" t="s">
        <v>215</v>
      </c>
      <c r="AS102" t="s">
        <v>216</v>
      </c>
      <c r="AT102" t="s">
        <v>74</v>
      </c>
      <c r="AU102">
        <v>2019</v>
      </c>
      <c r="AV102">
        <v>51</v>
      </c>
      <c r="AW102">
        <v>1</v>
      </c>
      <c r="AX102" t="s">
        <v>74</v>
      </c>
      <c r="AY102" t="s">
        <v>74</v>
      </c>
      <c r="AZ102" t="s">
        <v>74</v>
      </c>
      <c r="BA102" t="s">
        <v>74</v>
      </c>
      <c r="BB102">
        <v>190</v>
      </c>
      <c r="BC102">
        <v>200</v>
      </c>
      <c r="BD102" t="s">
        <v>74</v>
      </c>
      <c r="BE102" t="s">
        <v>1950</v>
      </c>
      <c r="BF102" t="str">
        <f>HYPERLINK("http://dx.doi.org/10.1080/15230430.2019.1618115","http://dx.doi.org/10.1080/15230430.2019.1618115")</f>
        <v>http://dx.doi.org/10.1080/15230430.2019.1618115</v>
      </c>
      <c r="BG102" t="s">
        <v>74</v>
      </c>
      <c r="BH102" t="s">
        <v>74</v>
      </c>
      <c r="BI102">
        <v>11</v>
      </c>
      <c r="BJ102" t="s">
        <v>218</v>
      </c>
      <c r="BK102" t="s">
        <v>101</v>
      </c>
      <c r="BL102" t="s">
        <v>219</v>
      </c>
      <c r="BM102" t="s">
        <v>1756</v>
      </c>
      <c r="BN102" t="s">
        <v>74</v>
      </c>
      <c r="BO102" t="s">
        <v>131</v>
      </c>
      <c r="BP102" t="s">
        <v>74</v>
      </c>
      <c r="BQ102" t="s">
        <v>74</v>
      </c>
      <c r="BR102" t="s">
        <v>104</v>
      </c>
      <c r="BS102" t="s">
        <v>1951</v>
      </c>
      <c r="BT102" t="str">
        <f>HYPERLINK("https%3A%2F%2Fwww.webofscience.com%2Fwos%2Fwoscc%2Ffull-record%2FWOS:000486105800014","View Full Record in Web of Science")</f>
        <v>View Full Record in Web of Science</v>
      </c>
    </row>
    <row r="103" spans="1:72" x14ac:dyDescent="0.15">
      <c r="A103" t="s">
        <v>72</v>
      </c>
      <c r="B103" t="s">
        <v>1952</v>
      </c>
      <c r="C103" t="s">
        <v>74</v>
      </c>
      <c r="D103" t="s">
        <v>74</v>
      </c>
      <c r="E103" t="s">
        <v>74</v>
      </c>
      <c r="F103" t="s">
        <v>1953</v>
      </c>
      <c r="G103" t="s">
        <v>74</v>
      </c>
      <c r="H103" t="s">
        <v>74</v>
      </c>
      <c r="I103" t="s">
        <v>1954</v>
      </c>
      <c r="J103" t="s">
        <v>198</v>
      </c>
      <c r="K103" t="s">
        <v>74</v>
      </c>
      <c r="L103" t="s">
        <v>74</v>
      </c>
      <c r="M103" t="s">
        <v>78</v>
      </c>
      <c r="N103" t="s">
        <v>79</v>
      </c>
      <c r="O103" t="s">
        <v>74</v>
      </c>
      <c r="P103" t="s">
        <v>74</v>
      </c>
      <c r="Q103" t="s">
        <v>74</v>
      </c>
      <c r="R103" t="s">
        <v>74</v>
      </c>
      <c r="S103" t="s">
        <v>74</v>
      </c>
      <c r="T103" t="s">
        <v>1955</v>
      </c>
      <c r="U103" t="s">
        <v>1956</v>
      </c>
      <c r="V103" t="s">
        <v>1957</v>
      </c>
      <c r="W103" t="s">
        <v>1958</v>
      </c>
      <c r="X103" t="s">
        <v>1959</v>
      </c>
      <c r="Y103" t="s">
        <v>1960</v>
      </c>
      <c r="Z103" t="s">
        <v>1961</v>
      </c>
      <c r="AA103" t="s">
        <v>74</v>
      </c>
      <c r="AB103" t="s">
        <v>1962</v>
      </c>
      <c r="AC103" t="s">
        <v>1963</v>
      </c>
      <c r="AD103" t="s">
        <v>1964</v>
      </c>
      <c r="AE103" t="s">
        <v>1965</v>
      </c>
      <c r="AF103" t="s">
        <v>74</v>
      </c>
      <c r="AG103">
        <v>74</v>
      </c>
      <c r="AH103">
        <v>8</v>
      </c>
      <c r="AI103">
        <v>8</v>
      </c>
      <c r="AJ103">
        <v>3</v>
      </c>
      <c r="AK103">
        <v>12</v>
      </c>
      <c r="AL103" t="s">
        <v>210</v>
      </c>
      <c r="AM103" t="s">
        <v>211</v>
      </c>
      <c r="AN103" t="s">
        <v>212</v>
      </c>
      <c r="AO103" t="s">
        <v>213</v>
      </c>
      <c r="AP103" t="s">
        <v>214</v>
      </c>
      <c r="AQ103" t="s">
        <v>74</v>
      </c>
      <c r="AR103" t="s">
        <v>215</v>
      </c>
      <c r="AS103" t="s">
        <v>216</v>
      </c>
      <c r="AT103" t="s">
        <v>74</v>
      </c>
      <c r="AU103">
        <v>2019</v>
      </c>
      <c r="AV103">
        <v>51</v>
      </c>
      <c r="AW103">
        <v>1</v>
      </c>
      <c r="AX103" t="s">
        <v>74</v>
      </c>
      <c r="AY103" t="s">
        <v>74</v>
      </c>
      <c r="AZ103" t="s">
        <v>74</v>
      </c>
      <c r="BA103" t="s">
        <v>74</v>
      </c>
      <c r="BB103">
        <v>201</v>
      </c>
      <c r="BC103">
        <v>214</v>
      </c>
      <c r="BD103" t="s">
        <v>74</v>
      </c>
      <c r="BE103" t="s">
        <v>1966</v>
      </c>
      <c r="BF103" t="str">
        <f>HYPERLINK("http://dx.doi.org/10.1080/15230430.2019.1618148","http://dx.doi.org/10.1080/15230430.2019.1618148")</f>
        <v>http://dx.doi.org/10.1080/15230430.2019.1618148</v>
      </c>
      <c r="BG103" t="s">
        <v>74</v>
      </c>
      <c r="BH103" t="s">
        <v>74</v>
      </c>
      <c r="BI103">
        <v>14</v>
      </c>
      <c r="BJ103" t="s">
        <v>218</v>
      </c>
      <c r="BK103" t="s">
        <v>101</v>
      </c>
      <c r="BL103" t="s">
        <v>219</v>
      </c>
      <c r="BM103" t="s">
        <v>1756</v>
      </c>
      <c r="BN103" t="s">
        <v>74</v>
      </c>
      <c r="BO103" t="s">
        <v>131</v>
      </c>
      <c r="BP103" t="s">
        <v>74</v>
      </c>
      <c r="BQ103" t="s">
        <v>74</v>
      </c>
      <c r="BR103" t="s">
        <v>104</v>
      </c>
      <c r="BS103" t="s">
        <v>1967</v>
      </c>
      <c r="BT103" t="str">
        <f>HYPERLINK("https%3A%2F%2Fwww.webofscience.com%2Fwos%2Fwoscc%2Ffull-record%2FWOS:000486105800015","View Full Record in Web of Science")</f>
        <v>View Full Record in Web of Science</v>
      </c>
    </row>
    <row r="104" spans="1:72" x14ac:dyDescent="0.15">
      <c r="A104" t="s">
        <v>72</v>
      </c>
      <c r="B104" t="s">
        <v>1968</v>
      </c>
      <c r="C104" t="s">
        <v>74</v>
      </c>
      <c r="D104" t="s">
        <v>74</v>
      </c>
      <c r="E104" t="s">
        <v>74</v>
      </c>
      <c r="F104" t="s">
        <v>1969</v>
      </c>
      <c r="G104" t="s">
        <v>74</v>
      </c>
      <c r="H104" t="s">
        <v>74</v>
      </c>
      <c r="I104" t="s">
        <v>1970</v>
      </c>
      <c r="J104" t="s">
        <v>198</v>
      </c>
      <c r="K104" t="s">
        <v>74</v>
      </c>
      <c r="L104" t="s">
        <v>74</v>
      </c>
      <c r="M104" t="s">
        <v>78</v>
      </c>
      <c r="N104" t="s">
        <v>79</v>
      </c>
      <c r="O104" t="s">
        <v>74</v>
      </c>
      <c r="P104" t="s">
        <v>74</v>
      </c>
      <c r="Q104" t="s">
        <v>74</v>
      </c>
      <c r="R104" t="s">
        <v>74</v>
      </c>
      <c r="S104" t="s">
        <v>74</v>
      </c>
      <c r="T104" t="s">
        <v>1971</v>
      </c>
      <c r="U104" t="s">
        <v>1972</v>
      </c>
      <c r="V104" t="s">
        <v>1973</v>
      </c>
      <c r="W104" t="s">
        <v>1974</v>
      </c>
      <c r="X104" t="s">
        <v>1975</v>
      </c>
      <c r="Y104" t="s">
        <v>1976</v>
      </c>
      <c r="Z104" t="s">
        <v>1977</v>
      </c>
      <c r="AA104" t="s">
        <v>1978</v>
      </c>
      <c r="AB104" t="s">
        <v>1979</v>
      </c>
      <c r="AC104" t="s">
        <v>1980</v>
      </c>
      <c r="AD104" t="s">
        <v>1981</v>
      </c>
      <c r="AE104" t="s">
        <v>1982</v>
      </c>
      <c r="AF104" t="s">
        <v>74</v>
      </c>
      <c r="AG104">
        <v>93</v>
      </c>
      <c r="AH104">
        <v>30</v>
      </c>
      <c r="AI104">
        <v>30</v>
      </c>
      <c r="AJ104">
        <v>12</v>
      </c>
      <c r="AK104">
        <v>46</v>
      </c>
      <c r="AL104" t="s">
        <v>210</v>
      </c>
      <c r="AM104" t="s">
        <v>211</v>
      </c>
      <c r="AN104" t="s">
        <v>212</v>
      </c>
      <c r="AO104" t="s">
        <v>213</v>
      </c>
      <c r="AP104" t="s">
        <v>214</v>
      </c>
      <c r="AQ104" t="s">
        <v>74</v>
      </c>
      <c r="AR104" t="s">
        <v>215</v>
      </c>
      <c r="AS104" t="s">
        <v>216</v>
      </c>
      <c r="AT104" t="s">
        <v>74</v>
      </c>
      <c r="AU104">
        <v>2019</v>
      </c>
      <c r="AV104">
        <v>51</v>
      </c>
      <c r="AW104">
        <v>1</v>
      </c>
      <c r="AX104" t="s">
        <v>74</v>
      </c>
      <c r="AY104" t="s">
        <v>74</v>
      </c>
      <c r="AZ104" t="s">
        <v>74</v>
      </c>
      <c r="BA104" t="s">
        <v>74</v>
      </c>
      <c r="BB104">
        <v>215</v>
      </c>
      <c r="BC104">
        <v>231</v>
      </c>
      <c r="BD104" t="s">
        <v>74</v>
      </c>
      <c r="BE104" t="s">
        <v>1983</v>
      </c>
      <c r="BF104" t="str">
        <f>HYPERLINK("http://dx.doi.org/10.1080/15230430.2019.1618116","http://dx.doi.org/10.1080/15230430.2019.1618116")</f>
        <v>http://dx.doi.org/10.1080/15230430.2019.1618116</v>
      </c>
      <c r="BG104" t="s">
        <v>74</v>
      </c>
      <c r="BH104" t="s">
        <v>74</v>
      </c>
      <c r="BI104">
        <v>17</v>
      </c>
      <c r="BJ104" t="s">
        <v>218</v>
      </c>
      <c r="BK104" t="s">
        <v>101</v>
      </c>
      <c r="BL104" t="s">
        <v>219</v>
      </c>
      <c r="BM104" t="s">
        <v>1756</v>
      </c>
      <c r="BN104" t="s">
        <v>74</v>
      </c>
      <c r="BO104" t="s">
        <v>221</v>
      </c>
      <c r="BP104" t="s">
        <v>74</v>
      </c>
      <c r="BQ104" t="s">
        <v>74</v>
      </c>
      <c r="BR104" t="s">
        <v>104</v>
      </c>
      <c r="BS104" t="s">
        <v>1984</v>
      </c>
      <c r="BT104" t="str">
        <f>HYPERLINK("https%3A%2F%2Fwww.webofscience.com%2Fwos%2Fwoscc%2Ffull-record%2FWOS:000486105800016","View Full Record in Web of Science")</f>
        <v>View Full Record in Web of Science</v>
      </c>
    </row>
    <row r="105" spans="1:72" x14ac:dyDescent="0.15">
      <c r="A105" t="s">
        <v>72</v>
      </c>
      <c r="B105" t="s">
        <v>1985</v>
      </c>
      <c r="C105" t="s">
        <v>74</v>
      </c>
      <c r="D105" t="s">
        <v>74</v>
      </c>
      <c r="E105" t="s">
        <v>74</v>
      </c>
      <c r="F105" t="s">
        <v>1986</v>
      </c>
      <c r="G105" t="s">
        <v>74</v>
      </c>
      <c r="H105" t="s">
        <v>74</v>
      </c>
      <c r="I105" t="s">
        <v>1987</v>
      </c>
      <c r="J105" t="s">
        <v>198</v>
      </c>
      <c r="K105" t="s">
        <v>74</v>
      </c>
      <c r="L105" t="s">
        <v>74</v>
      </c>
      <c r="M105" t="s">
        <v>78</v>
      </c>
      <c r="N105" t="s">
        <v>79</v>
      </c>
      <c r="O105" t="s">
        <v>74</v>
      </c>
      <c r="P105" t="s">
        <v>74</v>
      </c>
      <c r="Q105" t="s">
        <v>74</v>
      </c>
      <c r="R105" t="s">
        <v>74</v>
      </c>
      <c r="S105" t="s">
        <v>74</v>
      </c>
      <c r="T105" t="s">
        <v>1988</v>
      </c>
      <c r="U105" t="s">
        <v>1989</v>
      </c>
      <c r="V105" t="s">
        <v>1990</v>
      </c>
      <c r="W105" t="s">
        <v>1991</v>
      </c>
      <c r="X105" t="s">
        <v>1992</v>
      </c>
      <c r="Y105" t="s">
        <v>1993</v>
      </c>
      <c r="Z105" t="s">
        <v>1994</v>
      </c>
      <c r="AA105" t="s">
        <v>74</v>
      </c>
      <c r="AB105" t="s">
        <v>74</v>
      </c>
      <c r="AC105" t="s">
        <v>1995</v>
      </c>
      <c r="AD105" t="s">
        <v>1996</v>
      </c>
      <c r="AE105" t="s">
        <v>1997</v>
      </c>
      <c r="AF105" t="s">
        <v>74</v>
      </c>
      <c r="AG105">
        <v>86</v>
      </c>
      <c r="AH105">
        <v>14</v>
      </c>
      <c r="AI105">
        <v>18</v>
      </c>
      <c r="AJ105">
        <v>0</v>
      </c>
      <c r="AK105">
        <v>15</v>
      </c>
      <c r="AL105" t="s">
        <v>210</v>
      </c>
      <c r="AM105" t="s">
        <v>211</v>
      </c>
      <c r="AN105" t="s">
        <v>212</v>
      </c>
      <c r="AO105" t="s">
        <v>213</v>
      </c>
      <c r="AP105" t="s">
        <v>214</v>
      </c>
      <c r="AQ105" t="s">
        <v>74</v>
      </c>
      <c r="AR105" t="s">
        <v>215</v>
      </c>
      <c r="AS105" t="s">
        <v>216</v>
      </c>
      <c r="AT105" t="s">
        <v>74</v>
      </c>
      <c r="AU105">
        <v>2019</v>
      </c>
      <c r="AV105">
        <v>51</v>
      </c>
      <c r="AW105">
        <v>1</v>
      </c>
      <c r="AX105" t="s">
        <v>74</v>
      </c>
      <c r="AY105" t="s">
        <v>74</v>
      </c>
      <c r="AZ105" t="s">
        <v>74</v>
      </c>
      <c r="BA105" t="s">
        <v>74</v>
      </c>
      <c r="BB105">
        <v>232</v>
      </c>
      <c r="BC105">
        <v>249</v>
      </c>
      <c r="BD105" t="s">
        <v>74</v>
      </c>
      <c r="BE105" t="s">
        <v>1998</v>
      </c>
      <c r="BF105" t="str">
        <f>HYPERLINK("http://dx.doi.org/10.1080/15230430.2019.1618666","http://dx.doi.org/10.1080/15230430.2019.1618666")</f>
        <v>http://dx.doi.org/10.1080/15230430.2019.1618666</v>
      </c>
      <c r="BG105" t="s">
        <v>74</v>
      </c>
      <c r="BH105" t="s">
        <v>74</v>
      </c>
      <c r="BI105">
        <v>18</v>
      </c>
      <c r="BJ105" t="s">
        <v>218</v>
      </c>
      <c r="BK105" t="s">
        <v>101</v>
      </c>
      <c r="BL105" t="s">
        <v>219</v>
      </c>
      <c r="BM105" t="s">
        <v>1756</v>
      </c>
      <c r="BN105" t="s">
        <v>74</v>
      </c>
      <c r="BO105" t="s">
        <v>131</v>
      </c>
      <c r="BP105" t="s">
        <v>74</v>
      </c>
      <c r="BQ105" t="s">
        <v>74</v>
      </c>
      <c r="BR105" t="s">
        <v>104</v>
      </c>
      <c r="BS105" t="s">
        <v>1999</v>
      </c>
      <c r="BT105" t="str">
        <f>HYPERLINK("https%3A%2F%2Fwww.webofscience.com%2Fwos%2Fwoscc%2Ffull-record%2FWOS:000486105800017","View Full Record in Web of Science")</f>
        <v>View Full Record in Web of Science</v>
      </c>
    </row>
    <row r="106" spans="1:72" x14ac:dyDescent="0.15">
      <c r="A106" t="s">
        <v>72</v>
      </c>
      <c r="B106" t="s">
        <v>2000</v>
      </c>
      <c r="C106" t="s">
        <v>74</v>
      </c>
      <c r="D106" t="s">
        <v>74</v>
      </c>
      <c r="E106" t="s">
        <v>74</v>
      </c>
      <c r="F106" t="s">
        <v>2001</v>
      </c>
      <c r="G106" t="s">
        <v>74</v>
      </c>
      <c r="H106" t="s">
        <v>74</v>
      </c>
      <c r="I106" t="s">
        <v>2002</v>
      </c>
      <c r="J106" t="s">
        <v>198</v>
      </c>
      <c r="K106" t="s">
        <v>74</v>
      </c>
      <c r="L106" t="s">
        <v>74</v>
      </c>
      <c r="M106" t="s">
        <v>78</v>
      </c>
      <c r="N106" t="s">
        <v>79</v>
      </c>
      <c r="O106" t="s">
        <v>74</v>
      </c>
      <c r="P106" t="s">
        <v>74</v>
      </c>
      <c r="Q106" t="s">
        <v>74</v>
      </c>
      <c r="R106" t="s">
        <v>74</v>
      </c>
      <c r="S106" t="s">
        <v>74</v>
      </c>
      <c r="T106" t="s">
        <v>2003</v>
      </c>
      <c r="U106" t="s">
        <v>2004</v>
      </c>
      <c r="V106" t="s">
        <v>2005</v>
      </c>
      <c r="W106" t="s">
        <v>2006</v>
      </c>
      <c r="X106" t="s">
        <v>2007</v>
      </c>
      <c r="Y106" t="s">
        <v>2008</v>
      </c>
      <c r="Z106" t="s">
        <v>2009</v>
      </c>
      <c r="AA106" t="s">
        <v>2010</v>
      </c>
      <c r="AB106" t="s">
        <v>2011</v>
      </c>
      <c r="AC106" t="s">
        <v>2012</v>
      </c>
      <c r="AD106" t="s">
        <v>2013</v>
      </c>
      <c r="AE106" t="s">
        <v>2014</v>
      </c>
      <c r="AF106" t="s">
        <v>74</v>
      </c>
      <c r="AG106">
        <v>57</v>
      </c>
      <c r="AH106">
        <v>5</v>
      </c>
      <c r="AI106">
        <v>5</v>
      </c>
      <c r="AJ106">
        <v>2</v>
      </c>
      <c r="AK106">
        <v>8</v>
      </c>
      <c r="AL106" t="s">
        <v>210</v>
      </c>
      <c r="AM106" t="s">
        <v>211</v>
      </c>
      <c r="AN106" t="s">
        <v>212</v>
      </c>
      <c r="AO106" t="s">
        <v>213</v>
      </c>
      <c r="AP106" t="s">
        <v>214</v>
      </c>
      <c r="AQ106" t="s">
        <v>74</v>
      </c>
      <c r="AR106" t="s">
        <v>215</v>
      </c>
      <c r="AS106" t="s">
        <v>216</v>
      </c>
      <c r="AT106" t="s">
        <v>74</v>
      </c>
      <c r="AU106">
        <v>2019</v>
      </c>
      <c r="AV106">
        <v>51</v>
      </c>
      <c r="AW106">
        <v>1</v>
      </c>
      <c r="AX106" t="s">
        <v>74</v>
      </c>
      <c r="AY106" t="s">
        <v>74</v>
      </c>
      <c r="AZ106" t="s">
        <v>74</v>
      </c>
      <c r="BA106" t="s">
        <v>74</v>
      </c>
      <c r="BB106">
        <v>250</v>
      </c>
      <c r="BC106">
        <v>264</v>
      </c>
      <c r="BD106" t="s">
        <v>74</v>
      </c>
      <c r="BE106" t="s">
        <v>2015</v>
      </c>
      <c r="BF106" t="str">
        <f>HYPERLINK("http://dx.doi.org/10.1080/15230430.2019.1623607","http://dx.doi.org/10.1080/15230430.2019.1623607")</f>
        <v>http://dx.doi.org/10.1080/15230430.2019.1623607</v>
      </c>
      <c r="BG106" t="s">
        <v>74</v>
      </c>
      <c r="BH106" t="s">
        <v>74</v>
      </c>
      <c r="BI106">
        <v>15</v>
      </c>
      <c r="BJ106" t="s">
        <v>218</v>
      </c>
      <c r="BK106" t="s">
        <v>101</v>
      </c>
      <c r="BL106" t="s">
        <v>219</v>
      </c>
      <c r="BM106" t="s">
        <v>1756</v>
      </c>
      <c r="BN106" t="s">
        <v>74</v>
      </c>
      <c r="BO106" t="s">
        <v>221</v>
      </c>
      <c r="BP106" t="s">
        <v>74</v>
      </c>
      <c r="BQ106" t="s">
        <v>74</v>
      </c>
      <c r="BR106" t="s">
        <v>104</v>
      </c>
      <c r="BS106" t="s">
        <v>2016</v>
      </c>
      <c r="BT106" t="str">
        <f>HYPERLINK("https%3A%2F%2Fwww.webofscience.com%2Fwos%2Fwoscc%2Ffull-record%2FWOS:000486105800018","View Full Record in Web of Science")</f>
        <v>View Full Record in Web of Science</v>
      </c>
    </row>
    <row r="107" spans="1:72" x14ac:dyDescent="0.15">
      <c r="A107" t="s">
        <v>72</v>
      </c>
      <c r="B107" t="s">
        <v>2017</v>
      </c>
      <c r="C107" t="s">
        <v>74</v>
      </c>
      <c r="D107" t="s">
        <v>74</v>
      </c>
      <c r="E107" t="s">
        <v>74</v>
      </c>
      <c r="F107" t="s">
        <v>2018</v>
      </c>
      <c r="G107" t="s">
        <v>74</v>
      </c>
      <c r="H107" t="s">
        <v>74</v>
      </c>
      <c r="I107" t="s">
        <v>2019</v>
      </c>
      <c r="J107" t="s">
        <v>198</v>
      </c>
      <c r="K107" t="s">
        <v>74</v>
      </c>
      <c r="L107" t="s">
        <v>74</v>
      </c>
      <c r="M107" t="s">
        <v>78</v>
      </c>
      <c r="N107" t="s">
        <v>79</v>
      </c>
      <c r="O107" t="s">
        <v>74</v>
      </c>
      <c r="P107" t="s">
        <v>74</v>
      </c>
      <c r="Q107" t="s">
        <v>74</v>
      </c>
      <c r="R107" t="s">
        <v>74</v>
      </c>
      <c r="S107" t="s">
        <v>74</v>
      </c>
      <c r="T107" t="s">
        <v>2020</v>
      </c>
      <c r="U107" t="s">
        <v>2021</v>
      </c>
      <c r="V107" t="s">
        <v>2022</v>
      </c>
      <c r="W107" t="s">
        <v>2023</v>
      </c>
      <c r="X107" t="s">
        <v>2024</v>
      </c>
      <c r="Y107" t="s">
        <v>2025</v>
      </c>
      <c r="Z107" t="s">
        <v>2026</v>
      </c>
      <c r="AA107" t="s">
        <v>74</v>
      </c>
      <c r="AB107" t="s">
        <v>74</v>
      </c>
      <c r="AC107" t="s">
        <v>2027</v>
      </c>
      <c r="AD107" t="s">
        <v>2027</v>
      </c>
      <c r="AE107" t="s">
        <v>2028</v>
      </c>
      <c r="AF107" t="s">
        <v>74</v>
      </c>
      <c r="AG107">
        <v>52</v>
      </c>
      <c r="AH107">
        <v>24</v>
      </c>
      <c r="AI107">
        <v>27</v>
      </c>
      <c r="AJ107">
        <v>1</v>
      </c>
      <c r="AK107">
        <v>10</v>
      </c>
      <c r="AL107" t="s">
        <v>210</v>
      </c>
      <c r="AM107" t="s">
        <v>211</v>
      </c>
      <c r="AN107" t="s">
        <v>212</v>
      </c>
      <c r="AO107" t="s">
        <v>213</v>
      </c>
      <c r="AP107" t="s">
        <v>214</v>
      </c>
      <c r="AQ107" t="s">
        <v>74</v>
      </c>
      <c r="AR107" t="s">
        <v>215</v>
      </c>
      <c r="AS107" t="s">
        <v>216</v>
      </c>
      <c r="AT107" t="s">
        <v>74</v>
      </c>
      <c r="AU107">
        <v>2019</v>
      </c>
      <c r="AV107">
        <v>51</v>
      </c>
      <c r="AW107">
        <v>1</v>
      </c>
      <c r="AX107" t="s">
        <v>74</v>
      </c>
      <c r="AY107" t="s">
        <v>74</v>
      </c>
      <c r="AZ107" t="s">
        <v>74</v>
      </c>
      <c r="BA107" t="s">
        <v>74</v>
      </c>
      <c r="BB107">
        <v>265</v>
      </c>
      <c r="BC107">
        <v>279</v>
      </c>
      <c r="BD107" t="s">
        <v>74</v>
      </c>
      <c r="BE107" t="s">
        <v>2029</v>
      </c>
      <c r="BF107" t="str">
        <f>HYPERLINK("http://dx.doi.org/10.1080/15230430.2019.1629222","http://dx.doi.org/10.1080/15230430.2019.1629222")</f>
        <v>http://dx.doi.org/10.1080/15230430.2019.1629222</v>
      </c>
      <c r="BG107" t="s">
        <v>74</v>
      </c>
      <c r="BH107" t="s">
        <v>74</v>
      </c>
      <c r="BI107">
        <v>15</v>
      </c>
      <c r="BJ107" t="s">
        <v>218</v>
      </c>
      <c r="BK107" t="s">
        <v>101</v>
      </c>
      <c r="BL107" t="s">
        <v>219</v>
      </c>
      <c r="BM107" t="s">
        <v>1756</v>
      </c>
      <c r="BN107" t="s">
        <v>74</v>
      </c>
      <c r="BO107" t="s">
        <v>131</v>
      </c>
      <c r="BP107" t="s">
        <v>74</v>
      </c>
      <c r="BQ107" t="s">
        <v>74</v>
      </c>
      <c r="BR107" t="s">
        <v>104</v>
      </c>
      <c r="BS107" t="s">
        <v>2030</v>
      </c>
      <c r="BT107" t="str">
        <f>HYPERLINK("https%3A%2F%2Fwww.webofscience.com%2Fwos%2Fwoscc%2Ffull-record%2FWOS:000486105800019","View Full Record in Web of Science")</f>
        <v>View Full Record in Web of Science</v>
      </c>
    </row>
    <row r="108" spans="1:72" x14ac:dyDescent="0.15">
      <c r="A108" t="s">
        <v>72</v>
      </c>
      <c r="B108" t="s">
        <v>2031</v>
      </c>
      <c r="C108" t="s">
        <v>74</v>
      </c>
      <c r="D108" t="s">
        <v>74</v>
      </c>
      <c r="E108" t="s">
        <v>74</v>
      </c>
      <c r="F108" t="s">
        <v>2032</v>
      </c>
      <c r="G108" t="s">
        <v>74</v>
      </c>
      <c r="H108" t="s">
        <v>74</v>
      </c>
      <c r="I108" t="s">
        <v>2033</v>
      </c>
      <c r="J108" t="s">
        <v>198</v>
      </c>
      <c r="K108" t="s">
        <v>74</v>
      </c>
      <c r="L108" t="s">
        <v>74</v>
      </c>
      <c r="M108" t="s">
        <v>78</v>
      </c>
      <c r="N108" t="s">
        <v>79</v>
      </c>
      <c r="O108" t="s">
        <v>74</v>
      </c>
      <c r="P108" t="s">
        <v>74</v>
      </c>
      <c r="Q108" t="s">
        <v>74</v>
      </c>
      <c r="R108" t="s">
        <v>74</v>
      </c>
      <c r="S108" t="s">
        <v>74</v>
      </c>
      <c r="T108" t="s">
        <v>2034</v>
      </c>
      <c r="U108" t="s">
        <v>2035</v>
      </c>
      <c r="V108" t="s">
        <v>2036</v>
      </c>
      <c r="W108" t="s">
        <v>2037</v>
      </c>
      <c r="X108" t="s">
        <v>2038</v>
      </c>
      <c r="Y108" t="s">
        <v>2039</v>
      </c>
      <c r="Z108" t="s">
        <v>2040</v>
      </c>
      <c r="AA108" t="s">
        <v>74</v>
      </c>
      <c r="AB108" t="s">
        <v>2041</v>
      </c>
      <c r="AC108" t="s">
        <v>2042</v>
      </c>
      <c r="AD108" t="s">
        <v>2042</v>
      </c>
      <c r="AE108" t="s">
        <v>2043</v>
      </c>
      <c r="AF108" t="s">
        <v>74</v>
      </c>
      <c r="AG108">
        <v>36</v>
      </c>
      <c r="AH108">
        <v>5</v>
      </c>
      <c r="AI108">
        <v>6</v>
      </c>
      <c r="AJ108">
        <v>2</v>
      </c>
      <c r="AK108">
        <v>12</v>
      </c>
      <c r="AL108" t="s">
        <v>210</v>
      </c>
      <c r="AM108" t="s">
        <v>211</v>
      </c>
      <c r="AN108" t="s">
        <v>212</v>
      </c>
      <c r="AO108" t="s">
        <v>213</v>
      </c>
      <c r="AP108" t="s">
        <v>214</v>
      </c>
      <c r="AQ108" t="s">
        <v>74</v>
      </c>
      <c r="AR108" t="s">
        <v>215</v>
      </c>
      <c r="AS108" t="s">
        <v>216</v>
      </c>
      <c r="AT108" t="s">
        <v>74</v>
      </c>
      <c r="AU108">
        <v>2019</v>
      </c>
      <c r="AV108">
        <v>51</v>
      </c>
      <c r="AW108">
        <v>1</v>
      </c>
      <c r="AX108" t="s">
        <v>74</v>
      </c>
      <c r="AY108" t="s">
        <v>74</v>
      </c>
      <c r="AZ108" t="s">
        <v>74</v>
      </c>
      <c r="BA108" t="s">
        <v>74</v>
      </c>
      <c r="BB108">
        <v>280</v>
      </c>
      <c r="BC108">
        <v>289</v>
      </c>
      <c r="BD108" t="s">
        <v>74</v>
      </c>
      <c r="BE108" t="s">
        <v>2044</v>
      </c>
      <c r="BF108" t="str">
        <f>HYPERLINK("http://dx.doi.org/10.1080/15230430.2019.1634443","http://dx.doi.org/10.1080/15230430.2019.1634443")</f>
        <v>http://dx.doi.org/10.1080/15230430.2019.1634443</v>
      </c>
      <c r="BG108" t="s">
        <v>74</v>
      </c>
      <c r="BH108" t="s">
        <v>74</v>
      </c>
      <c r="BI108">
        <v>10</v>
      </c>
      <c r="BJ108" t="s">
        <v>218</v>
      </c>
      <c r="BK108" t="s">
        <v>101</v>
      </c>
      <c r="BL108" t="s">
        <v>219</v>
      </c>
      <c r="BM108" t="s">
        <v>1756</v>
      </c>
      <c r="BN108" t="s">
        <v>74</v>
      </c>
      <c r="BO108" t="s">
        <v>131</v>
      </c>
      <c r="BP108" t="s">
        <v>74</v>
      </c>
      <c r="BQ108" t="s">
        <v>74</v>
      </c>
      <c r="BR108" t="s">
        <v>104</v>
      </c>
      <c r="BS108" t="s">
        <v>2045</v>
      </c>
      <c r="BT108" t="str">
        <f>HYPERLINK("https%3A%2F%2Fwww.webofscience.com%2Fwos%2Fwoscc%2Ffull-record%2FWOS:000486105800020","View Full Record in Web of Science")</f>
        <v>View Full Record in Web of Science</v>
      </c>
    </row>
    <row r="109" spans="1:72" x14ac:dyDescent="0.15">
      <c r="A109" t="s">
        <v>72</v>
      </c>
      <c r="B109" t="s">
        <v>2046</v>
      </c>
      <c r="C109" t="s">
        <v>74</v>
      </c>
      <c r="D109" t="s">
        <v>74</v>
      </c>
      <c r="E109" t="s">
        <v>74</v>
      </c>
      <c r="F109" t="s">
        <v>2047</v>
      </c>
      <c r="G109" t="s">
        <v>74</v>
      </c>
      <c r="H109" t="s">
        <v>74</v>
      </c>
      <c r="I109" t="s">
        <v>2048</v>
      </c>
      <c r="J109" t="s">
        <v>198</v>
      </c>
      <c r="K109" t="s">
        <v>74</v>
      </c>
      <c r="L109" t="s">
        <v>74</v>
      </c>
      <c r="M109" t="s">
        <v>78</v>
      </c>
      <c r="N109" t="s">
        <v>79</v>
      </c>
      <c r="O109" t="s">
        <v>74</v>
      </c>
      <c r="P109" t="s">
        <v>74</v>
      </c>
      <c r="Q109" t="s">
        <v>74</v>
      </c>
      <c r="R109" t="s">
        <v>74</v>
      </c>
      <c r="S109" t="s">
        <v>74</v>
      </c>
      <c r="T109" t="s">
        <v>2049</v>
      </c>
      <c r="U109" t="s">
        <v>2050</v>
      </c>
      <c r="V109" t="s">
        <v>2051</v>
      </c>
      <c r="W109" t="s">
        <v>2052</v>
      </c>
      <c r="X109" t="s">
        <v>2053</v>
      </c>
      <c r="Y109" t="s">
        <v>2054</v>
      </c>
      <c r="Z109" t="s">
        <v>2055</v>
      </c>
      <c r="AA109" t="s">
        <v>2056</v>
      </c>
      <c r="AB109" t="s">
        <v>2057</v>
      </c>
      <c r="AC109" t="s">
        <v>2058</v>
      </c>
      <c r="AD109" t="s">
        <v>2059</v>
      </c>
      <c r="AE109" t="s">
        <v>2060</v>
      </c>
      <c r="AF109" t="s">
        <v>74</v>
      </c>
      <c r="AG109">
        <v>43</v>
      </c>
      <c r="AH109">
        <v>7</v>
      </c>
      <c r="AI109">
        <v>8</v>
      </c>
      <c r="AJ109">
        <v>2</v>
      </c>
      <c r="AK109">
        <v>10</v>
      </c>
      <c r="AL109" t="s">
        <v>210</v>
      </c>
      <c r="AM109" t="s">
        <v>211</v>
      </c>
      <c r="AN109" t="s">
        <v>212</v>
      </c>
      <c r="AO109" t="s">
        <v>213</v>
      </c>
      <c r="AP109" t="s">
        <v>214</v>
      </c>
      <c r="AQ109" t="s">
        <v>74</v>
      </c>
      <c r="AR109" t="s">
        <v>215</v>
      </c>
      <c r="AS109" t="s">
        <v>216</v>
      </c>
      <c r="AT109" t="s">
        <v>74</v>
      </c>
      <c r="AU109">
        <v>2019</v>
      </c>
      <c r="AV109">
        <v>51</v>
      </c>
      <c r="AW109">
        <v>1</v>
      </c>
      <c r="AX109" t="s">
        <v>74</v>
      </c>
      <c r="AY109" t="s">
        <v>74</v>
      </c>
      <c r="AZ109" t="s">
        <v>74</v>
      </c>
      <c r="BA109" t="s">
        <v>74</v>
      </c>
      <c r="BB109">
        <v>290</v>
      </c>
      <c r="BC109">
        <v>298</v>
      </c>
      <c r="BD109" t="s">
        <v>74</v>
      </c>
      <c r="BE109" t="s">
        <v>2061</v>
      </c>
      <c r="BF109" t="str">
        <f>HYPERLINK("http://dx.doi.org/10.1080/15230430.2019.1634441","http://dx.doi.org/10.1080/15230430.2019.1634441")</f>
        <v>http://dx.doi.org/10.1080/15230430.2019.1634441</v>
      </c>
      <c r="BG109" t="s">
        <v>74</v>
      </c>
      <c r="BH109" t="s">
        <v>74</v>
      </c>
      <c r="BI109">
        <v>9</v>
      </c>
      <c r="BJ109" t="s">
        <v>218</v>
      </c>
      <c r="BK109" t="s">
        <v>101</v>
      </c>
      <c r="BL109" t="s">
        <v>219</v>
      </c>
      <c r="BM109" t="s">
        <v>1756</v>
      </c>
      <c r="BN109" t="s">
        <v>74</v>
      </c>
      <c r="BO109" t="s">
        <v>131</v>
      </c>
      <c r="BP109" t="s">
        <v>74</v>
      </c>
      <c r="BQ109" t="s">
        <v>74</v>
      </c>
      <c r="BR109" t="s">
        <v>104</v>
      </c>
      <c r="BS109" t="s">
        <v>2062</v>
      </c>
      <c r="BT109" t="str">
        <f>HYPERLINK("https%3A%2F%2Fwww.webofscience.com%2Fwos%2Fwoscc%2Ffull-record%2FWOS:000486105800021","View Full Record in Web of Science")</f>
        <v>View Full Record in Web of Science</v>
      </c>
    </row>
    <row r="110" spans="1:72" x14ac:dyDescent="0.15">
      <c r="A110" t="s">
        <v>72</v>
      </c>
      <c r="B110" t="s">
        <v>2063</v>
      </c>
      <c r="C110" t="s">
        <v>74</v>
      </c>
      <c r="D110" t="s">
        <v>74</v>
      </c>
      <c r="E110" t="s">
        <v>74</v>
      </c>
      <c r="F110" t="s">
        <v>2064</v>
      </c>
      <c r="G110" t="s">
        <v>74</v>
      </c>
      <c r="H110" t="s">
        <v>74</v>
      </c>
      <c r="I110" t="s">
        <v>2065</v>
      </c>
      <c r="J110" t="s">
        <v>198</v>
      </c>
      <c r="K110" t="s">
        <v>74</v>
      </c>
      <c r="L110" t="s">
        <v>74</v>
      </c>
      <c r="M110" t="s">
        <v>78</v>
      </c>
      <c r="N110" t="s">
        <v>79</v>
      </c>
      <c r="O110" t="s">
        <v>74</v>
      </c>
      <c r="P110" t="s">
        <v>74</v>
      </c>
      <c r="Q110" t="s">
        <v>74</v>
      </c>
      <c r="R110" t="s">
        <v>74</v>
      </c>
      <c r="S110" t="s">
        <v>74</v>
      </c>
      <c r="T110" t="s">
        <v>2066</v>
      </c>
      <c r="U110" t="s">
        <v>2067</v>
      </c>
      <c r="V110" t="s">
        <v>2068</v>
      </c>
      <c r="W110" t="s">
        <v>2069</v>
      </c>
      <c r="X110" t="s">
        <v>2070</v>
      </c>
      <c r="Y110" t="s">
        <v>2071</v>
      </c>
      <c r="Z110" t="s">
        <v>2072</v>
      </c>
      <c r="AA110" t="s">
        <v>2073</v>
      </c>
      <c r="AB110" t="s">
        <v>2074</v>
      </c>
      <c r="AC110" t="s">
        <v>2075</v>
      </c>
      <c r="AD110" t="s">
        <v>2076</v>
      </c>
      <c r="AE110" t="s">
        <v>2077</v>
      </c>
      <c r="AF110" t="s">
        <v>74</v>
      </c>
      <c r="AG110">
        <v>34</v>
      </c>
      <c r="AH110">
        <v>10</v>
      </c>
      <c r="AI110">
        <v>10</v>
      </c>
      <c r="AJ110">
        <v>0</v>
      </c>
      <c r="AK110">
        <v>7</v>
      </c>
      <c r="AL110" t="s">
        <v>210</v>
      </c>
      <c r="AM110" t="s">
        <v>211</v>
      </c>
      <c r="AN110" t="s">
        <v>212</v>
      </c>
      <c r="AO110" t="s">
        <v>213</v>
      </c>
      <c r="AP110" t="s">
        <v>214</v>
      </c>
      <c r="AQ110" t="s">
        <v>74</v>
      </c>
      <c r="AR110" t="s">
        <v>215</v>
      </c>
      <c r="AS110" t="s">
        <v>216</v>
      </c>
      <c r="AT110" t="s">
        <v>74</v>
      </c>
      <c r="AU110">
        <v>2019</v>
      </c>
      <c r="AV110">
        <v>51</v>
      </c>
      <c r="AW110">
        <v>1</v>
      </c>
      <c r="AX110" t="s">
        <v>74</v>
      </c>
      <c r="AY110" t="s">
        <v>74</v>
      </c>
      <c r="AZ110" t="s">
        <v>74</v>
      </c>
      <c r="BA110" t="s">
        <v>74</v>
      </c>
      <c r="BB110">
        <v>299</v>
      </c>
      <c r="BC110">
        <v>312</v>
      </c>
      <c r="BD110" t="s">
        <v>74</v>
      </c>
      <c r="BE110" t="s">
        <v>2078</v>
      </c>
      <c r="BF110" t="str">
        <f>HYPERLINK("http://dx.doi.org/10.1080/15230430.2019.1638202","http://dx.doi.org/10.1080/15230430.2019.1638202")</f>
        <v>http://dx.doi.org/10.1080/15230430.2019.1638202</v>
      </c>
      <c r="BG110" t="s">
        <v>74</v>
      </c>
      <c r="BH110" t="s">
        <v>74</v>
      </c>
      <c r="BI110">
        <v>14</v>
      </c>
      <c r="BJ110" t="s">
        <v>218</v>
      </c>
      <c r="BK110" t="s">
        <v>101</v>
      </c>
      <c r="BL110" t="s">
        <v>219</v>
      </c>
      <c r="BM110" t="s">
        <v>1756</v>
      </c>
      <c r="BN110" t="s">
        <v>74</v>
      </c>
      <c r="BO110" t="s">
        <v>131</v>
      </c>
      <c r="BP110" t="s">
        <v>74</v>
      </c>
      <c r="BQ110" t="s">
        <v>74</v>
      </c>
      <c r="BR110" t="s">
        <v>104</v>
      </c>
      <c r="BS110" t="s">
        <v>2079</v>
      </c>
      <c r="BT110" t="str">
        <f>HYPERLINK("https%3A%2F%2Fwww.webofscience.com%2Fwos%2Fwoscc%2Ffull-record%2FWOS:000486105800022","View Full Record in Web of Science")</f>
        <v>View Full Record in Web of Science</v>
      </c>
    </row>
    <row r="111" spans="1:72" x14ac:dyDescent="0.15">
      <c r="A111" t="s">
        <v>72</v>
      </c>
      <c r="B111" t="s">
        <v>2080</v>
      </c>
      <c r="C111" t="s">
        <v>74</v>
      </c>
      <c r="D111" t="s">
        <v>74</v>
      </c>
      <c r="E111" t="s">
        <v>74</v>
      </c>
      <c r="F111" t="s">
        <v>2081</v>
      </c>
      <c r="G111" t="s">
        <v>74</v>
      </c>
      <c r="H111" t="s">
        <v>74</v>
      </c>
      <c r="I111" t="s">
        <v>2082</v>
      </c>
      <c r="J111" t="s">
        <v>198</v>
      </c>
      <c r="K111" t="s">
        <v>74</v>
      </c>
      <c r="L111" t="s">
        <v>74</v>
      </c>
      <c r="M111" t="s">
        <v>78</v>
      </c>
      <c r="N111" t="s">
        <v>79</v>
      </c>
      <c r="O111" t="s">
        <v>74</v>
      </c>
      <c r="P111" t="s">
        <v>74</v>
      </c>
      <c r="Q111" t="s">
        <v>74</v>
      </c>
      <c r="R111" t="s">
        <v>74</v>
      </c>
      <c r="S111" t="s">
        <v>74</v>
      </c>
      <c r="T111" t="s">
        <v>2083</v>
      </c>
      <c r="U111" t="s">
        <v>2084</v>
      </c>
      <c r="V111" t="s">
        <v>2085</v>
      </c>
      <c r="W111" t="s">
        <v>2086</v>
      </c>
      <c r="X111" t="s">
        <v>2087</v>
      </c>
      <c r="Y111" t="s">
        <v>2088</v>
      </c>
      <c r="Z111" t="s">
        <v>2089</v>
      </c>
      <c r="AA111" t="s">
        <v>2090</v>
      </c>
      <c r="AB111" t="s">
        <v>2091</v>
      </c>
      <c r="AC111" t="s">
        <v>74</v>
      </c>
      <c r="AD111" t="s">
        <v>74</v>
      </c>
      <c r="AE111" t="s">
        <v>74</v>
      </c>
      <c r="AF111" t="s">
        <v>74</v>
      </c>
      <c r="AG111">
        <v>102</v>
      </c>
      <c r="AH111">
        <v>6</v>
      </c>
      <c r="AI111">
        <v>6</v>
      </c>
      <c r="AJ111">
        <v>1</v>
      </c>
      <c r="AK111">
        <v>7</v>
      </c>
      <c r="AL111" t="s">
        <v>210</v>
      </c>
      <c r="AM111" t="s">
        <v>211</v>
      </c>
      <c r="AN111" t="s">
        <v>212</v>
      </c>
      <c r="AO111" t="s">
        <v>213</v>
      </c>
      <c r="AP111" t="s">
        <v>214</v>
      </c>
      <c r="AQ111" t="s">
        <v>74</v>
      </c>
      <c r="AR111" t="s">
        <v>215</v>
      </c>
      <c r="AS111" t="s">
        <v>216</v>
      </c>
      <c r="AT111" t="s">
        <v>74</v>
      </c>
      <c r="AU111">
        <v>2019</v>
      </c>
      <c r="AV111">
        <v>51</v>
      </c>
      <c r="AW111">
        <v>1</v>
      </c>
      <c r="AX111" t="s">
        <v>74</v>
      </c>
      <c r="AY111" t="s">
        <v>74</v>
      </c>
      <c r="AZ111" t="s">
        <v>74</v>
      </c>
      <c r="BA111" t="s">
        <v>74</v>
      </c>
      <c r="BB111">
        <v>315</v>
      </c>
      <c r="BC111">
        <v>326</v>
      </c>
      <c r="BD111" t="s">
        <v>74</v>
      </c>
      <c r="BE111" t="s">
        <v>2092</v>
      </c>
      <c r="BF111" t="str">
        <f>HYPERLINK("http://dx.doi.org/10.1080/15230430.2019.1640039","http://dx.doi.org/10.1080/15230430.2019.1640039")</f>
        <v>http://dx.doi.org/10.1080/15230430.2019.1640039</v>
      </c>
      <c r="BG111" t="s">
        <v>74</v>
      </c>
      <c r="BH111" t="s">
        <v>74</v>
      </c>
      <c r="BI111">
        <v>12</v>
      </c>
      <c r="BJ111" t="s">
        <v>218</v>
      </c>
      <c r="BK111" t="s">
        <v>101</v>
      </c>
      <c r="BL111" t="s">
        <v>219</v>
      </c>
      <c r="BM111" t="s">
        <v>1756</v>
      </c>
      <c r="BN111" t="s">
        <v>74</v>
      </c>
      <c r="BO111" t="s">
        <v>221</v>
      </c>
      <c r="BP111" t="s">
        <v>74</v>
      </c>
      <c r="BQ111" t="s">
        <v>74</v>
      </c>
      <c r="BR111" t="s">
        <v>104</v>
      </c>
      <c r="BS111" t="s">
        <v>2093</v>
      </c>
      <c r="BT111" t="str">
        <f>HYPERLINK("https%3A%2F%2Fwww.webofscience.com%2Fwos%2Fwoscc%2Ffull-record%2FWOS:000486105800023","View Full Record in Web of Science")</f>
        <v>View Full Record in Web of Science</v>
      </c>
    </row>
    <row r="112" spans="1:72" x14ac:dyDescent="0.15">
      <c r="A112" t="s">
        <v>72</v>
      </c>
      <c r="B112" t="s">
        <v>2094</v>
      </c>
      <c r="C112" t="s">
        <v>74</v>
      </c>
      <c r="D112" t="s">
        <v>74</v>
      </c>
      <c r="E112" t="s">
        <v>74</v>
      </c>
      <c r="F112" t="s">
        <v>2095</v>
      </c>
      <c r="G112" t="s">
        <v>74</v>
      </c>
      <c r="H112" t="s">
        <v>74</v>
      </c>
      <c r="I112" t="s">
        <v>2096</v>
      </c>
      <c r="J112" t="s">
        <v>198</v>
      </c>
      <c r="K112" t="s">
        <v>74</v>
      </c>
      <c r="L112" t="s">
        <v>74</v>
      </c>
      <c r="M112" t="s">
        <v>78</v>
      </c>
      <c r="N112" t="s">
        <v>79</v>
      </c>
      <c r="O112" t="s">
        <v>74</v>
      </c>
      <c r="P112" t="s">
        <v>74</v>
      </c>
      <c r="Q112" t="s">
        <v>74</v>
      </c>
      <c r="R112" t="s">
        <v>74</v>
      </c>
      <c r="S112" t="s">
        <v>74</v>
      </c>
      <c r="T112" t="s">
        <v>2097</v>
      </c>
      <c r="U112" t="s">
        <v>2098</v>
      </c>
      <c r="V112" t="s">
        <v>2099</v>
      </c>
      <c r="W112" t="s">
        <v>2100</v>
      </c>
      <c r="X112" t="s">
        <v>2101</v>
      </c>
      <c r="Y112" t="s">
        <v>2102</v>
      </c>
      <c r="Z112" t="s">
        <v>2103</v>
      </c>
      <c r="AA112" t="s">
        <v>74</v>
      </c>
      <c r="AB112" t="s">
        <v>2104</v>
      </c>
      <c r="AC112" t="s">
        <v>2105</v>
      </c>
      <c r="AD112" t="s">
        <v>2106</v>
      </c>
      <c r="AE112" t="s">
        <v>2107</v>
      </c>
      <c r="AF112" t="s">
        <v>74</v>
      </c>
      <c r="AG112">
        <v>94</v>
      </c>
      <c r="AH112">
        <v>14</v>
      </c>
      <c r="AI112">
        <v>16</v>
      </c>
      <c r="AJ112">
        <v>5</v>
      </c>
      <c r="AK112">
        <v>26</v>
      </c>
      <c r="AL112" t="s">
        <v>210</v>
      </c>
      <c r="AM112" t="s">
        <v>211</v>
      </c>
      <c r="AN112" t="s">
        <v>212</v>
      </c>
      <c r="AO112" t="s">
        <v>213</v>
      </c>
      <c r="AP112" t="s">
        <v>214</v>
      </c>
      <c r="AQ112" t="s">
        <v>74</v>
      </c>
      <c r="AR112" t="s">
        <v>215</v>
      </c>
      <c r="AS112" t="s">
        <v>216</v>
      </c>
      <c r="AT112" t="s">
        <v>74</v>
      </c>
      <c r="AU112">
        <v>2019</v>
      </c>
      <c r="AV112">
        <v>51</v>
      </c>
      <c r="AW112">
        <v>1</v>
      </c>
      <c r="AX112" t="s">
        <v>74</v>
      </c>
      <c r="AY112" t="s">
        <v>74</v>
      </c>
      <c r="AZ112" t="s">
        <v>74</v>
      </c>
      <c r="BA112" t="s">
        <v>74</v>
      </c>
      <c r="BB112">
        <v>327</v>
      </c>
      <c r="BC112">
        <v>345</v>
      </c>
      <c r="BD112" t="s">
        <v>74</v>
      </c>
      <c r="BE112" t="s">
        <v>2108</v>
      </c>
      <c r="BF112" t="str">
        <f>HYPERLINK("http://dx.doi.org/10.1080/15230430.2019.1643210","http://dx.doi.org/10.1080/15230430.2019.1643210")</f>
        <v>http://dx.doi.org/10.1080/15230430.2019.1643210</v>
      </c>
      <c r="BG112" t="s">
        <v>74</v>
      </c>
      <c r="BH112" t="s">
        <v>74</v>
      </c>
      <c r="BI112">
        <v>19</v>
      </c>
      <c r="BJ112" t="s">
        <v>218</v>
      </c>
      <c r="BK112" t="s">
        <v>101</v>
      </c>
      <c r="BL112" t="s">
        <v>219</v>
      </c>
      <c r="BM112" t="s">
        <v>1756</v>
      </c>
      <c r="BN112" t="s">
        <v>74</v>
      </c>
      <c r="BO112" t="s">
        <v>131</v>
      </c>
      <c r="BP112" t="s">
        <v>74</v>
      </c>
      <c r="BQ112" t="s">
        <v>74</v>
      </c>
      <c r="BR112" t="s">
        <v>104</v>
      </c>
      <c r="BS112" t="s">
        <v>2109</v>
      </c>
      <c r="BT112" t="str">
        <f>HYPERLINK("https%3A%2F%2Fwww.webofscience.com%2Fwos%2Fwoscc%2Ffull-record%2FWOS:000486105800024","View Full Record in Web of Science")</f>
        <v>View Full Record in Web of Science</v>
      </c>
    </row>
    <row r="113" spans="1:72" x14ac:dyDescent="0.15">
      <c r="A113" t="s">
        <v>72</v>
      </c>
      <c r="B113" t="s">
        <v>2110</v>
      </c>
      <c r="C113" t="s">
        <v>74</v>
      </c>
      <c r="D113" t="s">
        <v>74</v>
      </c>
      <c r="E113" t="s">
        <v>74</v>
      </c>
      <c r="F113" t="s">
        <v>2111</v>
      </c>
      <c r="G113" t="s">
        <v>74</v>
      </c>
      <c r="H113" t="s">
        <v>74</v>
      </c>
      <c r="I113" t="s">
        <v>2112</v>
      </c>
      <c r="J113" t="s">
        <v>198</v>
      </c>
      <c r="K113" t="s">
        <v>74</v>
      </c>
      <c r="L113" t="s">
        <v>74</v>
      </c>
      <c r="M113" t="s">
        <v>78</v>
      </c>
      <c r="N113" t="s">
        <v>79</v>
      </c>
      <c r="O113" t="s">
        <v>74</v>
      </c>
      <c r="P113" t="s">
        <v>74</v>
      </c>
      <c r="Q113" t="s">
        <v>74</v>
      </c>
      <c r="R113" t="s">
        <v>74</v>
      </c>
      <c r="S113" t="s">
        <v>74</v>
      </c>
      <c r="T113" t="s">
        <v>2113</v>
      </c>
      <c r="U113" t="s">
        <v>2114</v>
      </c>
      <c r="V113" t="s">
        <v>2115</v>
      </c>
      <c r="W113" t="s">
        <v>2116</v>
      </c>
      <c r="X113" t="s">
        <v>2117</v>
      </c>
      <c r="Y113" t="s">
        <v>2118</v>
      </c>
      <c r="Z113" t="s">
        <v>2119</v>
      </c>
      <c r="AA113" t="s">
        <v>2120</v>
      </c>
      <c r="AB113" t="s">
        <v>2121</v>
      </c>
      <c r="AC113" t="s">
        <v>2122</v>
      </c>
      <c r="AD113" t="s">
        <v>2123</v>
      </c>
      <c r="AE113" t="s">
        <v>2124</v>
      </c>
      <c r="AF113" t="s">
        <v>74</v>
      </c>
      <c r="AG113">
        <v>78</v>
      </c>
      <c r="AH113">
        <v>10</v>
      </c>
      <c r="AI113">
        <v>10</v>
      </c>
      <c r="AJ113">
        <v>0</v>
      </c>
      <c r="AK113">
        <v>9</v>
      </c>
      <c r="AL113" t="s">
        <v>210</v>
      </c>
      <c r="AM113" t="s">
        <v>211</v>
      </c>
      <c r="AN113" t="s">
        <v>212</v>
      </c>
      <c r="AO113" t="s">
        <v>213</v>
      </c>
      <c r="AP113" t="s">
        <v>214</v>
      </c>
      <c r="AQ113" t="s">
        <v>74</v>
      </c>
      <c r="AR113" t="s">
        <v>215</v>
      </c>
      <c r="AS113" t="s">
        <v>216</v>
      </c>
      <c r="AT113" t="s">
        <v>74</v>
      </c>
      <c r="AU113">
        <v>2019</v>
      </c>
      <c r="AV113">
        <v>51</v>
      </c>
      <c r="AW113">
        <v>1</v>
      </c>
      <c r="AX113" t="s">
        <v>74</v>
      </c>
      <c r="AY113" t="s">
        <v>74</v>
      </c>
      <c r="AZ113" t="s">
        <v>74</v>
      </c>
      <c r="BA113" t="s">
        <v>74</v>
      </c>
      <c r="BB113">
        <v>366</v>
      </c>
      <c r="BC113">
        <v>378</v>
      </c>
      <c r="BD113" t="s">
        <v>74</v>
      </c>
      <c r="BE113" t="s">
        <v>2125</v>
      </c>
      <c r="BF113" t="str">
        <f>HYPERLINK("http://dx.doi.org/10.1080/15230430.2019.1646574","http://dx.doi.org/10.1080/15230430.2019.1646574")</f>
        <v>http://dx.doi.org/10.1080/15230430.2019.1646574</v>
      </c>
      <c r="BG113" t="s">
        <v>74</v>
      </c>
      <c r="BH113" t="s">
        <v>74</v>
      </c>
      <c r="BI113">
        <v>13</v>
      </c>
      <c r="BJ113" t="s">
        <v>218</v>
      </c>
      <c r="BK113" t="s">
        <v>101</v>
      </c>
      <c r="BL113" t="s">
        <v>219</v>
      </c>
      <c r="BM113" t="s">
        <v>1756</v>
      </c>
      <c r="BN113" t="s">
        <v>74</v>
      </c>
      <c r="BO113" t="s">
        <v>193</v>
      </c>
      <c r="BP113" t="s">
        <v>74</v>
      </c>
      <c r="BQ113" t="s">
        <v>74</v>
      </c>
      <c r="BR113" t="s">
        <v>104</v>
      </c>
      <c r="BS113" t="s">
        <v>2126</v>
      </c>
      <c r="BT113" t="str">
        <f>HYPERLINK("https%3A%2F%2Fwww.webofscience.com%2Fwos%2Fwoscc%2Ffull-record%2FWOS:000486105800026","View Full Record in Web of Science")</f>
        <v>View Full Record in Web of Science</v>
      </c>
    </row>
    <row r="114" spans="1:72" x14ac:dyDescent="0.15">
      <c r="A114" t="s">
        <v>72</v>
      </c>
      <c r="B114" t="s">
        <v>2127</v>
      </c>
      <c r="C114" t="s">
        <v>74</v>
      </c>
      <c r="D114" t="s">
        <v>74</v>
      </c>
      <c r="E114" t="s">
        <v>74</v>
      </c>
      <c r="F114" t="s">
        <v>2128</v>
      </c>
      <c r="G114" t="s">
        <v>74</v>
      </c>
      <c r="H114" t="s">
        <v>74</v>
      </c>
      <c r="I114" t="s">
        <v>2129</v>
      </c>
      <c r="J114" t="s">
        <v>198</v>
      </c>
      <c r="K114" t="s">
        <v>74</v>
      </c>
      <c r="L114" t="s">
        <v>74</v>
      </c>
      <c r="M114" t="s">
        <v>78</v>
      </c>
      <c r="N114" t="s">
        <v>79</v>
      </c>
      <c r="O114" t="s">
        <v>74</v>
      </c>
      <c r="P114" t="s">
        <v>74</v>
      </c>
      <c r="Q114" t="s">
        <v>74</v>
      </c>
      <c r="R114" t="s">
        <v>74</v>
      </c>
      <c r="S114" t="s">
        <v>74</v>
      </c>
      <c r="T114" t="s">
        <v>2130</v>
      </c>
      <c r="U114" t="s">
        <v>2131</v>
      </c>
      <c r="V114" t="s">
        <v>2132</v>
      </c>
      <c r="W114" t="s">
        <v>2133</v>
      </c>
      <c r="X114" t="s">
        <v>2134</v>
      </c>
      <c r="Y114" t="s">
        <v>2135</v>
      </c>
      <c r="Z114" t="s">
        <v>2136</v>
      </c>
      <c r="AA114" t="s">
        <v>2137</v>
      </c>
      <c r="AB114" t="s">
        <v>2138</v>
      </c>
      <c r="AC114" t="s">
        <v>74</v>
      </c>
      <c r="AD114" t="s">
        <v>74</v>
      </c>
      <c r="AE114" t="s">
        <v>74</v>
      </c>
      <c r="AF114" t="s">
        <v>74</v>
      </c>
      <c r="AG114">
        <v>65</v>
      </c>
      <c r="AH114">
        <v>1</v>
      </c>
      <c r="AI114">
        <v>1</v>
      </c>
      <c r="AJ114">
        <v>0</v>
      </c>
      <c r="AK114">
        <v>7</v>
      </c>
      <c r="AL114" t="s">
        <v>210</v>
      </c>
      <c r="AM114" t="s">
        <v>211</v>
      </c>
      <c r="AN114" t="s">
        <v>212</v>
      </c>
      <c r="AO114" t="s">
        <v>213</v>
      </c>
      <c r="AP114" t="s">
        <v>214</v>
      </c>
      <c r="AQ114" t="s">
        <v>74</v>
      </c>
      <c r="AR114" t="s">
        <v>215</v>
      </c>
      <c r="AS114" t="s">
        <v>216</v>
      </c>
      <c r="AT114" t="s">
        <v>74</v>
      </c>
      <c r="AU114">
        <v>2019</v>
      </c>
      <c r="AV114">
        <v>51</v>
      </c>
      <c r="AW114">
        <v>1</v>
      </c>
      <c r="AX114" t="s">
        <v>74</v>
      </c>
      <c r="AY114" t="s">
        <v>74</v>
      </c>
      <c r="AZ114" t="s">
        <v>74</v>
      </c>
      <c r="BA114" t="s">
        <v>74</v>
      </c>
      <c r="BB114">
        <v>379</v>
      </c>
      <c r="BC114">
        <v>396</v>
      </c>
      <c r="BD114" t="s">
        <v>74</v>
      </c>
      <c r="BE114" t="s">
        <v>2139</v>
      </c>
      <c r="BF114" t="str">
        <f>HYPERLINK("http://dx.doi.org/10.1080/15230430.2019.1648163","http://dx.doi.org/10.1080/15230430.2019.1648163")</f>
        <v>http://dx.doi.org/10.1080/15230430.2019.1648163</v>
      </c>
      <c r="BG114" t="s">
        <v>74</v>
      </c>
      <c r="BH114" t="s">
        <v>74</v>
      </c>
      <c r="BI114">
        <v>18</v>
      </c>
      <c r="BJ114" t="s">
        <v>218</v>
      </c>
      <c r="BK114" t="s">
        <v>101</v>
      </c>
      <c r="BL114" t="s">
        <v>219</v>
      </c>
      <c r="BM114" t="s">
        <v>1756</v>
      </c>
      <c r="BN114" t="s">
        <v>74</v>
      </c>
      <c r="BO114" t="s">
        <v>131</v>
      </c>
      <c r="BP114" t="s">
        <v>74</v>
      </c>
      <c r="BQ114" t="s">
        <v>74</v>
      </c>
      <c r="BR114" t="s">
        <v>104</v>
      </c>
      <c r="BS114" t="s">
        <v>2140</v>
      </c>
      <c r="BT114" t="str">
        <f>HYPERLINK("https%3A%2F%2Fwww.webofscience.com%2Fwos%2Fwoscc%2Ffull-record%2FWOS:000486105800027","View Full Record in Web of Science")</f>
        <v>View Full Record in Web of Science</v>
      </c>
    </row>
    <row r="115" spans="1:72" x14ac:dyDescent="0.15">
      <c r="A115" t="s">
        <v>72</v>
      </c>
      <c r="B115" t="s">
        <v>2141</v>
      </c>
      <c r="C115" t="s">
        <v>74</v>
      </c>
      <c r="D115" t="s">
        <v>74</v>
      </c>
      <c r="E115" t="s">
        <v>74</v>
      </c>
      <c r="F115" t="s">
        <v>2142</v>
      </c>
      <c r="G115" t="s">
        <v>74</v>
      </c>
      <c r="H115" t="s">
        <v>74</v>
      </c>
      <c r="I115" t="s">
        <v>2143</v>
      </c>
      <c r="J115" t="s">
        <v>198</v>
      </c>
      <c r="K115" t="s">
        <v>74</v>
      </c>
      <c r="L115" t="s">
        <v>74</v>
      </c>
      <c r="M115" t="s">
        <v>78</v>
      </c>
      <c r="N115" t="s">
        <v>79</v>
      </c>
      <c r="O115" t="s">
        <v>74</v>
      </c>
      <c r="P115" t="s">
        <v>74</v>
      </c>
      <c r="Q115" t="s">
        <v>74</v>
      </c>
      <c r="R115" t="s">
        <v>74</v>
      </c>
      <c r="S115" t="s">
        <v>74</v>
      </c>
      <c r="T115" t="s">
        <v>2144</v>
      </c>
      <c r="U115" t="s">
        <v>2145</v>
      </c>
      <c r="V115" t="s">
        <v>2146</v>
      </c>
      <c r="W115" t="s">
        <v>2147</v>
      </c>
      <c r="X115" t="s">
        <v>2148</v>
      </c>
      <c r="Y115" t="s">
        <v>2149</v>
      </c>
      <c r="Z115" t="s">
        <v>2150</v>
      </c>
      <c r="AA115" t="s">
        <v>74</v>
      </c>
      <c r="AB115" t="s">
        <v>74</v>
      </c>
      <c r="AC115" t="s">
        <v>2151</v>
      </c>
      <c r="AD115" t="s">
        <v>2152</v>
      </c>
      <c r="AE115" t="s">
        <v>2153</v>
      </c>
      <c r="AF115" t="s">
        <v>74</v>
      </c>
      <c r="AG115">
        <v>94</v>
      </c>
      <c r="AH115">
        <v>11</v>
      </c>
      <c r="AI115">
        <v>12</v>
      </c>
      <c r="AJ115">
        <v>6</v>
      </c>
      <c r="AK115">
        <v>19</v>
      </c>
      <c r="AL115" t="s">
        <v>210</v>
      </c>
      <c r="AM115" t="s">
        <v>211</v>
      </c>
      <c r="AN115" t="s">
        <v>212</v>
      </c>
      <c r="AO115" t="s">
        <v>213</v>
      </c>
      <c r="AP115" t="s">
        <v>214</v>
      </c>
      <c r="AQ115" t="s">
        <v>74</v>
      </c>
      <c r="AR115" t="s">
        <v>215</v>
      </c>
      <c r="AS115" t="s">
        <v>216</v>
      </c>
      <c r="AT115" t="s">
        <v>74</v>
      </c>
      <c r="AU115">
        <v>2019</v>
      </c>
      <c r="AV115">
        <v>51</v>
      </c>
      <c r="AW115">
        <v>1</v>
      </c>
      <c r="AX115" t="s">
        <v>74</v>
      </c>
      <c r="AY115" t="s">
        <v>74</v>
      </c>
      <c r="AZ115" t="s">
        <v>74</v>
      </c>
      <c r="BA115" t="s">
        <v>74</v>
      </c>
      <c r="BB115">
        <v>397</v>
      </c>
      <c r="BC115">
        <v>411</v>
      </c>
      <c r="BD115" t="s">
        <v>74</v>
      </c>
      <c r="BE115" t="s">
        <v>2154</v>
      </c>
      <c r="BF115" t="str">
        <f>HYPERLINK("http://dx.doi.org/10.1080/15230430.2019.1650542","http://dx.doi.org/10.1080/15230430.2019.1650542")</f>
        <v>http://dx.doi.org/10.1080/15230430.2019.1650542</v>
      </c>
      <c r="BG115" t="s">
        <v>74</v>
      </c>
      <c r="BH115" t="s">
        <v>74</v>
      </c>
      <c r="BI115">
        <v>15</v>
      </c>
      <c r="BJ115" t="s">
        <v>218</v>
      </c>
      <c r="BK115" t="s">
        <v>101</v>
      </c>
      <c r="BL115" t="s">
        <v>219</v>
      </c>
      <c r="BM115" t="s">
        <v>1756</v>
      </c>
      <c r="BN115" t="s">
        <v>74</v>
      </c>
      <c r="BO115" t="s">
        <v>131</v>
      </c>
      <c r="BP115" t="s">
        <v>74</v>
      </c>
      <c r="BQ115" t="s">
        <v>74</v>
      </c>
      <c r="BR115" t="s">
        <v>104</v>
      </c>
      <c r="BS115" t="s">
        <v>2155</v>
      </c>
      <c r="BT115" t="str">
        <f>HYPERLINK("https%3A%2F%2Fwww.webofscience.com%2Fwos%2Fwoscc%2Ffull-record%2FWOS:000486105800028","View Full Record in Web of Science")</f>
        <v>View Full Record in Web of Science</v>
      </c>
    </row>
    <row r="116" spans="1:72" x14ac:dyDescent="0.15">
      <c r="A116" t="s">
        <v>72</v>
      </c>
      <c r="B116" t="s">
        <v>2156</v>
      </c>
      <c r="C116" t="s">
        <v>74</v>
      </c>
      <c r="D116" t="s">
        <v>74</v>
      </c>
      <c r="E116" t="s">
        <v>74</v>
      </c>
      <c r="F116" t="s">
        <v>2157</v>
      </c>
      <c r="G116" t="s">
        <v>74</v>
      </c>
      <c r="H116" t="s">
        <v>74</v>
      </c>
      <c r="I116" t="s">
        <v>2158</v>
      </c>
      <c r="J116" t="s">
        <v>198</v>
      </c>
      <c r="K116" t="s">
        <v>74</v>
      </c>
      <c r="L116" t="s">
        <v>74</v>
      </c>
      <c r="M116" t="s">
        <v>78</v>
      </c>
      <c r="N116" t="s">
        <v>79</v>
      </c>
      <c r="O116" t="s">
        <v>74</v>
      </c>
      <c r="P116" t="s">
        <v>74</v>
      </c>
      <c r="Q116" t="s">
        <v>74</v>
      </c>
      <c r="R116" t="s">
        <v>74</v>
      </c>
      <c r="S116" t="s">
        <v>74</v>
      </c>
      <c r="T116" t="s">
        <v>2159</v>
      </c>
      <c r="U116" t="s">
        <v>2160</v>
      </c>
      <c r="V116" t="s">
        <v>2161</v>
      </c>
      <c r="W116" t="s">
        <v>2162</v>
      </c>
      <c r="X116" t="s">
        <v>2163</v>
      </c>
      <c r="Y116" t="s">
        <v>2164</v>
      </c>
      <c r="Z116" t="s">
        <v>2165</v>
      </c>
      <c r="AA116" t="s">
        <v>74</v>
      </c>
      <c r="AB116" t="s">
        <v>74</v>
      </c>
      <c r="AC116" t="s">
        <v>2166</v>
      </c>
      <c r="AD116" t="s">
        <v>2167</v>
      </c>
      <c r="AE116" t="s">
        <v>2168</v>
      </c>
      <c r="AF116" t="s">
        <v>74</v>
      </c>
      <c r="AG116">
        <v>39</v>
      </c>
      <c r="AH116">
        <v>3</v>
      </c>
      <c r="AI116">
        <v>3</v>
      </c>
      <c r="AJ116">
        <v>0</v>
      </c>
      <c r="AK116">
        <v>3</v>
      </c>
      <c r="AL116" t="s">
        <v>210</v>
      </c>
      <c r="AM116" t="s">
        <v>211</v>
      </c>
      <c r="AN116" t="s">
        <v>212</v>
      </c>
      <c r="AO116" t="s">
        <v>213</v>
      </c>
      <c r="AP116" t="s">
        <v>214</v>
      </c>
      <c r="AQ116" t="s">
        <v>74</v>
      </c>
      <c r="AR116" t="s">
        <v>215</v>
      </c>
      <c r="AS116" t="s">
        <v>216</v>
      </c>
      <c r="AT116" t="s">
        <v>74</v>
      </c>
      <c r="AU116">
        <v>2019</v>
      </c>
      <c r="AV116">
        <v>51</v>
      </c>
      <c r="AW116">
        <v>1</v>
      </c>
      <c r="AX116" t="s">
        <v>74</v>
      </c>
      <c r="AY116" t="s">
        <v>74</v>
      </c>
      <c r="AZ116" t="s">
        <v>74</v>
      </c>
      <c r="BA116" t="s">
        <v>74</v>
      </c>
      <c r="BB116">
        <v>412</v>
      </c>
      <c r="BC116">
        <v>427</v>
      </c>
      <c r="BD116" t="s">
        <v>74</v>
      </c>
      <c r="BE116" t="s">
        <v>2169</v>
      </c>
      <c r="BF116" t="str">
        <f>HYPERLINK("http://dx.doi.org/10.1080/15230430.2019.1634442","http://dx.doi.org/10.1080/15230430.2019.1634442")</f>
        <v>http://dx.doi.org/10.1080/15230430.2019.1634442</v>
      </c>
      <c r="BG116" t="s">
        <v>74</v>
      </c>
      <c r="BH116" t="s">
        <v>74</v>
      </c>
      <c r="BI116">
        <v>16</v>
      </c>
      <c r="BJ116" t="s">
        <v>218</v>
      </c>
      <c r="BK116" t="s">
        <v>101</v>
      </c>
      <c r="BL116" t="s">
        <v>219</v>
      </c>
      <c r="BM116" t="s">
        <v>1756</v>
      </c>
      <c r="BN116" t="s">
        <v>74</v>
      </c>
      <c r="BO116" t="s">
        <v>131</v>
      </c>
      <c r="BP116" t="s">
        <v>74</v>
      </c>
      <c r="BQ116" t="s">
        <v>74</v>
      </c>
      <c r="BR116" t="s">
        <v>104</v>
      </c>
      <c r="BS116" t="s">
        <v>2170</v>
      </c>
      <c r="BT116" t="str">
        <f>HYPERLINK("https%3A%2F%2Fwww.webofscience.com%2Fwos%2Fwoscc%2Ffull-record%2FWOS:000486105800029","View Full Record in Web of Science")</f>
        <v>View Full Record in Web of Science</v>
      </c>
    </row>
    <row r="117" spans="1:72" x14ac:dyDescent="0.15">
      <c r="A117" t="s">
        <v>72</v>
      </c>
      <c r="B117" t="s">
        <v>2171</v>
      </c>
      <c r="C117" t="s">
        <v>74</v>
      </c>
      <c r="D117" t="s">
        <v>74</v>
      </c>
      <c r="E117" t="s">
        <v>74</v>
      </c>
      <c r="F117" t="s">
        <v>2172</v>
      </c>
      <c r="G117" t="s">
        <v>74</v>
      </c>
      <c r="H117" t="s">
        <v>74</v>
      </c>
      <c r="I117" t="s">
        <v>2173</v>
      </c>
      <c r="J117" t="s">
        <v>2174</v>
      </c>
      <c r="K117" t="s">
        <v>74</v>
      </c>
      <c r="L117" t="s">
        <v>74</v>
      </c>
      <c r="M117" t="s">
        <v>863</v>
      </c>
      <c r="N117" t="s">
        <v>79</v>
      </c>
      <c r="O117" t="s">
        <v>74</v>
      </c>
      <c r="P117" t="s">
        <v>74</v>
      </c>
      <c r="Q117" t="s">
        <v>74</v>
      </c>
      <c r="R117" t="s">
        <v>74</v>
      </c>
      <c r="S117" t="s">
        <v>74</v>
      </c>
      <c r="T117" t="s">
        <v>2175</v>
      </c>
      <c r="U117" t="s">
        <v>2176</v>
      </c>
      <c r="V117" t="s">
        <v>2177</v>
      </c>
      <c r="W117" t="s">
        <v>2178</v>
      </c>
      <c r="X117" t="s">
        <v>2179</v>
      </c>
      <c r="Y117" t="s">
        <v>2180</v>
      </c>
      <c r="Z117" t="s">
        <v>2181</v>
      </c>
      <c r="AA117" t="s">
        <v>2182</v>
      </c>
      <c r="AB117" t="s">
        <v>2183</v>
      </c>
      <c r="AC117" t="s">
        <v>2184</v>
      </c>
      <c r="AD117" t="s">
        <v>2185</v>
      </c>
      <c r="AE117" t="s">
        <v>2186</v>
      </c>
      <c r="AF117" t="s">
        <v>74</v>
      </c>
      <c r="AG117">
        <v>124</v>
      </c>
      <c r="AH117">
        <v>9</v>
      </c>
      <c r="AI117">
        <v>9</v>
      </c>
      <c r="AJ117">
        <v>3</v>
      </c>
      <c r="AK117">
        <v>12</v>
      </c>
      <c r="AL117" t="s">
        <v>940</v>
      </c>
      <c r="AM117" t="s">
        <v>941</v>
      </c>
      <c r="AN117" t="s">
        <v>942</v>
      </c>
      <c r="AO117" t="s">
        <v>2187</v>
      </c>
      <c r="AP117" t="s">
        <v>74</v>
      </c>
      <c r="AQ117" t="s">
        <v>74</v>
      </c>
      <c r="AR117" t="s">
        <v>2188</v>
      </c>
      <c r="AS117" t="s">
        <v>2189</v>
      </c>
      <c r="AT117" t="s">
        <v>74</v>
      </c>
      <c r="AU117">
        <v>2019</v>
      </c>
      <c r="AV117">
        <v>64</v>
      </c>
      <c r="AW117">
        <v>2</v>
      </c>
      <c r="AX117" t="s">
        <v>74</v>
      </c>
      <c r="AY117" t="s">
        <v>74</v>
      </c>
      <c r="AZ117" t="s">
        <v>74</v>
      </c>
      <c r="BA117" t="s">
        <v>74</v>
      </c>
      <c r="BB117">
        <v>327</v>
      </c>
      <c r="BC117">
        <v>355</v>
      </c>
      <c r="BD117" t="s">
        <v>74</v>
      </c>
      <c r="BE117" t="s">
        <v>2190</v>
      </c>
      <c r="BF117" t="str">
        <f>HYPERLINK("http://dx.doi.org/10.21638/11701/spbu02.2019.201","http://dx.doi.org/10.21638/11701/spbu02.2019.201")</f>
        <v>http://dx.doi.org/10.21638/11701/spbu02.2019.201</v>
      </c>
      <c r="BG117" t="s">
        <v>74</v>
      </c>
      <c r="BH117" t="s">
        <v>74</v>
      </c>
      <c r="BI117">
        <v>29</v>
      </c>
      <c r="BJ117" t="s">
        <v>348</v>
      </c>
      <c r="BK117" t="s">
        <v>349</v>
      </c>
      <c r="BL117" t="s">
        <v>348</v>
      </c>
      <c r="BM117" t="s">
        <v>2191</v>
      </c>
      <c r="BN117" t="s">
        <v>74</v>
      </c>
      <c r="BO117" t="s">
        <v>949</v>
      </c>
      <c r="BP117" t="s">
        <v>74</v>
      </c>
      <c r="BQ117" t="s">
        <v>74</v>
      </c>
      <c r="BR117" t="s">
        <v>104</v>
      </c>
      <c r="BS117" t="s">
        <v>2192</v>
      </c>
      <c r="BT117" t="str">
        <f>HYPERLINK("https%3A%2F%2Fwww.webofscience.com%2Fwos%2Fwoscc%2Ffull-record%2FWOS:000485767800001","View Full Record in Web of Science")</f>
        <v>View Full Record in Web of Science</v>
      </c>
    </row>
    <row r="118" spans="1:72" x14ac:dyDescent="0.15">
      <c r="A118" t="s">
        <v>72</v>
      </c>
      <c r="B118" t="s">
        <v>2193</v>
      </c>
      <c r="C118" t="s">
        <v>74</v>
      </c>
      <c r="D118" t="s">
        <v>74</v>
      </c>
      <c r="E118" t="s">
        <v>74</v>
      </c>
      <c r="F118" t="s">
        <v>2194</v>
      </c>
      <c r="G118" t="s">
        <v>74</v>
      </c>
      <c r="H118" t="s">
        <v>74</v>
      </c>
      <c r="I118" t="s">
        <v>2195</v>
      </c>
      <c r="J118" t="s">
        <v>355</v>
      </c>
      <c r="K118" t="s">
        <v>74</v>
      </c>
      <c r="L118" t="s">
        <v>74</v>
      </c>
      <c r="M118" t="s">
        <v>78</v>
      </c>
      <c r="N118" t="s">
        <v>79</v>
      </c>
      <c r="O118" t="s">
        <v>74</v>
      </c>
      <c r="P118" t="s">
        <v>74</v>
      </c>
      <c r="Q118" t="s">
        <v>74</v>
      </c>
      <c r="R118" t="s">
        <v>74</v>
      </c>
      <c r="S118" t="s">
        <v>74</v>
      </c>
      <c r="T118" t="s">
        <v>2196</v>
      </c>
      <c r="U118" t="s">
        <v>2197</v>
      </c>
      <c r="V118" t="s">
        <v>2198</v>
      </c>
      <c r="W118" t="s">
        <v>2199</v>
      </c>
      <c r="X118" t="s">
        <v>2200</v>
      </c>
      <c r="Y118" t="s">
        <v>2201</v>
      </c>
      <c r="Z118" t="s">
        <v>2202</v>
      </c>
      <c r="AA118" t="s">
        <v>74</v>
      </c>
      <c r="AB118" t="s">
        <v>2203</v>
      </c>
      <c r="AC118" t="s">
        <v>2204</v>
      </c>
      <c r="AD118" t="s">
        <v>2205</v>
      </c>
      <c r="AE118" t="s">
        <v>2206</v>
      </c>
      <c r="AF118" t="s">
        <v>74</v>
      </c>
      <c r="AG118">
        <v>89</v>
      </c>
      <c r="AH118">
        <v>6</v>
      </c>
      <c r="AI118">
        <v>8</v>
      </c>
      <c r="AJ118">
        <v>1</v>
      </c>
      <c r="AK118">
        <v>8</v>
      </c>
      <c r="AL118" t="s">
        <v>367</v>
      </c>
      <c r="AM118" t="s">
        <v>368</v>
      </c>
      <c r="AN118" t="s">
        <v>369</v>
      </c>
      <c r="AO118" t="s">
        <v>370</v>
      </c>
      <c r="AP118" t="s">
        <v>371</v>
      </c>
      <c r="AQ118" t="s">
        <v>74</v>
      </c>
      <c r="AR118" t="s">
        <v>372</v>
      </c>
      <c r="AS118" t="s">
        <v>373</v>
      </c>
      <c r="AT118" t="s">
        <v>74</v>
      </c>
      <c r="AU118">
        <v>2019</v>
      </c>
      <c r="AV118">
        <v>22</v>
      </c>
      <c r="AW118">
        <v>2</v>
      </c>
      <c r="AX118" t="s">
        <v>74</v>
      </c>
      <c r="AY118" t="s">
        <v>74</v>
      </c>
      <c r="AZ118" t="s">
        <v>74</v>
      </c>
      <c r="BA118" t="s">
        <v>74</v>
      </c>
      <c r="BB118" t="s">
        <v>74</v>
      </c>
      <c r="BC118" t="s">
        <v>74</v>
      </c>
      <c r="BD118" t="s">
        <v>2207</v>
      </c>
      <c r="BE118" t="s">
        <v>2208</v>
      </c>
      <c r="BF118" t="str">
        <f>HYPERLINK("http://dx.doi.org/10.26879/933","http://dx.doi.org/10.26879/933")</f>
        <v>http://dx.doi.org/10.26879/933</v>
      </c>
      <c r="BG118" t="s">
        <v>74</v>
      </c>
      <c r="BH118" t="s">
        <v>74</v>
      </c>
      <c r="BI118">
        <v>31</v>
      </c>
      <c r="BJ118" t="s">
        <v>375</v>
      </c>
      <c r="BK118" t="s">
        <v>101</v>
      </c>
      <c r="BL118" t="s">
        <v>375</v>
      </c>
      <c r="BM118" t="s">
        <v>2209</v>
      </c>
      <c r="BN118" t="s">
        <v>74</v>
      </c>
      <c r="BO118" t="s">
        <v>193</v>
      </c>
      <c r="BP118" t="s">
        <v>74</v>
      </c>
      <c r="BQ118" t="s">
        <v>74</v>
      </c>
      <c r="BR118" t="s">
        <v>104</v>
      </c>
      <c r="BS118" t="s">
        <v>2210</v>
      </c>
      <c r="BT118" t="str">
        <f>HYPERLINK("https%3A%2F%2Fwww.webofscience.com%2Fwos%2Fwoscc%2Ffull-record%2FWOS:000484371900023","View Full Record in Web of Science")</f>
        <v>View Full Record in Web of Science</v>
      </c>
    </row>
    <row r="119" spans="1:72" x14ac:dyDescent="0.15">
      <c r="A119" t="s">
        <v>164</v>
      </c>
      <c r="B119" t="s">
        <v>2211</v>
      </c>
      <c r="C119" t="s">
        <v>74</v>
      </c>
      <c r="D119" t="s">
        <v>2212</v>
      </c>
      <c r="E119" t="s">
        <v>74</v>
      </c>
      <c r="F119" t="s">
        <v>2213</v>
      </c>
      <c r="G119" t="s">
        <v>74</v>
      </c>
      <c r="H119" t="s">
        <v>74</v>
      </c>
      <c r="I119" t="s">
        <v>2214</v>
      </c>
      <c r="J119" t="s">
        <v>2215</v>
      </c>
      <c r="K119" t="s">
        <v>2216</v>
      </c>
      <c r="L119" t="s">
        <v>74</v>
      </c>
      <c r="M119" t="s">
        <v>78</v>
      </c>
      <c r="N119" t="s">
        <v>172</v>
      </c>
      <c r="O119" t="s">
        <v>2217</v>
      </c>
      <c r="P119" t="s">
        <v>2218</v>
      </c>
      <c r="Q119" t="s">
        <v>2219</v>
      </c>
      <c r="R119" t="s">
        <v>74</v>
      </c>
      <c r="S119" t="s">
        <v>74</v>
      </c>
      <c r="T119" t="s">
        <v>2220</v>
      </c>
      <c r="U119" t="s">
        <v>2221</v>
      </c>
      <c r="V119" t="s">
        <v>2222</v>
      </c>
      <c r="W119" t="s">
        <v>2223</v>
      </c>
      <c r="X119" t="s">
        <v>2224</v>
      </c>
      <c r="Y119" t="s">
        <v>2225</v>
      </c>
      <c r="Z119" t="s">
        <v>2226</v>
      </c>
      <c r="AA119" t="s">
        <v>2227</v>
      </c>
      <c r="AB119" t="s">
        <v>2228</v>
      </c>
      <c r="AC119" t="s">
        <v>2229</v>
      </c>
      <c r="AD119" t="s">
        <v>2230</v>
      </c>
      <c r="AE119" t="s">
        <v>2231</v>
      </c>
      <c r="AF119" t="s">
        <v>74</v>
      </c>
      <c r="AG119">
        <v>23</v>
      </c>
      <c r="AH119">
        <v>7</v>
      </c>
      <c r="AI119">
        <v>7</v>
      </c>
      <c r="AJ119">
        <v>0</v>
      </c>
      <c r="AK119">
        <v>0</v>
      </c>
      <c r="AL119" t="s">
        <v>1216</v>
      </c>
      <c r="AM119" t="s">
        <v>1080</v>
      </c>
      <c r="AN119" t="s">
        <v>1235</v>
      </c>
      <c r="AO119" t="s">
        <v>2232</v>
      </c>
      <c r="AP119" t="s">
        <v>74</v>
      </c>
      <c r="AQ119" t="s">
        <v>2233</v>
      </c>
      <c r="AR119" t="s">
        <v>2234</v>
      </c>
      <c r="AS119" t="s">
        <v>74</v>
      </c>
      <c r="AT119" t="s">
        <v>74</v>
      </c>
      <c r="AU119">
        <v>2019</v>
      </c>
      <c r="AV119" t="s">
        <v>74</v>
      </c>
      <c r="AW119" t="s">
        <v>74</v>
      </c>
      <c r="AX119" t="s">
        <v>74</v>
      </c>
      <c r="AY119" t="s">
        <v>74</v>
      </c>
      <c r="AZ119" t="s">
        <v>74</v>
      </c>
      <c r="BA119" t="s">
        <v>74</v>
      </c>
      <c r="BB119" t="s">
        <v>74</v>
      </c>
      <c r="BC119" t="s">
        <v>74</v>
      </c>
      <c r="BD119" t="s">
        <v>74</v>
      </c>
      <c r="BE119" t="s">
        <v>2235</v>
      </c>
      <c r="BF119" t="str">
        <f>HYPERLINK("http://dx.doi.org/10.1109/icl-gnss.2019.8752635","http://dx.doi.org/10.1109/icl-gnss.2019.8752635")</f>
        <v>http://dx.doi.org/10.1109/icl-gnss.2019.8752635</v>
      </c>
      <c r="BG119" t="s">
        <v>74</v>
      </c>
      <c r="BH119" t="s">
        <v>74</v>
      </c>
      <c r="BI119">
        <v>6</v>
      </c>
      <c r="BJ119" t="s">
        <v>1258</v>
      </c>
      <c r="BK119" t="s">
        <v>190</v>
      </c>
      <c r="BL119" t="s">
        <v>1241</v>
      </c>
      <c r="BM119" t="s">
        <v>2236</v>
      </c>
      <c r="BN119" t="s">
        <v>74</v>
      </c>
      <c r="BO119" t="s">
        <v>74</v>
      </c>
      <c r="BP119" t="s">
        <v>74</v>
      </c>
      <c r="BQ119" t="s">
        <v>74</v>
      </c>
      <c r="BR119" t="s">
        <v>104</v>
      </c>
      <c r="BS119" t="s">
        <v>2237</v>
      </c>
      <c r="BT119" t="str">
        <f>HYPERLINK("https%3A%2F%2Fwww.webofscience.com%2Fwos%2Fwoscc%2Ffull-record%2FWOS:000482701000001","View Full Record in Web of Science")</f>
        <v>View Full Record in Web of Science</v>
      </c>
    </row>
    <row r="120" spans="1:72" x14ac:dyDescent="0.15">
      <c r="A120" t="s">
        <v>72</v>
      </c>
      <c r="B120" t="s">
        <v>2238</v>
      </c>
      <c r="C120" t="s">
        <v>74</v>
      </c>
      <c r="D120" t="s">
        <v>74</v>
      </c>
      <c r="E120" t="s">
        <v>74</v>
      </c>
      <c r="F120" t="s">
        <v>2239</v>
      </c>
      <c r="G120" t="s">
        <v>74</v>
      </c>
      <c r="H120" t="s">
        <v>74</v>
      </c>
      <c r="I120" t="s">
        <v>2240</v>
      </c>
      <c r="J120" t="s">
        <v>2241</v>
      </c>
      <c r="K120" t="s">
        <v>74</v>
      </c>
      <c r="L120" t="s">
        <v>74</v>
      </c>
      <c r="M120" t="s">
        <v>78</v>
      </c>
      <c r="N120" t="s">
        <v>79</v>
      </c>
      <c r="O120" t="s">
        <v>74</v>
      </c>
      <c r="P120" t="s">
        <v>74</v>
      </c>
      <c r="Q120" t="s">
        <v>74</v>
      </c>
      <c r="R120" t="s">
        <v>74</v>
      </c>
      <c r="S120" t="s">
        <v>74</v>
      </c>
      <c r="T120" t="s">
        <v>2242</v>
      </c>
      <c r="U120" t="s">
        <v>2243</v>
      </c>
      <c r="V120" t="s">
        <v>2244</v>
      </c>
      <c r="W120" t="s">
        <v>2245</v>
      </c>
      <c r="X120" t="s">
        <v>2246</v>
      </c>
      <c r="Y120" t="s">
        <v>2247</v>
      </c>
      <c r="Z120" t="s">
        <v>2248</v>
      </c>
      <c r="AA120" t="s">
        <v>74</v>
      </c>
      <c r="AB120" t="s">
        <v>74</v>
      </c>
      <c r="AC120" t="s">
        <v>2249</v>
      </c>
      <c r="AD120" t="s">
        <v>2250</v>
      </c>
      <c r="AE120" t="s">
        <v>2251</v>
      </c>
      <c r="AF120" t="s">
        <v>74</v>
      </c>
      <c r="AG120">
        <v>35</v>
      </c>
      <c r="AH120">
        <v>5</v>
      </c>
      <c r="AI120">
        <v>5</v>
      </c>
      <c r="AJ120">
        <v>0</v>
      </c>
      <c r="AK120">
        <v>0</v>
      </c>
      <c r="AL120" t="s">
        <v>2252</v>
      </c>
      <c r="AM120" t="s">
        <v>2253</v>
      </c>
      <c r="AN120" t="s">
        <v>2254</v>
      </c>
      <c r="AO120" t="s">
        <v>2255</v>
      </c>
      <c r="AP120" t="s">
        <v>74</v>
      </c>
      <c r="AQ120" t="s">
        <v>74</v>
      </c>
      <c r="AR120" t="s">
        <v>2241</v>
      </c>
      <c r="AS120" t="s">
        <v>2256</v>
      </c>
      <c r="AT120" t="s">
        <v>74</v>
      </c>
      <c r="AU120">
        <v>2019</v>
      </c>
      <c r="AV120">
        <v>19</v>
      </c>
      <c r="AW120">
        <v>1</v>
      </c>
      <c r="AX120" t="s">
        <v>74</v>
      </c>
      <c r="AY120" t="s">
        <v>74</v>
      </c>
      <c r="AZ120" t="s">
        <v>74</v>
      </c>
      <c r="BA120" t="s">
        <v>74</v>
      </c>
      <c r="BB120">
        <v>90</v>
      </c>
      <c r="BC120">
        <v>106</v>
      </c>
      <c r="BD120" t="s">
        <v>74</v>
      </c>
      <c r="BE120" t="s">
        <v>2257</v>
      </c>
      <c r="BF120" t="str">
        <f>HYPERLINK("http://dx.doi.org/10.5507/fot.2019.001","http://dx.doi.org/10.5507/fot.2019.001")</f>
        <v>http://dx.doi.org/10.5507/fot.2019.001</v>
      </c>
      <c r="BG120" t="s">
        <v>74</v>
      </c>
      <c r="BH120" t="s">
        <v>74</v>
      </c>
      <c r="BI120">
        <v>17</v>
      </c>
      <c r="BJ120" t="s">
        <v>720</v>
      </c>
      <c r="BK120" t="s">
        <v>101</v>
      </c>
      <c r="BL120" t="s">
        <v>720</v>
      </c>
      <c r="BM120" t="s">
        <v>2258</v>
      </c>
      <c r="BN120" t="s">
        <v>74</v>
      </c>
      <c r="BO120" t="s">
        <v>1556</v>
      </c>
      <c r="BP120" t="s">
        <v>74</v>
      </c>
      <c r="BQ120" t="s">
        <v>74</v>
      </c>
      <c r="BR120" t="s">
        <v>104</v>
      </c>
      <c r="BS120" t="s">
        <v>2259</v>
      </c>
      <c r="BT120" t="str">
        <f>HYPERLINK("https%3A%2F%2Fwww.webofscience.com%2Fwos%2Fwoscc%2Ffull-record%2FWOS:000482753200006","View Full Record in Web of Science")</f>
        <v>View Full Record in Web of Science</v>
      </c>
    </row>
    <row r="121" spans="1:72" x14ac:dyDescent="0.15">
      <c r="A121" t="s">
        <v>72</v>
      </c>
      <c r="B121" t="s">
        <v>2260</v>
      </c>
      <c r="C121" t="s">
        <v>74</v>
      </c>
      <c r="D121" t="s">
        <v>74</v>
      </c>
      <c r="E121" t="s">
        <v>74</v>
      </c>
      <c r="F121" t="s">
        <v>2261</v>
      </c>
      <c r="G121" t="s">
        <v>74</v>
      </c>
      <c r="H121" t="s">
        <v>74</v>
      </c>
      <c r="I121" t="s">
        <v>2262</v>
      </c>
      <c r="J121" t="s">
        <v>930</v>
      </c>
      <c r="K121" t="s">
        <v>74</v>
      </c>
      <c r="L121" t="s">
        <v>74</v>
      </c>
      <c r="M121" t="s">
        <v>863</v>
      </c>
      <c r="N121" t="s">
        <v>79</v>
      </c>
      <c r="O121" t="s">
        <v>74</v>
      </c>
      <c r="P121" t="s">
        <v>74</v>
      </c>
      <c r="Q121" t="s">
        <v>74</v>
      </c>
      <c r="R121" t="s">
        <v>74</v>
      </c>
      <c r="S121" t="s">
        <v>74</v>
      </c>
      <c r="T121" t="s">
        <v>2263</v>
      </c>
      <c r="U121" t="s">
        <v>74</v>
      </c>
      <c r="V121" t="s">
        <v>2264</v>
      </c>
      <c r="W121" t="s">
        <v>2265</v>
      </c>
      <c r="X121" t="s">
        <v>84</v>
      </c>
      <c r="Y121" t="s">
        <v>2266</v>
      </c>
      <c r="Z121" t="s">
        <v>2267</v>
      </c>
      <c r="AA121" t="s">
        <v>74</v>
      </c>
      <c r="AB121" t="s">
        <v>74</v>
      </c>
      <c r="AC121" t="s">
        <v>74</v>
      </c>
      <c r="AD121" t="s">
        <v>74</v>
      </c>
      <c r="AE121" t="s">
        <v>74</v>
      </c>
      <c r="AF121" t="s">
        <v>74</v>
      </c>
      <c r="AG121">
        <v>9</v>
      </c>
      <c r="AH121">
        <v>4</v>
      </c>
      <c r="AI121">
        <v>5</v>
      </c>
      <c r="AJ121">
        <v>0</v>
      </c>
      <c r="AK121">
        <v>1</v>
      </c>
      <c r="AL121" t="s">
        <v>940</v>
      </c>
      <c r="AM121" t="s">
        <v>941</v>
      </c>
      <c r="AN121" t="s">
        <v>942</v>
      </c>
      <c r="AO121" t="s">
        <v>943</v>
      </c>
      <c r="AP121" t="s">
        <v>944</v>
      </c>
      <c r="AQ121" t="s">
        <v>74</v>
      </c>
      <c r="AR121" t="s">
        <v>945</v>
      </c>
      <c r="AS121" t="s">
        <v>946</v>
      </c>
      <c r="AT121" t="s">
        <v>74</v>
      </c>
      <c r="AU121">
        <v>2019</v>
      </c>
      <c r="AV121">
        <v>64</v>
      </c>
      <c r="AW121">
        <v>2</v>
      </c>
      <c r="AX121" t="s">
        <v>74</v>
      </c>
      <c r="AY121" t="s">
        <v>74</v>
      </c>
      <c r="AZ121" t="s">
        <v>74</v>
      </c>
      <c r="BA121" t="s">
        <v>74</v>
      </c>
      <c r="BB121">
        <v>206</v>
      </c>
      <c r="BC121">
        <v>218</v>
      </c>
      <c r="BD121" t="s">
        <v>74</v>
      </c>
      <c r="BE121" t="s">
        <v>2268</v>
      </c>
      <c r="BF121" t="str">
        <f>HYPERLINK("http://dx.doi.org/10.21638/spbu07.2019.203","http://dx.doi.org/10.21638/spbu07.2019.203")</f>
        <v>http://dx.doi.org/10.21638/spbu07.2019.203</v>
      </c>
      <c r="BG121" t="s">
        <v>74</v>
      </c>
      <c r="BH121" t="s">
        <v>74</v>
      </c>
      <c r="BI121">
        <v>13</v>
      </c>
      <c r="BJ121" t="s">
        <v>884</v>
      </c>
      <c r="BK121" t="s">
        <v>349</v>
      </c>
      <c r="BL121" t="s">
        <v>528</v>
      </c>
      <c r="BM121" t="s">
        <v>2269</v>
      </c>
      <c r="BN121" t="s">
        <v>74</v>
      </c>
      <c r="BO121" t="s">
        <v>1556</v>
      </c>
      <c r="BP121" t="s">
        <v>74</v>
      </c>
      <c r="BQ121" t="s">
        <v>74</v>
      </c>
      <c r="BR121" t="s">
        <v>104</v>
      </c>
      <c r="BS121" t="s">
        <v>2270</v>
      </c>
      <c r="BT121" t="str">
        <f>HYPERLINK("https%3A%2F%2Fwww.webofscience.com%2Fwos%2Fwoscc%2Ffull-record%2FWOS:000482231700003","View Full Record in Web of Science")</f>
        <v>View Full Record in Web of Science</v>
      </c>
    </row>
    <row r="122" spans="1:72" x14ac:dyDescent="0.15">
      <c r="A122" t="s">
        <v>164</v>
      </c>
      <c r="B122" t="s">
        <v>2271</v>
      </c>
      <c r="C122" t="s">
        <v>74</v>
      </c>
      <c r="D122" t="s">
        <v>2272</v>
      </c>
      <c r="E122" t="s">
        <v>74</v>
      </c>
      <c r="F122" t="s">
        <v>2273</v>
      </c>
      <c r="G122" t="s">
        <v>74</v>
      </c>
      <c r="H122" t="s">
        <v>74</v>
      </c>
      <c r="I122" t="s">
        <v>2274</v>
      </c>
      <c r="J122" t="s">
        <v>2275</v>
      </c>
      <c r="K122" t="s">
        <v>2276</v>
      </c>
      <c r="L122" t="s">
        <v>74</v>
      </c>
      <c r="M122" t="s">
        <v>78</v>
      </c>
      <c r="N122" t="s">
        <v>172</v>
      </c>
      <c r="O122" t="s">
        <v>2277</v>
      </c>
      <c r="P122" t="s">
        <v>2278</v>
      </c>
      <c r="Q122" t="s">
        <v>2279</v>
      </c>
      <c r="R122" t="s">
        <v>74</v>
      </c>
      <c r="S122" t="s">
        <v>74</v>
      </c>
      <c r="T122" t="s">
        <v>2280</v>
      </c>
      <c r="U122" t="s">
        <v>74</v>
      </c>
      <c r="V122" t="s">
        <v>2281</v>
      </c>
      <c r="W122" t="s">
        <v>2282</v>
      </c>
      <c r="X122" t="s">
        <v>74</v>
      </c>
      <c r="Y122" t="s">
        <v>2283</v>
      </c>
      <c r="Z122" t="s">
        <v>2284</v>
      </c>
      <c r="AA122" t="s">
        <v>2285</v>
      </c>
      <c r="AB122" t="s">
        <v>2286</v>
      </c>
      <c r="AC122" t="s">
        <v>2287</v>
      </c>
      <c r="AD122" t="s">
        <v>2287</v>
      </c>
      <c r="AE122" t="s">
        <v>2288</v>
      </c>
      <c r="AF122" t="s">
        <v>74</v>
      </c>
      <c r="AG122">
        <v>11</v>
      </c>
      <c r="AH122">
        <v>2</v>
      </c>
      <c r="AI122">
        <v>2</v>
      </c>
      <c r="AJ122">
        <v>0</v>
      </c>
      <c r="AK122">
        <v>0</v>
      </c>
      <c r="AL122" t="s">
        <v>2289</v>
      </c>
      <c r="AM122" t="s">
        <v>2290</v>
      </c>
      <c r="AN122" t="s">
        <v>2291</v>
      </c>
      <c r="AO122" t="s">
        <v>2292</v>
      </c>
      <c r="AP122" t="s">
        <v>2293</v>
      </c>
      <c r="AQ122" t="s">
        <v>74</v>
      </c>
      <c r="AR122" t="s">
        <v>2294</v>
      </c>
      <c r="AS122" t="s">
        <v>74</v>
      </c>
      <c r="AT122" t="s">
        <v>74</v>
      </c>
      <c r="AU122">
        <v>2019</v>
      </c>
      <c r="AV122">
        <v>1231</v>
      </c>
      <c r="AW122" t="s">
        <v>74</v>
      </c>
      <c r="AX122" t="s">
        <v>74</v>
      </c>
      <c r="AY122" t="s">
        <v>74</v>
      </c>
      <c r="AZ122" t="s">
        <v>74</v>
      </c>
      <c r="BA122" t="s">
        <v>74</v>
      </c>
      <c r="BB122" t="s">
        <v>74</v>
      </c>
      <c r="BC122" t="s">
        <v>74</v>
      </c>
      <c r="BD122">
        <v>12024</v>
      </c>
      <c r="BE122" t="s">
        <v>2295</v>
      </c>
      <c r="BF122" t="str">
        <f>HYPERLINK("http://dx.doi.org/10.1088/1742-6596/1231/1/012024","http://dx.doi.org/10.1088/1742-6596/1231/1/012024")</f>
        <v>http://dx.doi.org/10.1088/1742-6596/1231/1/012024</v>
      </c>
      <c r="BG122" t="s">
        <v>74</v>
      </c>
      <c r="BH122" t="s">
        <v>74</v>
      </c>
      <c r="BI122">
        <v>6</v>
      </c>
      <c r="BJ122" t="s">
        <v>2296</v>
      </c>
      <c r="BK122" t="s">
        <v>190</v>
      </c>
      <c r="BL122" t="s">
        <v>2297</v>
      </c>
      <c r="BM122" t="s">
        <v>2298</v>
      </c>
      <c r="BN122" t="s">
        <v>74</v>
      </c>
      <c r="BO122" t="s">
        <v>131</v>
      </c>
      <c r="BP122" t="s">
        <v>74</v>
      </c>
      <c r="BQ122" t="s">
        <v>74</v>
      </c>
      <c r="BR122" t="s">
        <v>104</v>
      </c>
      <c r="BS122" t="s">
        <v>2299</v>
      </c>
      <c r="BT122" t="str">
        <f>HYPERLINK("https%3A%2F%2Fwww.webofscience.com%2Fwos%2Fwoscc%2Ffull-record%2FWOS:000482070600024","View Full Record in Web of Science")</f>
        <v>View Full Record in Web of Science</v>
      </c>
    </row>
    <row r="123" spans="1:72" x14ac:dyDescent="0.15">
      <c r="A123" t="s">
        <v>72</v>
      </c>
      <c r="B123" t="s">
        <v>2300</v>
      </c>
      <c r="C123" t="s">
        <v>74</v>
      </c>
      <c r="D123" t="s">
        <v>74</v>
      </c>
      <c r="E123" t="s">
        <v>74</v>
      </c>
      <c r="F123" t="s">
        <v>2301</v>
      </c>
      <c r="G123" t="s">
        <v>74</v>
      </c>
      <c r="H123" t="s">
        <v>74</v>
      </c>
      <c r="I123" t="s">
        <v>2302</v>
      </c>
      <c r="J123" t="s">
        <v>2303</v>
      </c>
      <c r="K123" t="s">
        <v>74</v>
      </c>
      <c r="L123" t="s">
        <v>74</v>
      </c>
      <c r="M123" t="s">
        <v>78</v>
      </c>
      <c r="N123" t="s">
        <v>79</v>
      </c>
      <c r="O123" t="s">
        <v>74</v>
      </c>
      <c r="P123" t="s">
        <v>74</v>
      </c>
      <c r="Q123" t="s">
        <v>74</v>
      </c>
      <c r="R123" t="s">
        <v>74</v>
      </c>
      <c r="S123" t="s">
        <v>74</v>
      </c>
      <c r="T123" t="s">
        <v>2304</v>
      </c>
      <c r="U123" t="s">
        <v>2305</v>
      </c>
      <c r="V123" t="s">
        <v>2306</v>
      </c>
      <c r="W123" t="s">
        <v>2307</v>
      </c>
      <c r="X123" t="s">
        <v>2308</v>
      </c>
      <c r="Y123" t="s">
        <v>2309</v>
      </c>
      <c r="Z123" t="s">
        <v>2310</v>
      </c>
      <c r="AA123" t="s">
        <v>2311</v>
      </c>
      <c r="AB123" t="s">
        <v>2312</v>
      </c>
      <c r="AC123" t="s">
        <v>2313</v>
      </c>
      <c r="AD123" t="s">
        <v>2314</v>
      </c>
      <c r="AE123" t="s">
        <v>2315</v>
      </c>
      <c r="AF123" t="s">
        <v>74</v>
      </c>
      <c r="AG123">
        <v>15</v>
      </c>
      <c r="AH123">
        <v>3</v>
      </c>
      <c r="AI123">
        <v>3</v>
      </c>
      <c r="AJ123">
        <v>0</v>
      </c>
      <c r="AK123">
        <v>2</v>
      </c>
      <c r="AL123" t="s">
        <v>2316</v>
      </c>
      <c r="AM123" t="s">
        <v>1685</v>
      </c>
      <c r="AN123" t="s">
        <v>2317</v>
      </c>
      <c r="AO123" t="s">
        <v>2318</v>
      </c>
      <c r="AP123" t="s">
        <v>2319</v>
      </c>
      <c r="AQ123" t="s">
        <v>74</v>
      </c>
      <c r="AR123" t="s">
        <v>2320</v>
      </c>
      <c r="AS123" t="s">
        <v>2321</v>
      </c>
      <c r="AT123" t="s">
        <v>718</v>
      </c>
      <c r="AU123">
        <v>2019</v>
      </c>
      <c r="AV123">
        <v>9</v>
      </c>
      <c r="AW123">
        <v>1</v>
      </c>
      <c r="AX123" t="s">
        <v>74</v>
      </c>
      <c r="AY123" t="s">
        <v>74</v>
      </c>
      <c r="AZ123" t="s">
        <v>74</v>
      </c>
      <c r="BA123" t="s">
        <v>74</v>
      </c>
      <c r="BB123">
        <v>29</v>
      </c>
      <c r="BC123">
        <v>40</v>
      </c>
      <c r="BD123" t="s">
        <v>74</v>
      </c>
      <c r="BE123" t="s">
        <v>2322</v>
      </c>
      <c r="BF123" t="str">
        <f>HYPERLINK("http://dx.doi.org/10.1515/jogs-2019-0004","http://dx.doi.org/10.1515/jogs-2019-0004")</f>
        <v>http://dx.doi.org/10.1515/jogs-2019-0004</v>
      </c>
      <c r="BG123" t="s">
        <v>74</v>
      </c>
      <c r="BH123" t="s">
        <v>74</v>
      </c>
      <c r="BI123">
        <v>12</v>
      </c>
      <c r="BJ123" t="s">
        <v>2323</v>
      </c>
      <c r="BK123" t="s">
        <v>349</v>
      </c>
      <c r="BL123" t="s">
        <v>2323</v>
      </c>
      <c r="BM123" t="s">
        <v>2324</v>
      </c>
      <c r="BN123" t="s">
        <v>74</v>
      </c>
      <c r="BO123" t="s">
        <v>131</v>
      </c>
      <c r="BP123" t="s">
        <v>74</v>
      </c>
      <c r="BQ123" t="s">
        <v>74</v>
      </c>
      <c r="BR123" t="s">
        <v>104</v>
      </c>
      <c r="BS123" t="s">
        <v>2325</v>
      </c>
      <c r="BT123" t="str">
        <f>HYPERLINK("https%3A%2F%2Fwww.webofscience.com%2Fwos%2Fwoscc%2Ffull-record%2FWOS:000482199200001","View Full Record in Web of Science")</f>
        <v>View Full Record in Web of Science</v>
      </c>
    </row>
    <row r="124" spans="1:72" x14ac:dyDescent="0.15">
      <c r="A124" t="s">
        <v>164</v>
      </c>
      <c r="B124" t="s">
        <v>2326</v>
      </c>
      <c r="C124" t="s">
        <v>74</v>
      </c>
      <c r="D124" t="s">
        <v>2327</v>
      </c>
      <c r="E124" t="s">
        <v>74</v>
      </c>
      <c r="F124" t="s">
        <v>2328</v>
      </c>
      <c r="G124" t="s">
        <v>74</v>
      </c>
      <c r="H124" t="s">
        <v>74</v>
      </c>
      <c r="I124" t="s">
        <v>2329</v>
      </c>
      <c r="J124" t="s">
        <v>2330</v>
      </c>
      <c r="K124" t="s">
        <v>2331</v>
      </c>
      <c r="L124" t="s">
        <v>74</v>
      </c>
      <c r="M124" t="s">
        <v>78</v>
      </c>
      <c r="N124" t="s">
        <v>172</v>
      </c>
      <c r="O124" t="s">
        <v>2332</v>
      </c>
      <c r="P124" t="s">
        <v>2333</v>
      </c>
      <c r="Q124" t="s">
        <v>2334</v>
      </c>
      <c r="R124" t="s">
        <v>74</v>
      </c>
      <c r="S124" t="s">
        <v>74</v>
      </c>
      <c r="T124" t="s">
        <v>2335</v>
      </c>
      <c r="U124" t="s">
        <v>2336</v>
      </c>
      <c r="V124" t="s">
        <v>2337</v>
      </c>
      <c r="W124" t="s">
        <v>2338</v>
      </c>
      <c r="X124" t="s">
        <v>2339</v>
      </c>
      <c r="Y124" t="s">
        <v>2340</v>
      </c>
      <c r="Z124" t="s">
        <v>2341</v>
      </c>
      <c r="AA124" t="s">
        <v>74</v>
      </c>
      <c r="AB124" t="s">
        <v>74</v>
      </c>
      <c r="AC124" t="s">
        <v>2342</v>
      </c>
      <c r="AD124" t="s">
        <v>2343</v>
      </c>
      <c r="AE124" t="s">
        <v>2344</v>
      </c>
      <c r="AF124" t="s">
        <v>74</v>
      </c>
      <c r="AG124">
        <v>13</v>
      </c>
      <c r="AH124">
        <v>3</v>
      </c>
      <c r="AI124">
        <v>3</v>
      </c>
      <c r="AJ124">
        <v>1</v>
      </c>
      <c r="AK124">
        <v>4</v>
      </c>
      <c r="AL124" t="s">
        <v>2345</v>
      </c>
      <c r="AM124" t="s">
        <v>2346</v>
      </c>
      <c r="AN124" t="s">
        <v>2347</v>
      </c>
      <c r="AO124" t="s">
        <v>2348</v>
      </c>
      <c r="AP124" t="s">
        <v>74</v>
      </c>
      <c r="AQ124" t="s">
        <v>74</v>
      </c>
      <c r="AR124" t="s">
        <v>2349</v>
      </c>
      <c r="AS124" t="s">
        <v>74</v>
      </c>
      <c r="AT124" t="s">
        <v>74</v>
      </c>
      <c r="AU124">
        <v>2019</v>
      </c>
      <c r="AV124">
        <v>51</v>
      </c>
      <c r="AW124" t="s">
        <v>74</v>
      </c>
      <c r="AX124" t="s">
        <v>74</v>
      </c>
      <c r="AY124" t="s">
        <v>74</v>
      </c>
      <c r="AZ124" t="s">
        <v>74</v>
      </c>
      <c r="BA124" t="s">
        <v>74</v>
      </c>
      <c r="BB124">
        <v>135</v>
      </c>
      <c r="BC124">
        <v>138</v>
      </c>
      <c r="BD124" t="s">
        <v>74</v>
      </c>
      <c r="BE124" t="s">
        <v>2350</v>
      </c>
      <c r="BF124" t="str">
        <f>HYPERLINK("http://dx.doi.org/10.22201/ia.14052059p.2019.51.23","http://dx.doi.org/10.22201/ia.14052059p.2019.51.23")</f>
        <v>http://dx.doi.org/10.22201/ia.14052059p.2019.51.23</v>
      </c>
      <c r="BG124" t="s">
        <v>74</v>
      </c>
      <c r="BH124" t="s">
        <v>74</v>
      </c>
      <c r="BI124">
        <v>4</v>
      </c>
      <c r="BJ124" t="s">
        <v>2351</v>
      </c>
      <c r="BK124" t="s">
        <v>190</v>
      </c>
      <c r="BL124" t="s">
        <v>2351</v>
      </c>
      <c r="BM124" t="s">
        <v>2352</v>
      </c>
      <c r="BN124" t="s">
        <v>74</v>
      </c>
      <c r="BO124" t="s">
        <v>131</v>
      </c>
      <c r="BP124" t="s">
        <v>74</v>
      </c>
      <c r="BQ124" t="s">
        <v>74</v>
      </c>
      <c r="BR124" t="s">
        <v>104</v>
      </c>
      <c r="BS124" t="s">
        <v>2353</v>
      </c>
      <c r="BT124" t="str">
        <f>HYPERLINK("https%3A%2F%2Fwww.webofscience.com%2Fwos%2Fwoscc%2Ffull-record%2FWOS:000480824300022","View Full Record in Web of Science")</f>
        <v>View Full Record in Web of Science</v>
      </c>
    </row>
    <row r="125" spans="1:72" x14ac:dyDescent="0.15">
      <c r="A125" t="s">
        <v>164</v>
      </c>
      <c r="B125" t="s">
        <v>2354</v>
      </c>
      <c r="C125" t="s">
        <v>74</v>
      </c>
      <c r="D125" t="s">
        <v>74</v>
      </c>
      <c r="E125" t="s">
        <v>1216</v>
      </c>
      <c r="F125" t="s">
        <v>2355</v>
      </c>
      <c r="G125" t="s">
        <v>74</v>
      </c>
      <c r="H125" t="s">
        <v>74</v>
      </c>
      <c r="I125" t="s">
        <v>2356</v>
      </c>
      <c r="J125" t="s">
        <v>2357</v>
      </c>
      <c r="K125" t="s">
        <v>2358</v>
      </c>
      <c r="L125" t="s">
        <v>74</v>
      </c>
      <c r="M125" t="s">
        <v>78</v>
      </c>
      <c r="N125" t="s">
        <v>172</v>
      </c>
      <c r="O125" t="s">
        <v>2359</v>
      </c>
      <c r="P125" t="s">
        <v>2360</v>
      </c>
      <c r="Q125" t="s">
        <v>2361</v>
      </c>
      <c r="R125" t="s">
        <v>74</v>
      </c>
      <c r="S125" t="s">
        <v>74</v>
      </c>
      <c r="T125" t="s">
        <v>2362</v>
      </c>
      <c r="U125" t="s">
        <v>74</v>
      </c>
      <c r="V125" t="s">
        <v>2363</v>
      </c>
      <c r="W125" t="s">
        <v>2364</v>
      </c>
      <c r="X125" t="s">
        <v>2365</v>
      </c>
      <c r="Y125" t="s">
        <v>2366</v>
      </c>
      <c r="Z125" t="s">
        <v>2367</v>
      </c>
      <c r="AA125" t="s">
        <v>2368</v>
      </c>
      <c r="AB125" t="s">
        <v>2369</v>
      </c>
      <c r="AC125" t="s">
        <v>74</v>
      </c>
      <c r="AD125" t="s">
        <v>74</v>
      </c>
      <c r="AE125" t="s">
        <v>74</v>
      </c>
      <c r="AF125" t="s">
        <v>74</v>
      </c>
      <c r="AG125">
        <v>4</v>
      </c>
      <c r="AH125">
        <v>0</v>
      </c>
      <c r="AI125">
        <v>0</v>
      </c>
      <c r="AJ125">
        <v>0</v>
      </c>
      <c r="AK125">
        <v>3</v>
      </c>
      <c r="AL125" t="s">
        <v>1216</v>
      </c>
      <c r="AM125" t="s">
        <v>1080</v>
      </c>
      <c r="AN125" t="s">
        <v>1235</v>
      </c>
      <c r="AO125" t="s">
        <v>2370</v>
      </c>
      <c r="AP125" t="s">
        <v>74</v>
      </c>
      <c r="AQ125" t="s">
        <v>2371</v>
      </c>
      <c r="AR125" t="s">
        <v>2372</v>
      </c>
      <c r="AS125" t="s">
        <v>74</v>
      </c>
      <c r="AT125" t="s">
        <v>74</v>
      </c>
      <c r="AU125">
        <v>2019</v>
      </c>
      <c r="AV125" t="s">
        <v>74</v>
      </c>
      <c r="AW125" t="s">
        <v>74</v>
      </c>
      <c r="AX125" t="s">
        <v>74</v>
      </c>
      <c r="AY125" t="s">
        <v>74</v>
      </c>
      <c r="AZ125" t="s">
        <v>74</v>
      </c>
      <c r="BA125" t="s">
        <v>74</v>
      </c>
      <c r="BB125" t="s">
        <v>74</v>
      </c>
      <c r="BC125" t="s">
        <v>74</v>
      </c>
      <c r="BD125" t="s">
        <v>74</v>
      </c>
      <c r="BE125" t="s">
        <v>74</v>
      </c>
      <c r="BF125" t="s">
        <v>74</v>
      </c>
      <c r="BG125" t="s">
        <v>74</v>
      </c>
      <c r="BH125" t="s">
        <v>74</v>
      </c>
      <c r="BI125">
        <v>3</v>
      </c>
      <c r="BJ125" t="s">
        <v>2373</v>
      </c>
      <c r="BK125" t="s">
        <v>190</v>
      </c>
      <c r="BL125" t="s">
        <v>2374</v>
      </c>
      <c r="BM125" t="s">
        <v>2375</v>
      </c>
      <c r="BN125" t="s">
        <v>74</v>
      </c>
      <c r="BO125" t="s">
        <v>74</v>
      </c>
      <c r="BP125" t="s">
        <v>74</v>
      </c>
      <c r="BQ125" t="s">
        <v>74</v>
      </c>
      <c r="BR125" t="s">
        <v>104</v>
      </c>
      <c r="BS125" t="s">
        <v>2376</v>
      </c>
      <c r="BT125" t="str">
        <f>HYPERLINK("https%3A%2F%2Fwww.webofscience.com%2Fwos%2Fwoscc%2Ffull-record%2FWOS:000480384702201","View Full Record in Web of Science")</f>
        <v>View Full Record in Web of Science</v>
      </c>
    </row>
    <row r="126" spans="1:72" x14ac:dyDescent="0.15">
      <c r="A126" t="s">
        <v>72</v>
      </c>
      <c r="B126" t="s">
        <v>2377</v>
      </c>
      <c r="C126" t="s">
        <v>74</v>
      </c>
      <c r="D126" t="s">
        <v>74</v>
      </c>
      <c r="E126" t="s">
        <v>74</v>
      </c>
      <c r="F126" t="s">
        <v>2378</v>
      </c>
      <c r="G126" t="s">
        <v>74</v>
      </c>
      <c r="H126" t="s">
        <v>74</v>
      </c>
      <c r="I126" t="s">
        <v>2379</v>
      </c>
      <c r="J126" t="s">
        <v>2380</v>
      </c>
      <c r="K126" t="s">
        <v>74</v>
      </c>
      <c r="L126" t="s">
        <v>74</v>
      </c>
      <c r="M126" t="s">
        <v>78</v>
      </c>
      <c r="N126" t="s">
        <v>79</v>
      </c>
      <c r="O126" t="s">
        <v>74</v>
      </c>
      <c r="P126" t="s">
        <v>74</v>
      </c>
      <c r="Q126" t="s">
        <v>74</v>
      </c>
      <c r="R126" t="s">
        <v>74</v>
      </c>
      <c r="S126" t="s">
        <v>74</v>
      </c>
      <c r="T126" t="s">
        <v>2381</v>
      </c>
      <c r="U126" t="s">
        <v>2382</v>
      </c>
      <c r="V126" t="s">
        <v>2383</v>
      </c>
      <c r="W126" t="s">
        <v>2384</v>
      </c>
      <c r="X126" t="s">
        <v>2385</v>
      </c>
      <c r="Y126" t="s">
        <v>2386</v>
      </c>
      <c r="Z126" t="s">
        <v>2387</v>
      </c>
      <c r="AA126" t="s">
        <v>2388</v>
      </c>
      <c r="AB126" t="s">
        <v>2389</v>
      </c>
      <c r="AC126" t="s">
        <v>2390</v>
      </c>
      <c r="AD126" t="s">
        <v>2391</v>
      </c>
      <c r="AE126" t="s">
        <v>2392</v>
      </c>
      <c r="AF126" t="s">
        <v>74</v>
      </c>
      <c r="AG126">
        <v>14</v>
      </c>
      <c r="AH126">
        <v>0</v>
      </c>
      <c r="AI126">
        <v>0</v>
      </c>
      <c r="AJ126">
        <v>0</v>
      </c>
      <c r="AK126">
        <v>6</v>
      </c>
      <c r="AL126" t="s">
        <v>2393</v>
      </c>
      <c r="AM126" t="s">
        <v>2394</v>
      </c>
      <c r="AN126" t="s">
        <v>2395</v>
      </c>
      <c r="AO126" t="s">
        <v>2396</v>
      </c>
      <c r="AP126" t="s">
        <v>2397</v>
      </c>
      <c r="AQ126" t="s">
        <v>74</v>
      </c>
      <c r="AR126" t="s">
        <v>2398</v>
      </c>
      <c r="AS126" t="s">
        <v>2399</v>
      </c>
      <c r="AT126" t="s">
        <v>74</v>
      </c>
      <c r="AU126">
        <v>2019</v>
      </c>
      <c r="AV126">
        <v>34</v>
      </c>
      <c r="AW126">
        <v>3</v>
      </c>
      <c r="AX126" t="s">
        <v>74</v>
      </c>
      <c r="AY126" t="s">
        <v>74</v>
      </c>
      <c r="AZ126" t="s">
        <v>74</v>
      </c>
      <c r="BA126" t="s">
        <v>74</v>
      </c>
      <c r="BB126">
        <v>1</v>
      </c>
      <c r="BC126">
        <v>10</v>
      </c>
      <c r="BD126" t="s">
        <v>74</v>
      </c>
      <c r="BE126" t="s">
        <v>74</v>
      </c>
      <c r="BF126" t="s">
        <v>74</v>
      </c>
      <c r="BG126" t="s">
        <v>74</v>
      </c>
      <c r="BH126" t="s">
        <v>74</v>
      </c>
      <c r="BI126">
        <v>10</v>
      </c>
      <c r="BJ126" t="s">
        <v>2400</v>
      </c>
      <c r="BK126" t="s">
        <v>349</v>
      </c>
      <c r="BL126" t="s">
        <v>799</v>
      </c>
      <c r="BM126" t="s">
        <v>2401</v>
      </c>
      <c r="BN126" t="s">
        <v>74</v>
      </c>
      <c r="BO126" t="s">
        <v>74</v>
      </c>
      <c r="BP126" t="s">
        <v>74</v>
      </c>
      <c r="BQ126" t="s">
        <v>74</v>
      </c>
      <c r="BR126" t="s">
        <v>104</v>
      </c>
      <c r="BS126" t="s">
        <v>2402</v>
      </c>
      <c r="BT126" t="str">
        <f>HYPERLINK("https%3A%2F%2Fwww.webofscience.com%2Fwos%2Fwoscc%2Ffull-record%2FWOS:000480425800001","View Full Record in Web of Science")</f>
        <v>View Full Record in Web of Science</v>
      </c>
    </row>
    <row r="127" spans="1:72" x14ac:dyDescent="0.15">
      <c r="A127" t="s">
        <v>72</v>
      </c>
      <c r="B127" t="s">
        <v>2403</v>
      </c>
      <c r="C127" t="s">
        <v>74</v>
      </c>
      <c r="D127" t="s">
        <v>74</v>
      </c>
      <c r="E127" t="s">
        <v>74</v>
      </c>
      <c r="F127" t="s">
        <v>2404</v>
      </c>
      <c r="G127" t="s">
        <v>74</v>
      </c>
      <c r="H127" t="s">
        <v>74</v>
      </c>
      <c r="I127" t="s">
        <v>2405</v>
      </c>
      <c r="J127" t="s">
        <v>2406</v>
      </c>
      <c r="K127" t="s">
        <v>74</v>
      </c>
      <c r="L127" t="s">
        <v>74</v>
      </c>
      <c r="M127" t="s">
        <v>78</v>
      </c>
      <c r="N127" t="s">
        <v>79</v>
      </c>
      <c r="O127" t="s">
        <v>74</v>
      </c>
      <c r="P127" t="s">
        <v>74</v>
      </c>
      <c r="Q127" t="s">
        <v>74</v>
      </c>
      <c r="R127" t="s">
        <v>74</v>
      </c>
      <c r="S127" t="s">
        <v>74</v>
      </c>
      <c r="T127" t="s">
        <v>2407</v>
      </c>
      <c r="U127" t="s">
        <v>74</v>
      </c>
      <c r="V127" t="s">
        <v>2408</v>
      </c>
      <c r="W127" t="s">
        <v>2409</v>
      </c>
      <c r="X127" t="s">
        <v>2410</v>
      </c>
      <c r="Y127" t="s">
        <v>2411</v>
      </c>
      <c r="Z127" t="s">
        <v>2412</v>
      </c>
      <c r="AA127" t="s">
        <v>74</v>
      </c>
      <c r="AB127" t="s">
        <v>2413</v>
      </c>
      <c r="AC127" t="s">
        <v>74</v>
      </c>
      <c r="AD127" t="s">
        <v>74</v>
      </c>
      <c r="AE127" t="s">
        <v>74</v>
      </c>
      <c r="AF127" t="s">
        <v>74</v>
      </c>
      <c r="AG127">
        <v>49</v>
      </c>
      <c r="AH127">
        <v>0</v>
      </c>
      <c r="AI127">
        <v>0</v>
      </c>
      <c r="AJ127">
        <v>1</v>
      </c>
      <c r="AK127">
        <v>10</v>
      </c>
      <c r="AL127" t="s">
        <v>2414</v>
      </c>
      <c r="AM127" t="s">
        <v>2415</v>
      </c>
      <c r="AN127" t="s">
        <v>2416</v>
      </c>
      <c r="AO127" t="s">
        <v>2417</v>
      </c>
      <c r="AP127" t="s">
        <v>2418</v>
      </c>
      <c r="AQ127" t="s">
        <v>74</v>
      </c>
      <c r="AR127" t="s">
        <v>2419</v>
      </c>
      <c r="AS127" t="s">
        <v>2420</v>
      </c>
      <c r="AT127" t="s">
        <v>2421</v>
      </c>
      <c r="AU127">
        <v>2019</v>
      </c>
      <c r="AV127">
        <v>28</v>
      </c>
      <c r="AW127">
        <v>56</v>
      </c>
      <c r="AX127" t="s">
        <v>74</v>
      </c>
      <c r="AY127" t="s">
        <v>74</v>
      </c>
      <c r="AZ127" t="s">
        <v>74</v>
      </c>
      <c r="BA127" t="s">
        <v>74</v>
      </c>
      <c r="BB127">
        <v>37</v>
      </c>
      <c r="BC127">
        <v>56</v>
      </c>
      <c r="BD127" t="s">
        <v>74</v>
      </c>
      <c r="BE127" t="s">
        <v>74</v>
      </c>
      <c r="BF127" t="s">
        <v>74</v>
      </c>
      <c r="BG127" t="s">
        <v>74</v>
      </c>
      <c r="BH127" t="s">
        <v>74</v>
      </c>
      <c r="BI127">
        <v>20</v>
      </c>
      <c r="BJ127" t="s">
        <v>2422</v>
      </c>
      <c r="BK127" t="s">
        <v>349</v>
      </c>
      <c r="BL127" t="s">
        <v>2422</v>
      </c>
      <c r="BM127" t="s">
        <v>2423</v>
      </c>
      <c r="BN127" t="s">
        <v>74</v>
      </c>
      <c r="BO127" t="s">
        <v>74</v>
      </c>
      <c r="BP127" t="s">
        <v>74</v>
      </c>
      <c r="BQ127" t="s">
        <v>74</v>
      </c>
      <c r="BR127" t="s">
        <v>104</v>
      </c>
      <c r="BS127" t="s">
        <v>2424</v>
      </c>
      <c r="BT127" t="str">
        <f>HYPERLINK("https%3A%2F%2Fwww.webofscience.com%2Fwos%2Fwoscc%2Ffull-record%2FWOS:000480389600004","View Full Record in Web of Science")</f>
        <v>View Full Record in Web of Science</v>
      </c>
    </row>
    <row r="128" spans="1:72" x14ac:dyDescent="0.15">
      <c r="A128" t="s">
        <v>72</v>
      </c>
      <c r="B128" t="s">
        <v>2425</v>
      </c>
      <c r="C128" t="s">
        <v>74</v>
      </c>
      <c r="D128" t="s">
        <v>74</v>
      </c>
      <c r="E128" t="s">
        <v>74</v>
      </c>
      <c r="F128" t="s">
        <v>2426</v>
      </c>
      <c r="G128" t="s">
        <v>74</v>
      </c>
      <c r="H128" t="s">
        <v>74</v>
      </c>
      <c r="I128" t="s">
        <v>2427</v>
      </c>
      <c r="J128" t="s">
        <v>2428</v>
      </c>
      <c r="K128" t="s">
        <v>74</v>
      </c>
      <c r="L128" t="s">
        <v>74</v>
      </c>
      <c r="M128" t="s">
        <v>78</v>
      </c>
      <c r="N128" t="s">
        <v>79</v>
      </c>
      <c r="O128" t="s">
        <v>74</v>
      </c>
      <c r="P128" t="s">
        <v>74</v>
      </c>
      <c r="Q128" t="s">
        <v>74</v>
      </c>
      <c r="R128" t="s">
        <v>74</v>
      </c>
      <c r="S128" t="s">
        <v>74</v>
      </c>
      <c r="T128" t="s">
        <v>74</v>
      </c>
      <c r="U128" t="s">
        <v>74</v>
      </c>
      <c r="V128" t="s">
        <v>2429</v>
      </c>
      <c r="W128" t="s">
        <v>2430</v>
      </c>
      <c r="X128" t="s">
        <v>2431</v>
      </c>
      <c r="Y128" t="s">
        <v>2432</v>
      </c>
      <c r="Z128" t="s">
        <v>2433</v>
      </c>
      <c r="AA128" t="s">
        <v>2434</v>
      </c>
      <c r="AB128" t="s">
        <v>2435</v>
      </c>
      <c r="AC128" t="s">
        <v>2436</v>
      </c>
      <c r="AD128" t="s">
        <v>2437</v>
      </c>
      <c r="AE128" t="s">
        <v>2438</v>
      </c>
      <c r="AF128" t="s">
        <v>74</v>
      </c>
      <c r="AG128">
        <v>8</v>
      </c>
      <c r="AH128">
        <v>4</v>
      </c>
      <c r="AI128">
        <v>4</v>
      </c>
      <c r="AJ128">
        <v>0</v>
      </c>
      <c r="AK128">
        <v>0</v>
      </c>
      <c r="AL128" t="s">
        <v>2439</v>
      </c>
      <c r="AM128" t="s">
        <v>2440</v>
      </c>
      <c r="AN128" t="s">
        <v>2441</v>
      </c>
      <c r="AO128" t="s">
        <v>2442</v>
      </c>
      <c r="AP128" t="s">
        <v>2443</v>
      </c>
      <c r="AQ128" t="s">
        <v>74</v>
      </c>
      <c r="AR128" t="s">
        <v>2444</v>
      </c>
      <c r="AS128" t="s">
        <v>2445</v>
      </c>
      <c r="AT128" t="s">
        <v>2446</v>
      </c>
      <c r="AU128">
        <v>2019</v>
      </c>
      <c r="AV128">
        <v>42</v>
      </c>
      <c r="AW128">
        <v>1</v>
      </c>
      <c r="AX128" t="s">
        <v>74</v>
      </c>
      <c r="AY128" t="s">
        <v>74</v>
      </c>
      <c r="AZ128" t="s">
        <v>74</v>
      </c>
      <c r="BA128" t="s">
        <v>74</v>
      </c>
      <c r="BB128" t="s">
        <v>74</v>
      </c>
      <c r="BC128" t="s">
        <v>74</v>
      </c>
      <c r="BD128">
        <v>26</v>
      </c>
      <c r="BE128" t="s">
        <v>2447</v>
      </c>
      <c r="BF128" t="str">
        <f>HYPERLINK("http://dx.doi.org/10.1393/ncc/i2019-19026-9","http://dx.doi.org/10.1393/ncc/i2019-19026-9")</f>
        <v>http://dx.doi.org/10.1393/ncc/i2019-19026-9</v>
      </c>
      <c r="BG128" t="s">
        <v>74</v>
      </c>
      <c r="BH128" t="s">
        <v>74</v>
      </c>
      <c r="BI128">
        <v>5</v>
      </c>
      <c r="BJ128" t="s">
        <v>2448</v>
      </c>
      <c r="BK128" t="s">
        <v>349</v>
      </c>
      <c r="BL128" t="s">
        <v>2449</v>
      </c>
      <c r="BM128" t="s">
        <v>2450</v>
      </c>
      <c r="BN128" t="s">
        <v>74</v>
      </c>
      <c r="BO128" t="s">
        <v>74</v>
      </c>
      <c r="BP128" t="s">
        <v>74</v>
      </c>
      <c r="BQ128" t="s">
        <v>74</v>
      </c>
      <c r="BR128" t="s">
        <v>104</v>
      </c>
      <c r="BS128" t="s">
        <v>2451</v>
      </c>
      <c r="BT128" t="str">
        <f>HYPERLINK("https%3A%2F%2Fwww.webofscience.com%2Fwos%2Fwoscc%2Ffull-record%2FWOS:000477658400004","View Full Record in Web of Science")</f>
        <v>View Full Record in Web of Science</v>
      </c>
    </row>
    <row r="129" spans="1:72" x14ac:dyDescent="0.15">
      <c r="A129" t="s">
        <v>72</v>
      </c>
      <c r="B129" t="s">
        <v>2452</v>
      </c>
      <c r="C129" t="s">
        <v>74</v>
      </c>
      <c r="D129" t="s">
        <v>74</v>
      </c>
      <c r="E129" t="s">
        <v>74</v>
      </c>
      <c r="F129" t="s">
        <v>2453</v>
      </c>
      <c r="G129" t="s">
        <v>74</v>
      </c>
      <c r="H129" t="s">
        <v>74</v>
      </c>
      <c r="I129" t="s">
        <v>2454</v>
      </c>
      <c r="J129" t="s">
        <v>2428</v>
      </c>
      <c r="K129" t="s">
        <v>74</v>
      </c>
      <c r="L129" t="s">
        <v>74</v>
      </c>
      <c r="M129" t="s">
        <v>78</v>
      </c>
      <c r="N129" t="s">
        <v>79</v>
      </c>
      <c r="O129" t="s">
        <v>74</v>
      </c>
      <c r="P129" t="s">
        <v>74</v>
      </c>
      <c r="Q129" t="s">
        <v>74</v>
      </c>
      <c r="R129" t="s">
        <v>74</v>
      </c>
      <c r="S129" t="s">
        <v>74</v>
      </c>
      <c r="T129" t="s">
        <v>74</v>
      </c>
      <c r="U129" t="s">
        <v>2455</v>
      </c>
      <c r="V129" t="s">
        <v>2456</v>
      </c>
      <c r="W129" t="s">
        <v>2457</v>
      </c>
      <c r="X129" t="s">
        <v>2458</v>
      </c>
      <c r="Y129" t="s">
        <v>2459</v>
      </c>
      <c r="Z129" t="s">
        <v>74</v>
      </c>
      <c r="AA129" t="s">
        <v>2460</v>
      </c>
      <c r="AB129" t="s">
        <v>2461</v>
      </c>
      <c r="AC129" t="s">
        <v>2462</v>
      </c>
      <c r="AD129" t="s">
        <v>2462</v>
      </c>
      <c r="AE129" t="s">
        <v>2463</v>
      </c>
      <c r="AF129" t="s">
        <v>74</v>
      </c>
      <c r="AG129">
        <v>7</v>
      </c>
      <c r="AH129">
        <v>0</v>
      </c>
      <c r="AI129">
        <v>0</v>
      </c>
      <c r="AJ129">
        <v>0</v>
      </c>
      <c r="AK129">
        <v>3</v>
      </c>
      <c r="AL129" t="s">
        <v>2439</v>
      </c>
      <c r="AM129" t="s">
        <v>2440</v>
      </c>
      <c r="AN129" t="s">
        <v>2441</v>
      </c>
      <c r="AO129" t="s">
        <v>2442</v>
      </c>
      <c r="AP129" t="s">
        <v>2443</v>
      </c>
      <c r="AQ129" t="s">
        <v>74</v>
      </c>
      <c r="AR129" t="s">
        <v>2444</v>
      </c>
      <c r="AS129" t="s">
        <v>2445</v>
      </c>
      <c r="AT129" t="s">
        <v>2446</v>
      </c>
      <c r="AU129">
        <v>2019</v>
      </c>
      <c r="AV129">
        <v>42</v>
      </c>
      <c r="AW129">
        <v>1</v>
      </c>
      <c r="AX129" t="s">
        <v>74</v>
      </c>
      <c r="AY129" t="s">
        <v>74</v>
      </c>
      <c r="AZ129" t="s">
        <v>74</v>
      </c>
      <c r="BA129" t="s">
        <v>74</v>
      </c>
      <c r="BB129" t="s">
        <v>74</v>
      </c>
      <c r="BC129" t="s">
        <v>74</v>
      </c>
      <c r="BD129">
        <v>46</v>
      </c>
      <c r="BE129" t="s">
        <v>2464</v>
      </c>
      <c r="BF129" t="str">
        <f>HYPERLINK("http://dx.doi.org/10.1393/ncc/i2019-19046-5","http://dx.doi.org/10.1393/ncc/i2019-19046-5")</f>
        <v>http://dx.doi.org/10.1393/ncc/i2019-19046-5</v>
      </c>
      <c r="BG129" t="s">
        <v>74</v>
      </c>
      <c r="BH129" t="s">
        <v>74</v>
      </c>
      <c r="BI129">
        <v>3</v>
      </c>
      <c r="BJ129" t="s">
        <v>2448</v>
      </c>
      <c r="BK129" t="s">
        <v>349</v>
      </c>
      <c r="BL129" t="s">
        <v>2449</v>
      </c>
      <c r="BM129" t="s">
        <v>2450</v>
      </c>
      <c r="BN129" t="s">
        <v>74</v>
      </c>
      <c r="BO129" t="s">
        <v>74</v>
      </c>
      <c r="BP129" t="s">
        <v>74</v>
      </c>
      <c r="BQ129" t="s">
        <v>74</v>
      </c>
      <c r="BR129" t="s">
        <v>104</v>
      </c>
      <c r="BS129" t="s">
        <v>2465</v>
      </c>
      <c r="BT129" t="str">
        <f>HYPERLINK("https%3A%2F%2Fwww.webofscience.com%2Fwos%2Fwoscc%2Ffull-record%2FWOS:000477658400012","View Full Record in Web of Science")</f>
        <v>View Full Record in Web of Science</v>
      </c>
    </row>
    <row r="130" spans="1:72" x14ac:dyDescent="0.15">
      <c r="A130" t="s">
        <v>72</v>
      </c>
      <c r="B130" t="s">
        <v>2466</v>
      </c>
      <c r="C130" t="s">
        <v>74</v>
      </c>
      <c r="D130" t="s">
        <v>74</v>
      </c>
      <c r="E130" t="s">
        <v>74</v>
      </c>
      <c r="F130" t="s">
        <v>2467</v>
      </c>
      <c r="G130" t="s">
        <v>74</v>
      </c>
      <c r="H130" t="s">
        <v>74</v>
      </c>
      <c r="I130" t="s">
        <v>2468</v>
      </c>
      <c r="J130" t="s">
        <v>2469</v>
      </c>
      <c r="K130" t="s">
        <v>74</v>
      </c>
      <c r="L130" t="s">
        <v>74</v>
      </c>
      <c r="M130" t="s">
        <v>2470</v>
      </c>
      <c r="N130" t="s">
        <v>79</v>
      </c>
      <c r="O130" t="s">
        <v>74</v>
      </c>
      <c r="P130" t="s">
        <v>74</v>
      </c>
      <c r="Q130" t="s">
        <v>74</v>
      </c>
      <c r="R130" t="s">
        <v>74</v>
      </c>
      <c r="S130" t="s">
        <v>74</v>
      </c>
      <c r="T130" t="s">
        <v>2471</v>
      </c>
      <c r="U130" t="s">
        <v>74</v>
      </c>
      <c r="V130" t="s">
        <v>2472</v>
      </c>
      <c r="W130" t="s">
        <v>2473</v>
      </c>
      <c r="X130" t="s">
        <v>2474</v>
      </c>
      <c r="Y130" t="s">
        <v>2475</v>
      </c>
      <c r="Z130" t="s">
        <v>2476</v>
      </c>
      <c r="AA130" t="s">
        <v>74</v>
      </c>
      <c r="AB130" t="s">
        <v>74</v>
      </c>
      <c r="AC130" t="s">
        <v>74</v>
      </c>
      <c r="AD130" t="s">
        <v>74</v>
      </c>
      <c r="AE130" t="s">
        <v>74</v>
      </c>
      <c r="AF130" t="s">
        <v>74</v>
      </c>
      <c r="AG130">
        <v>28</v>
      </c>
      <c r="AH130">
        <v>0</v>
      </c>
      <c r="AI130">
        <v>0</v>
      </c>
      <c r="AJ130">
        <v>2</v>
      </c>
      <c r="AK130">
        <v>2</v>
      </c>
      <c r="AL130" t="s">
        <v>2477</v>
      </c>
      <c r="AM130" t="s">
        <v>2478</v>
      </c>
      <c r="AN130" t="s">
        <v>2479</v>
      </c>
      <c r="AO130" t="s">
        <v>2480</v>
      </c>
      <c r="AP130" t="s">
        <v>2481</v>
      </c>
      <c r="AQ130" t="s">
        <v>74</v>
      </c>
      <c r="AR130" t="s">
        <v>2482</v>
      </c>
      <c r="AS130" t="s">
        <v>2483</v>
      </c>
      <c r="AT130" t="s">
        <v>2421</v>
      </c>
      <c r="AU130">
        <v>2019</v>
      </c>
      <c r="AV130" t="s">
        <v>74</v>
      </c>
      <c r="AW130">
        <v>22</v>
      </c>
      <c r="AX130" t="s">
        <v>74</v>
      </c>
      <c r="AY130" t="s">
        <v>74</v>
      </c>
      <c r="AZ130" t="s">
        <v>74</v>
      </c>
      <c r="BA130" t="s">
        <v>74</v>
      </c>
      <c r="BB130">
        <v>196</v>
      </c>
      <c r="BC130">
        <v>222</v>
      </c>
      <c r="BD130" t="s">
        <v>74</v>
      </c>
      <c r="BE130" t="s">
        <v>74</v>
      </c>
      <c r="BF130" t="s">
        <v>74</v>
      </c>
      <c r="BG130" t="s">
        <v>74</v>
      </c>
      <c r="BH130" t="s">
        <v>74</v>
      </c>
      <c r="BI130">
        <v>27</v>
      </c>
      <c r="BJ130" t="s">
        <v>2484</v>
      </c>
      <c r="BK130" t="s">
        <v>349</v>
      </c>
      <c r="BL130" t="s">
        <v>2485</v>
      </c>
      <c r="BM130" t="s">
        <v>2486</v>
      </c>
      <c r="BN130" t="s">
        <v>74</v>
      </c>
      <c r="BO130" t="s">
        <v>74</v>
      </c>
      <c r="BP130" t="s">
        <v>74</v>
      </c>
      <c r="BQ130" t="s">
        <v>74</v>
      </c>
      <c r="BR130" t="s">
        <v>104</v>
      </c>
      <c r="BS130" t="s">
        <v>2487</v>
      </c>
      <c r="BT130" t="str">
        <f>HYPERLINK("https%3A%2F%2Fwww.webofscience.com%2Fwos%2Fwoscc%2Ffull-record%2FWOS:000476936900009","View Full Record in Web of Science")</f>
        <v>View Full Record in Web of Science</v>
      </c>
    </row>
    <row r="131" spans="1:72" x14ac:dyDescent="0.15">
      <c r="A131" t="s">
        <v>72</v>
      </c>
      <c r="B131" t="s">
        <v>2488</v>
      </c>
      <c r="C131" t="s">
        <v>74</v>
      </c>
      <c r="D131" t="s">
        <v>74</v>
      </c>
      <c r="E131" t="s">
        <v>74</v>
      </c>
      <c r="F131" t="s">
        <v>2489</v>
      </c>
      <c r="G131" t="s">
        <v>74</v>
      </c>
      <c r="H131" t="s">
        <v>74</v>
      </c>
      <c r="I131" t="s">
        <v>2490</v>
      </c>
      <c r="J131" t="s">
        <v>2491</v>
      </c>
      <c r="K131" t="s">
        <v>74</v>
      </c>
      <c r="L131" t="s">
        <v>74</v>
      </c>
      <c r="M131" t="s">
        <v>78</v>
      </c>
      <c r="N131" t="s">
        <v>79</v>
      </c>
      <c r="O131" t="s">
        <v>74</v>
      </c>
      <c r="P131" t="s">
        <v>74</v>
      </c>
      <c r="Q131" t="s">
        <v>74</v>
      </c>
      <c r="R131" t="s">
        <v>74</v>
      </c>
      <c r="S131" t="s">
        <v>74</v>
      </c>
      <c r="T131" t="s">
        <v>2492</v>
      </c>
      <c r="U131" t="s">
        <v>2493</v>
      </c>
      <c r="V131" t="s">
        <v>2494</v>
      </c>
      <c r="W131" t="s">
        <v>2495</v>
      </c>
      <c r="X131" t="s">
        <v>2496</v>
      </c>
      <c r="Y131" t="s">
        <v>2497</v>
      </c>
      <c r="Z131" t="s">
        <v>2498</v>
      </c>
      <c r="AA131" t="s">
        <v>2499</v>
      </c>
      <c r="AB131" t="s">
        <v>2500</v>
      </c>
      <c r="AC131" t="s">
        <v>2501</v>
      </c>
      <c r="AD131" t="s">
        <v>2502</v>
      </c>
      <c r="AE131" t="s">
        <v>2503</v>
      </c>
      <c r="AF131" t="s">
        <v>74</v>
      </c>
      <c r="AG131">
        <v>39</v>
      </c>
      <c r="AH131">
        <v>5</v>
      </c>
      <c r="AI131">
        <v>5</v>
      </c>
      <c r="AJ131">
        <v>2</v>
      </c>
      <c r="AK131">
        <v>11</v>
      </c>
      <c r="AL131" t="s">
        <v>210</v>
      </c>
      <c r="AM131" t="s">
        <v>211</v>
      </c>
      <c r="AN131" t="s">
        <v>212</v>
      </c>
      <c r="AO131" t="s">
        <v>74</v>
      </c>
      <c r="AP131" t="s">
        <v>2504</v>
      </c>
      <c r="AQ131" t="s">
        <v>74</v>
      </c>
      <c r="AR131" t="s">
        <v>2505</v>
      </c>
      <c r="AS131" t="s">
        <v>2506</v>
      </c>
      <c r="AT131" t="s">
        <v>74</v>
      </c>
      <c r="AU131">
        <v>2019</v>
      </c>
      <c r="AV131">
        <v>52</v>
      </c>
      <c r="AW131">
        <v>1</v>
      </c>
      <c r="AX131" t="s">
        <v>74</v>
      </c>
      <c r="AY131" t="s">
        <v>74</v>
      </c>
      <c r="AZ131" t="s">
        <v>74</v>
      </c>
      <c r="BA131" t="s">
        <v>74</v>
      </c>
      <c r="BB131">
        <v>56</v>
      </c>
      <c r="BC131">
        <v>72</v>
      </c>
      <c r="BD131" t="s">
        <v>74</v>
      </c>
      <c r="BE131" t="s">
        <v>2507</v>
      </c>
      <c r="BF131" t="str">
        <f>HYPERLINK("http://dx.doi.org/10.1080/22797254.2018.1556073","http://dx.doi.org/10.1080/22797254.2018.1556073")</f>
        <v>http://dx.doi.org/10.1080/22797254.2018.1556073</v>
      </c>
      <c r="BG131" t="s">
        <v>74</v>
      </c>
      <c r="BH131" t="s">
        <v>74</v>
      </c>
      <c r="BI131">
        <v>17</v>
      </c>
      <c r="BJ131" t="s">
        <v>2323</v>
      </c>
      <c r="BK131" t="s">
        <v>101</v>
      </c>
      <c r="BL131" t="s">
        <v>2323</v>
      </c>
      <c r="BM131" t="s">
        <v>2508</v>
      </c>
      <c r="BN131" t="s">
        <v>74</v>
      </c>
      <c r="BO131" t="s">
        <v>131</v>
      </c>
      <c r="BP131" t="s">
        <v>74</v>
      </c>
      <c r="BQ131" t="s">
        <v>74</v>
      </c>
      <c r="BR131" t="s">
        <v>104</v>
      </c>
      <c r="BS131" t="s">
        <v>2509</v>
      </c>
      <c r="BT131" t="str">
        <f>HYPERLINK("https%3A%2F%2Fwww.webofscience.com%2Fwos%2Fwoscc%2Ffull-record%2FWOS:000475926300004","View Full Record in Web of Science")</f>
        <v>View Full Record in Web of Science</v>
      </c>
    </row>
    <row r="132" spans="1:72" x14ac:dyDescent="0.15">
      <c r="A132" t="s">
        <v>390</v>
      </c>
      <c r="B132" t="s">
        <v>2510</v>
      </c>
      <c r="C132" t="s">
        <v>2510</v>
      </c>
      <c r="D132" t="s">
        <v>74</v>
      </c>
      <c r="E132" t="s">
        <v>74</v>
      </c>
      <c r="F132" t="s">
        <v>2511</v>
      </c>
      <c r="G132" t="s">
        <v>2510</v>
      </c>
      <c r="H132" t="s">
        <v>74</v>
      </c>
      <c r="I132" t="s">
        <v>2512</v>
      </c>
      <c r="J132" t="s">
        <v>2513</v>
      </c>
      <c r="K132" t="s">
        <v>2514</v>
      </c>
      <c r="L132" t="s">
        <v>74</v>
      </c>
      <c r="M132" t="s">
        <v>78</v>
      </c>
      <c r="N132" t="s">
        <v>140</v>
      </c>
      <c r="O132" t="s">
        <v>74</v>
      </c>
      <c r="P132" t="s">
        <v>74</v>
      </c>
      <c r="Q132" t="s">
        <v>74</v>
      </c>
      <c r="R132" t="s">
        <v>74</v>
      </c>
      <c r="S132" t="s">
        <v>74</v>
      </c>
      <c r="T132" t="s">
        <v>74</v>
      </c>
      <c r="U132" t="s">
        <v>2515</v>
      </c>
      <c r="V132" t="s">
        <v>74</v>
      </c>
      <c r="W132" t="s">
        <v>2516</v>
      </c>
      <c r="X132" t="s">
        <v>2517</v>
      </c>
      <c r="Y132" t="s">
        <v>2518</v>
      </c>
      <c r="Z132" t="s">
        <v>74</v>
      </c>
      <c r="AA132" t="s">
        <v>74</v>
      </c>
      <c r="AB132" t="s">
        <v>74</v>
      </c>
      <c r="AC132" t="s">
        <v>74</v>
      </c>
      <c r="AD132" t="s">
        <v>74</v>
      </c>
      <c r="AE132" t="s">
        <v>74</v>
      </c>
      <c r="AF132" t="s">
        <v>74</v>
      </c>
      <c r="AG132">
        <v>240</v>
      </c>
      <c r="AH132">
        <v>1</v>
      </c>
      <c r="AI132">
        <v>1</v>
      </c>
      <c r="AJ132">
        <v>1</v>
      </c>
      <c r="AK132">
        <v>5</v>
      </c>
      <c r="AL132" t="s">
        <v>2519</v>
      </c>
      <c r="AM132" t="s">
        <v>2520</v>
      </c>
      <c r="AN132" t="s">
        <v>2521</v>
      </c>
      <c r="AO132" t="s">
        <v>74</v>
      </c>
      <c r="AP132" t="s">
        <v>74</v>
      </c>
      <c r="AQ132" t="s">
        <v>2522</v>
      </c>
      <c r="AR132" t="s">
        <v>2523</v>
      </c>
      <c r="AS132" t="s">
        <v>74</v>
      </c>
      <c r="AT132" t="s">
        <v>74</v>
      </c>
      <c r="AU132">
        <v>2019</v>
      </c>
      <c r="AV132">
        <v>5</v>
      </c>
      <c r="AW132" t="s">
        <v>74</v>
      </c>
      <c r="AX132" t="s">
        <v>74</v>
      </c>
      <c r="AY132" t="s">
        <v>74</v>
      </c>
      <c r="AZ132" t="s">
        <v>74</v>
      </c>
      <c r="BA132" t="s">
        <v>74</v>
      </c>
      <c r="BB132">
        <v>151</v>
      </c>
      <c r="BC132">
        <v>239</v>
      </c>
      <c r="BD132" t="s">
        <v>74</v>
      </c>
      <c r="BE132" t="s">
        <v>2524</v>
      </c>
      <c r="BF132" t="str">
        <f>HYPERLINK("http://dx.doi.org/10.1016/B978-0-12-812990-6.00003-9","http://dx.doi.org/10.1016/B978-0-12-812990-6.00003-9")</f>
        <v>http://dx.doi.org/10.1016/B978-0-12-812990-6.00003-9</v>
      </c>
      <c r="BG132" t="s">
        <v>74</v>
      </c>
      <c r="BH132" t="s">
        <v>74</v>
      </c>
      <c r="BI132">
        <v>89</v>
      </c>
      <c r="BJ132" t="s">
        <v>2525</v>
      </c>
      <c r="BK132" t="s">
        <v>159</v>
      </c>
      <c r="BL132" t="s">
        <v>2526</v>
      </c>
      <c r="BM132" t="s">
        <v>2527</v>
      </c>
      <c r="BN132" t="s">
        <v>74</v>
      </c>
      <c r="BO132" t="s">
        <v>74</v>
      </c>
      <c r="BP132" t="s">
        <v>74</v>
      </c>
      <c r="BQ132" t="s">
        <v>74</v>
      </c>
      <c r="BR132" t="s">
        <v>104</v>
      </c>
      <c r="BS132" t="s">
        <v>2528</v>
      </c>
      <c r="BT132" t="str">
        <f>HYPERLINK("https%3A%2F%2Fwww.webofscience.com%2Fwos%2Fwoscc%2Ffull-record%2FWOS:000472932900005","View Full Record in Web of Science")</f>
        <v>View Full Record in Web of Science</v>
      </c>
    </row>
    <row r="133" spans="1:72" x14ac:dyDescent="0.15">
      <c r="A133" t="s">
        <v>72</v>
      </c>
      <c r="B133" t="s">
        <v>2529</v>
      </c>
      <c r="C133" t="s">
        <v>74</v>
      </c>
      <c r="D133" t="s">
        <v>74</v>
      </c>
      <c r="E133" t="s">
        <v>74</v>
      </c>
      <c r="F133" t="s">
        <v>2530</v>
      </c>
      <c r="G133" t="s">
        <v>74</v>
      </c>
      <c r="H133" t="s">
        <v>74</v>
      </c>
      <c r="I133" t="s">
        <v>2531</v>
      </c>
      <c r="J133" t="s">
        <v>2532</v>
      </c>
      <c r="K133" t="s">
        <v>74</v>
      </c>
      <c r="L133" t="s">
        <v>74</v>
      </c>
      <c r="M133" t="s">
        <v>78</v>
      </c>
      <c r="N133" t="s">
        <v>79</v>
      </c>
      <c r="O133" t="s">
        <v>74</v>
      </c>
      <c r="P133" t="s">
        <v>74</v>
      </c>
      <c r="Q133" t="s">
        <v>74</v>
      </c>
      <c r="R133" t="s">
        <v>74</v>
      </c>
      <c r="S133" t="s">
        <v>74</v>
      </c>
      <c r="T133" t="s">
        <v>2533</v>
      </c>
      <c r="U133" t="s">
        <v>2534</v>
      </c>
      <c r="V133" t="s">
        <v>2535</v>
      </c>
      <c r="W133" t="s">
        <v>2536</v>
      </c>
      <c r="X133" t="s">
        <v>2537</v>
      </c>
      <c r="Y133" t="s">
        <v>2538</v>
      </c>
      <c r="Z133" t="s">
        <v>2539</v>
      </c>
      <c r="AA133" t="s">
        <v>2540</v>
      </c>
      <c r="AB133" t="s">
        <v>2541</v>
      </c>
      <c r="AC133" t="s">
        <v>2542</v>
      </c>
      <c r="AD133" t="s">
        <v>2543</v>
      </c>
      <c r="AE133" t="s">
        <v>2544</v>
      </c>
      <c r="AF133" t="s">
        <v>74</v>
      </c>
      <c r="AG133">
        <v>46</v>
      </c>
      <c r="AH133">
        <v>11</v>
      </c>
      <c r="AI133">
        <v>11</v>
      </c>
      <c r="AJ133">
        <v>0</v>
      </c>
      <c r="AK133">
        <v>22</v>
      </c>
      <c r="AL133" t="s">
        <v>210</v>
      </c>
      <c r="AM133" t="s">
        <v>211</v>
      </c>
      <c r="AN133" t="s">
        <v>212</v>
      </c>
      <c r="AO133" t="s">
        <v>2545</v>
      </c>
      <c r="AP133" t="s">
        <v>2546</v>
      </c>
      <c r="AQ133" t="s">
        <v>74</v>
      </c>
      <c r="AR133" t="s">
        <v>2532</v>
      </c>
      <c r="AS133" t="s">
        <v>2547</v>
      </c>
      <c r="AT133" t="s">
        <v>74</v>
      </c>
      <c r="AU133">
        <v>2019</v>
      </c>
      <c r="AV133">
        <v>58</v>
      </c>
      <c r="AW133">
        <v>4</v>
      </c>
      <c r="AX133" t="s">
        <v>74</v>
      </c>
      <c r="AY133" t="s">
        <v>74</v>
      </c>
      <c r="AZ133" t="s">
        <v>74</v>
      </c>
      <c r="BA133" t="s">
        <v>74</v>
      </c>
      <c r="BB133">
        <v>382</v>
      </c>
      <c r="BC133">
        <v>392</v>
      </c>
      <c r="BD133" t="s">
        <v>74</v>
      </c>
      <c r="BE133" t="s">
        <v>2548</v>
      </c>
      <c r="BF133" t="str">
        <f>HYPERLINK("http://dx.doi.org/10.1080/00318884.2019.1591835","http://dx.doi.org/10.1080/00318884.2019.1591835")</f>
        <v>http://dx.doi.org/10.1080/00318884.2019.1591835</v>
      </c>
      <c r="BG133" t="s">
        <v>74</v>
      </c>
      <c r="BH133" t="s">
        <v>74</v>
      </c>
      <c r="BI133">
        <v>11</v>
      </c>
      <c r="BJ133" t="s">
        <v>2549</v>
      </c>
      <c r="BK133" t="s">
        <v>101</v>
      </c>
      <c r="BL133" t="s">
        <v>2549</v>
      </c>
      <c r="BM133" t="s">
        <v>2550</v>
      </c>
      <c r="BN133" t="s">
        <v>74</v>
      </c>
      <c r="BO133" t="s">
        <v>1089</v>
      </c>
      <c r="BP133" t="s">
        <v>74</v>
      </c>
      <c r="BQ133" t="s">
        <v>74</v>
      </c>
      <c r="BR133" t="s">
        <v>104</v>
      </c>
      <c r="BS133" t="s">
        <v>2551</v>
      </c>
      <c r="BT133" t="str">
        <f>HYPERLINK("https%3A%2F%2Fwww.webofscience.com%2Fwos%2Fwoscc%2Ffull-record%2FWOS:000475669100005","View Full Record in Web of Science")</f>
        <v>View Full Record in Web of Science</v>
      </c>
    </row>
    <row r="134" spans="1:72" x14ac:dyDescent="0.15">
      <c r="A134" t="s">
        <v>390</v>
      </c>
      <c r="B134" t="s">
        <v>2552</v>
      </c>
      <c r="C134" t="s">
        <v>74</v>
      </c>
      <c r="D134" t="s">
        <v>2553</v>
      </c>
      <c r="E134" t="s">
        <v>74</v>
      </c>
      <c r="F134" t="s">
        <v>2554</v>
      </c>
      <c r="G134" t="s">
        <v>74</v>
      </c>
      <c r="H134" t="s">
        <v>74</v>
      </c>
      <c r="I134" t="s">
        <v>2555</v>
      </c>
      <c r="J134" t="s">
        <v>2556</v>
      </c>
      <c r="K134" t="s">
        <v>74</v>
      </c>
      <c r="L134" t="s">
        <v>74</v>
      </c>
      <c r="M134" t="s">
        <v>78</v>
      </c>
      <c r="N134" t="s">
        <v>140</v>
      </c>
      <c r="O134" t="s">
        <v>74</v>
      </c>
      <c r="P134" t="s">
        <v>74</v>
      </c>
      <c r="Q134" t="s">
        <v>74</v>
      </c>
      <c r="R134" t="s">
        <v>74</v>
      </c>
      <c r="S134" t="s">
        <v>74</v>
      </c>
      <c r="T134" t="s">
        <v>74</v>
      </c>
      <c r="U134" t="s">
        <v>2557</v>
      </c>
      <c r="V134" t="s">
        <v>74</v>
      </c>
      <c r="W134" t="s">
        <v>2558</v>
      </c>
      <c r="X134" t="s">
        <v>2559</v>
      </c>
      <c r="Y134" t="s">
        <v>2560</v>
      </c>
      <c r="Z134" t="s">
        <v>74</v>
      </c>
      <c r="AA134" t="s">
        <v>2561</v>
      </c>
      <c r="AB134" t="s">
        <v>74</v>
      </c>
      <c r="AC134" t="s">
        <v>74</v>
      </c>
      <c r="AD134" t="s">
        <v>74</v>
      </c>
      <c r="AE134" t="s">
        <v>74</v>
      </c>
      <c r="AF134" t="s">
        <v>74</v>
      </c>
      <c r="AG134">
        <v>73</v>
      </c>
      <c r="AH134">
        <v>14</v>
      </c>
      <c r="AI134">
        <v>15</v>
      </c>
      <c r="AJ134">
        <v>0</v>
      </c>
      <c r="AK134">
        <v>1</v>
      </c>
      <c r="AL134" t="s">
        <v>2519</v>
      </c>
      <c r="AM134" t="s">
        <v>2520</v>
      </c>
      <c r="AN134" t="s">
        <v>2521</v>
      </c>
      <c r="AO134" t="s">
        <v>74</v>
      </c>
      <c r="AP134" t="s">
        <v>74</v>
      </c>
      <c r="AQ134" t="s">
        <v>2562</v>
      </c>
      <c r="AR134" t="s">
        <v>74</v>
      </c>
      <c r="AS134" t="s">
        <v>74</v>
      </c>
      <c r="AT134" t="s">
        <v>74</v>
      </c>
      <c r="AU134">
        <v>2019</v>
      </c>
      <c r="AV134" t="s">
        <v>74</v>
      </c>
      <c r="AW134" t="s">
        <v>74</v>
      </c>
      <c r="AX134" t="s">
        <v>74</v>
      </c>
      <c r="AY134" t="s">
        <v>74</v>
      </c>
      <c r="AZ134" t="s">
        <v>74</v>
      </c>
      <c r="BA134" t="s">
        <v>74</v>
      </c>
      <c r="BB134">
        <v>89</v>
      </c>
      <c r="BC134">
        <v>104</v>
      </c>
      <c r="BD134" t="s">
        <v>74</v>
      </c>
      <c r="BE134" t="s">
        <v>2563</v>
      </c>
      <c r="BF134" t="str">
        <f>HYPERLINK("http://dx.doi.org/10.1016/B978-0-12-812064-4.00004-9","http://dx.doi.org/10.1016/B978-0-12-812064-4.00004-9")</f>
        <v>http://dx.doi.org/10.1016/B978-0-12-812064-4.00004-9</v>
      </c>
      <c r="BG134" t="s">
        <v>74</v>
      </c>
      <c r="BH134" t="s">
        <v>74</v>
      </c>
      <c r="BI134">
        <v>16</v>
      </c>
      <c r="BJ134" t="s">
        <v>2564</v>
      </c>
      <c r="BK134" t="s">
        <v>159</v>
      </c>
      <c r="BL134" t="s">
        <v>2564</v>
      </c>
      <c r="BM134" t="s">
        <v>2565</v>
      </c>
      <c r="BN134" t="s">
        <v>74</v>
      </c>
      <c r="BO134" t="s">
        <v>74</v>
      </c>
      <c r="BP134" t="s">
        <v>74</v>
      </c>
      <c r="BQ134" t="s">
        <v>74</v>
      </c>
      <c r="BR134" t="s">
        <v>104</v>
      </c>
      <c r="BS134" t="s">
        <v>2566</v>
      </c>
      <c r="BT134" t="str">
        <f>HYPERLINK("https%3A%2F%2Fwww.webofscience.com%2Fwos%2Fwoscc%2Ffull-record%2FWOS:000472666500005","View Full Record in Web of Science")</f>
        <v>View Full Record in Web of Science</v>
      </c>
    </row>
    <row r="135" spans="1:72" x14ac:dyDescent="0.15">
      <c r="A135" t="s">
        <v>72</v>
      </c>
      <c r="B135" t="s">
        <v>2567</v>
      </c>
      <c r="C135" t="s">
        <v>74</v>
      </c>
      <c r="D135" t="s">
        <v>74</v>
      </c>
      <c r="E135" t="s">
        <v>74</v>
      </c>
      <c r="F135" t="s">
        <v>2568</v>
      </c>
      <c r="G135" t="s">
        <v>74</v>
      </c>
      <c r="H135" t="s">
        <v>74</v>
      </c>
      <c r="I135" t="s">
        <v>2569</v>
      </c>
      <c r="J135" t="s">
        <v>2570</v>
      </c>
      <c r="K135" t="s">
        <v>74</v>
      </c>
      <c r="L135" t="s">
        <v>74</v>
      </c>
      <c r="M135" t="s">
        <v>78</v>
      </c>
      <c r="N135" t="s">
        <v>79</v>
      </c>
      <c r="O135" t="s">
        <v>74</v>
      </c>
      <c r="P135" t="s">
        <v>74</v>
      </c>
      <c r="Q135" t="s">
        <v>74</v>
      </c>
      <c r="R135" t="s">
        <v>74</v>
      </c>
      <c r="S135" t="s">
        <v>74</v>
      </c>
      <c r="T135" t="s">
        <v>2571</v>
      </c>
      <c r="U135" t="s">
        <v>2572</v>
      </c>
      <c r="V135" t="s">
        <v>2573</v>
      </c>
      <c r="W135" t="s">
        <v>2574</v>
      </c>
      <c r="X135" t="s">
        <v>2575</v>
      </c>
      <c r="Y135" t="s">
        <v>2576</v>
      </c>
      <c r="Z135" t="s">
        <v>2577</v>
      </c>
      <c r="AA135" t="s">
        <v>2578</v>
      </c>
      <c r="AB135" t="s">
        <v>2579</v>
      </c>
      <c r="AC135" t="s">
        <v>74</v>
      </c>
      <c r="AD135" t="s">
        <v>74</v>
      </c>
      <c r="AE135" t="s">
        <v>74</v>
      </c>
      <c r="AF135" t="s">
        <v>74</v>
      </c>
      <c r="AG135">
        <v>115</v>
      </c>
      <c r="AH135">
        <v>2</v>
      </c>
      <c r="AI135">
        <v>3</v>
      </c>
      <c r="AJ135">
        <v>1</v>
      </c>
      <c r="AK135">
        <v>4</v>
      </c>
      <c r="AL135" t="s">
        <v>2580</v>
      </c>
      <c r="AM135" t="s">
        <v>1685</v>
      </c>
      <c r="AN135" t="s">
        <v>2581</v>
      </c>
      <c r="AO135" t="s">
        <v>2582</v>
      </c>
      <c r="AP135" t="s">
        <v>2583</v>
      </c>
      <c r="AQ135" t="s">
        <v>74</v>
      </c>
      <c r="AR135" t="s">
        <v>2584</v>
      </c>
      <c r="AS135" t="s">
        <v>2585</v>
      </c>
      <c r="AT135" t="s">
        <v>74</v>
      </c>
      <c r="AU135">
        <v>2019</v>
      </c>
      <c r="AV135">
        <v>63</v>
      </c>
      <c r="AW135">
        <v>2</v>
      </c>
      <c r="AX135" t="s">
        <v>74</v>
      </c>
      <c r="AY135" t="s">
        <v>74</v>
      </c>
      <c r="AZ135" t="s">
        <v>74</v>
      </c>
      <c r="BA135" t="s">
        <v>74</v>
      </c>
      <c r="BB135">
        <v>375</v>
      </c>
      <c r="BC135">
        <v>394</v>
      </c>
      <c r="BD135" t="s">
        <v>74</v>
      </c>
      <c r="BE135" t="s">
        <v>2586</v>
      </c>
      <c r="BF135" t="str">
        <f>HYPERLINK("http://dx.doi.org/10.7306/gq.1470","http://dx.doi.org/10.7306/gq.1470")</f>
        <v>http://dx.doi.org/10.7306/gq.1470</v>
      </c>
      <c r="BG135" t="s">
        <v>74</v>
      </c>
      <c r="BH135" t="s">
        <v>74</v>
      </c>
      <c r="BI135">
        <v>20</v>
      </c>
      <c r="BJ135" t="s">
        <v>528</v>
      </c>
      <c r="BK135" t="s">
        <v>101</v>
      </c>
      <c r="BL135" t="s">
        <v>528</v>
      </c>
      <c r="BM135" t="s">
        <v>2587</v>
      </c>
      <c r="BN135" t="s">
        <v>74</v>
      </c>
      <c r="BO135" t="s">
        <v>131</v>
      </c>
      <c r="BP135" t="s">
        <v>74</v>
      </c>
      <c r="BQ135" t="s">
        <v>74</v>
      </c>
      <c r="BR135" t="s">
        <v>104</v>
      </c>
      <c r="BS135" t="s">
        <v>2588</v>
      </c>
      <c r="BT135" t="str">
        <f>HYPERLINK("https%3A%2F%2Fwww.webofscience.com%2Fwos%2Fwoscc%2Ffull-record%2FWOS:000474741900010","View Full Record in Web of Science")</f>
        <v>View Full Record in Web of Science</v>
      </c>
    </row>
    <row r="136" spans="1:72" x14ac:dyDescent="0.15">
      <c r="A136" t="s">
        <v>72</v>
      </c>
      <c r="B136" t="s">
        <v>2589</v>
      </c>
      <c r="C136" t="s">
        <v>74</v>
      </c>
      <c r="D136" t="s">
        <v>74</v>
      </c>
      <c r="E136" t="s">
        <v>74</v>
      </c>
      <c r="F136" t="s">
        <v>2590</v>
      </c>
      <c r="G136" t="s">
        <v>74</v>
      </c>
      <c r="H136" t="s">
        <v>74</v>
      </c>
      <c r="I136" t="s">
        <v>2591</v>
      </c>
      <c r="J136" t="s">
        <v>2592</v>
      </c>
      <c r="K136" t="s">
        <v>74</v>
      </c>
      <c r="L136" t="s">
        <v>74</v>
      </c>
      <c r="M136" t="s">
        <v>78</v>
      </c>
      <c r="N136" t="s">
        <v>79</v>
      </c>
      <c r="O136" t="s">
        <v>74</v>
      </c>
      <c r="P136" t="s">
        <v>74</v>
      </c>
      <c r="Q136" t="s">
        <v>74</v>
      </c>
      <c r="R136" t="s">
        <v>74</v>
      </c>
      <c r="S136" t="s">
        <v>74</v>
      </c>
      <c r="T136" t="s">
        <v>2593</v>
      </c>
      <c r="U136" t="s">
        <v>2594</v>
      </c>
      <c r="V136" t="s">
        <v>2595</v>
      </c>
      <c r="W136" t="s">
        <v>2596</v>
      </c>
      <c r="X136" t="s">
        <v>2597</v>
      </c>
      <c r="Y136" t="s">
        <v>2598</v>
      </c>
      <c r="Z136" t="s">
        <v>2599</v>
      </c>
      <c r="AA136" t="s">
        <v>2600</v>
      </c>
      <c r="AB136" t="s">
        <v>2601</v>
      </c>
      <c r="AC136" t="s">
        <v>2602</v>
      </c>
      <c r="AD136" t="s">
        <v>2603</v>
      </c>
      <c r="AE136" t="s">
        <v>2604</v>
      </c>
      <c r="AF136" t="s">
        <v>74</v>
      </c>
      <c r="AG136">
        <v>29</v>
      </c>
      <c r="AH136">
        <v>8</v>
      </c>
      <c r="AI136">
        <v>8</v>
      </c>
      <c r="AJ136">
        <v>1</v>
      </c>
      <c r="AK136">
        <v>5</v>
      </c>
      <c r="AL136" t="s">
        <v>1473</v>
      </c>
      <c r="AM136" t="s">
        <v>1080</v>
      </c>
      <c r="AN136" t="s">
        <v>1474</v>
      </c>
      <c r="AO136" t="s">
        <v>2605</v>
      </c>
      <c r="AP136" t="s">
        <v>2606</v>
      </c>
      <c r="AQ136" t="s">
        <v>74</v>
      </c>
      <c r="AR136" t="s">
        <v>2607</v>
      </c>
      <c r="AS136" t="s">
        <v>2608</v>
      </c>
      <c r="AT136" t="s">
        <v>718</v>
      </c>
      <c r="AU136">
        <v>2019</v>
      </c>
      <c r="AV136">
        <v>55</v>
      </c>
      <c r="AW136">
        <v>1</v>
      </c>
      <c r="AX136" t="s">
        <v>74</v>
      </c>
      <c r="AY136" t="s">
        <v>74</v>
      </c>
      <c r="AZ136" t="s">
        <v>74</v>
      </c>
      <c r="BA136" t="s">
        <v>74</v>
      </c>
      <c r="BB136">
        <v>25</v>
      </c>
      <c r="BC136">
        <v>31</v>
      </c>
      <c r="BD136" t="s">
        <v>2609</v>
      </c>
      <c r="BE136" t="s">
        <v>2610</v>
      </c>
      <c r="BF136" t="str">
        <f>HYPERLINK("http://dx.doi.org/10.1017/S0032247419000147","http://dx.doi.org/10.1017/S0032247419000147")</f>
        <v>http://dx.doi.org/10.1017/S0032247419000147</v>
      </c>
      <c r="BG136" t="s">
        <v>74</v>
      </c>
      <c r="BH136" t="s">
        <v>74</v>
      </c>
      <c r="BI136">
        <v>7</v>
      </c>
      <c r="BJ136" t="s">
        <v>1432</v>
      </c>
      <c r="BK136" t="s">
        <v>101</v>
      </c>
      <c r="BL136" t="s">
        <v>799</v>
      </c>
      <c r="BM136" t="s">
        <v>2611</v>
      </c>
      <c r="BN136" t="s">
        <v>74</v>
      </c>
      <c r="BO136" t="s">
        <v>74</v>
      </c>
      <c r="BP136" t="s">
        <v>74</v>
      </c>
      <c r="BQ136" t="s">
        <v>74</v>
      </c>
      <c r="BR136" t="s">
        <v>104</v>
      </c>
      <c r="BS136" t="s">
        <v>2612</v>
      </c>
      <c r="BT136" t="str">
        <f>HYPERLINK("https%3A%2F%2Fwww.webofscience.com%2Fwos%2Fwoscc%2Ffull-record%2FWOS:000474600700004","View Full Record in Web of Science")</f>
        <v>View Full Record in Web of Science</v>
      </c>
    </row>
    <row r="137" spans="1:72" x14ac:dyDescent="0.15">
      <c r="A137" t="s">
        <v>164</v>
      </c>
      <c r="B137" t="s">
        <v>2613</v>
      </c>
      <c r="C137" t="s">
        <v>74</v>
      </c>
      <c r="D137" t="s">
        <v>74</v>
      </c>
      <c r="E137" t="s">
        <v>2614</v>
      </c>
      <c r="F137" t="s">
        <v>2615</v>
      </c>
      <c r="G137" t="s">
        <v>74</v>
      </c>
      <c r="H137" t="s">
        <v>74</v>
      </c>
      <c r="I137" t="s">
        <v>2616</v>
      </c>
      <c r="J137" t="s">
        <v>2617</v>
      </c>
      <c r="K137" t="s">
        <v>2618</v>
      </c>
      <c r="L137" t="s">
        <v>74</v>
      </c>
      <c r="M137" t="s">
        <v>78</v>
      </c>
      <c r="N137" t="s">
        <v>172</v>
      </c>
      <c r="O137" t="s">
        <v>2619</v>
      </c>
      <c r="P137" t="s">
        <v>2620</v>
      </c>
      <c r="Q137" t="s">
        <v>2621</v>
      </c>
      <c r="R137" t="s">
        <v>74</v>
      </c>
      <c r="S137" t="s">
        <v>74</v>
      </c>
      <c r="T137" t="s">
        <v>74</v>
      </c>
      <c r="U137" t="s">
        <v>2622</v>
      </c>
      <c r="V137" t="s">
        <v>2623</v>
      </c>
      <c r="W137" t="s">
        <v>2624</v>
      </c>
      <c r="X137" t="s">
        <v>2625</v>
      </c>
      <c r="Y137" t="s">
        <v>2626</v>
      </c>
      <c r="Z137" t="s">
        <v>2627</v>
      </c>
      <c r="AA137" t="s">
        <v>74</v>
      </c>
      <c r="AB137" t="s">
        <v>74</v>
      </c>
      <c r="AC137" t="s">
        <v>2628</v>
      </c>
      <c r="AD137" t="s">
        <v>2629</v>
      </c>
      <c r="AE137" t="s">
        <v>2630</v>
      </c>
      <c r="AF137" t="s">
        <v>74</v>
      </c>
      <c r="AG137">
        <v>29</v>
      </c>
      <c r="AH137">
        <v>3</v>
      </c>
      <c r="AI137">
        <v>4</v>
      </c>
      <c r="AJ137">
        <v>0</v>
      </c>
      <c r="AK137">
        <v>0</v>
      </c>
      <c r="AL137" t="s">
        <v>2289</v>
      </c>
      <c r="AM137" t="s">
        <v>2290</v>
      </c>
      <c r="AN137" t="s">
        <v>2291</v>
      </c>
      <c r="AO137" t="s">
        <v>2631</v>
      </c>
      <c r="AP137" t="s">
        <v>74</v>
      </c>
      <c r="AQ137" t="s">
        <v>74</v>
      </c>
      <c r="AR137" t="s">
        <v>2632</v>
      </c>
      <c r="AS137" t="s">
        <v>2633</v>
      </c>
      <c r="AT137" t="s">
        <v>74</v>
      </c>
      <c r="AU137">
        <v>2019</v>
      </c>
      <c r="AV137">
        <v>231</v>
      </c>
      <c r="AW137" t="s">
        <v>74</v>
      </c>
      <c r="AX137" t="s">
        <v>74</v>
      </c>
      <c r="AY137" t="s">
        <v>74</v>
      </c>
      <c r="AZ137" t="s">
        <v>74</v>
      </c>
      <c r="BA137" t="s">
        <v>74</v>
      </c>
      <c r="BB137" t="s">
        <v>74</v>
      </c>
      <c r="BC137" t="s">
        <v>74</v>
      </c>
      <c r="BD137">
        <v>12023</v>
      </c>
      <c r="BE137" t="s">
        <v>2634</v>
      </c>
      <c r="BF137" t="str">
        <f>HYPERLINK("http://dx.doi.org/10.1088/1755-1315/231/1/012023","http://dx.doi.org/10.1088/1755-1315/231/1/012023")</f>
        <v>http://dx.doi.org/10.1088/1755-1315/231/1/012023</v>
      </c>
      <c r="BG137" t="s">
        <v>74</v>
      </c>
      <c r="BH137" t="s">
        <v>74</v>
      </c>
      <c r="BI137">
        <v>7</v>
      </c>
      <c r="BJ137" t="s">
        <v>2635</v>
      </c>
      <c r="BK137" t="s">
        <v>190</v>
      </c>
      <c r="BL137" t="s">
        <v>2636</v>
      </c>
      <c r="BM137" t="s">
        <v>2637</v>
      </c>
      <c r="BN137" t="s">
        <v>74</v>
      </c>
      <c r="BO137" t="s">
        <v>131</v>
      </c>
      <c r="BP137" t="s">
        <v>74</v>
      </c>
      <c r="BQ137" t="s">
        <v>74</v>
      </c>
      <c r="BR137" t="s">
        <v>104</v>
      </c>
      <c r="BS137" t="s">
        <v>2638</v>
      </c>
      <c r="BT137" t="str">
        <f>HYPERLINK("https%3A%2F%2Fwww.webofscience.com%2Fwos%2Fwoscc%2Ffull-record%2FWOS:000473549100022","View Full Record in Web of Science")</f>
        <v>View Full Record in Web of Science</v>
      </c>
    </row>
    <row r="138" spans="1:72" x14ac:dyDescent="0.15">
      <c r="A138" t="s">
        <v>164</v>
      </c>
      <c r="B138" t="s">
        <v>2639</v>
      </c>
      <c r="C138" t="s">
        <v>74</v>
      </c>
      <c r="D138" t="s">
        <v>74</v>
      </c>
      <c r="E138" t="s">
        <v>2614</v>
      </c>
      <c r="F138" t="s">
        <v>2640</v>
      </c>
      <c r="G138" t="s">
        <v>74</v>
      </c>
      <c r="H138" t="s">
        <v>74</v>
      </c>
      <c r="I138" t="s">
        <v>2641</v>
      </c>
      <c r="J138" t="s">
        <v>2617</v>
      </c>
      <c r="K138" t="s">
        <v>2618</v>
      </c>
      <c r="L138" t="s">
        <v>74</v>
      </c>
      <c r="M138" t="s">
        <v>78</v>
      </c>
      <c r="N138" t="s">
        <v>172</v>
      </c>
      <c r="O138" t="s">
        <v>2619</v>
      </c>
      <c r="P138" t="s">
        <v>2620</v>
      </c>
      <c r="Q138" t="s">
        <v>2621</v>
      </c>
      <c r="R138" t="s">
        <v>74</v>
      </c>
      <c r="S138" t="s">
        <v>74</v>
      </c>
      <c r="T138" t="s">
        <v>74</v>
      </c>
      <c r="U138" t="s">
        <v>2642</v>
      </c>
      <c r="V138" t="s">
        <v>2643</v>
      </c>
      <c r="W138" t="s">
        <v>2644</v>
      </c>
      <c r="X138" t="s">
        <v>2645</v>
      </c>
      <c r="Y138" t="s">
        <v>2646</v>
      </c>
      <c r="Z138" t="s">
        <v>2647</v>
      </c>
      <c r="AA138" t="s">
        <v>2648</v>
      </c>
      <c r="AB138" t="s">
        <v>2649</v>
      </c>
      <c r="AC138" t="s">
        <v>2650</v>
      </c>
      <c r="AD138" t="s">
        <v>1587</v>
      </c>
      <c r="AE138" t="s">
        <v>2651</v>
      </c>
      <c r="AF138" t="s">
        <v>74</v>
      </c>
      <c r="AG138">
        <v>25</v>
      </c>
      <c r="AH138">
        <v>5</v>
      </c>
      <c r="AI138">
        <v>7</v>
      </c>
      <c r="AJ138">
        <v>0</v>
      </c>
      <c r="AK138">
        <v>1</v>
      </c>
      <c r="AL138" t="s">
        <v>2289</v>
      </c>
      <c r="AM138" t="s">
        <v>2290</v>
      </c>
      <c r="AN138" t="s">
        <v>2291</v>
      </c>
      <c r="AO138" t="s">
        <v>2631</v>
      </c>
      <c r="AP138" t="s">
        <v>74</v>
      </c>
      <c r="AQ138" t="s">
        <v>74</v>
      </c>
      <c r="AR138" t="s">
        <v>2632</v>
      </c>
      <c r="AS138" t="s">
        <v>2633</v>
      </c>
      <c r="AT138" t="s">
        <v>74</v>
      </c>
      <c r="AU138">
        <v>2019</v>
      </c>
      <c r="AV138">
        <v>231</v>
      </c>
      <c r="AW138" t="s">
        <v>74</v>
      </c>
      <c r="AX138" t="s">
        <v>74</v>
      </c>
      <c r="AY138" t="s">
        <v>74</v>
      </c>
      <c r="AZ138" t="s">
        <v>74</v>
      </c>
      <c r="BA138" t="s">
        <v>74</v>
      </c>
      <c r="BB138" t="s">
        <v>74</v>
      </c>
      <c r="BC138" t="s">
        <v>74</v>
      </c>
      <c r="BD138">
        <v>12024</v>
      </c>
      <c r="BE138" t="s">
        <v>2652</v>
      </c>
      <c r="BF138" t="str">
        <f>HYPERLINK("http://dx.doi.org/10.1088/1755-1315/231/1/012024","http://dx.doi.org/10.1088/1755-1315/231/1/012024")</f>
        <v>http://dx.doi.org/10.1088/1755-1315/231/1/012024</v>
      </c>
      <c r="BG138" t="s">
        <v>74</v>
      </c>
      <c r="BH138" t="s">
        <v>74</v>
      </c>
      <c r="BI138">
        <v>8</v>
      </c>
      <c r="BJ138" t="s">
        <v>2635</v>
      </c>
      <c r="BK138" t="s">
        <v>190</v>
      </c>
      <c r="BL138" t="s">
        <v>2636</v>
      </c>
      <c r="BM138" t="s">
        <v>2637</v>
      </c>
      <c r="BN138" t="s">
        <v>74</v>
      </c>
      <c r="BO138" t="s">
        <v>131</v>
      </c>
      <c r="BP138" t="s">
        <v>74</v>
      </c>
      <c r="BQ138" t="s">
        <v>74</v>
      </c>
      <c r="BR138" t="s">
        <v>104</v>
      </c>
      <c r="BS138" t="s">
        <v>2653</v>
      </c>
      <c r="BT138" t="str">
        <f>HYPERLINK("https%3A%2F%2Fwww.webofscience.com%2Fwos%2Fwoscc%2Ffull-record%2FWOS:000473549100023","View Full Record in Web of Science")</f>
        <v>View Full Record in Web of Science</v>
      </c>
    </row>
    <row r="139" spans="1:72" x14ac:dyDescent="0.15">
      <c r="A139" t="s">
        <v>164</v>
      </c>
      <c r="B139" t="s">
        <v>2654</v>
      </c>
      <c r="C139" t="s">
        <v>74</v>
      </c>
      <c r="D139" t="s">
        <v>74</v>
      </c>
      <c r="E139" t="s">
        <v>2614</v>
      </c>
      <c r="F139" t="s">
        <v>2655</v>
      </c>
      <c r="G139" t="s">
        <v>74</v>
      </c>
      <c r="H139" t="s">
        <v>74</v>
      </c>
      <c r="I139" t="s">
        <v>2656</v>
      </c>
      <c r="J139" t="s">
        <v>2617</v>
      </c>
      <c r="K139" t="s">
        <v>2618</v>
      </c>
      <c r="L139" t="s">
        <v>74</v>
      </c>
      <c r="M139" t="s">
        <v>78</v>
      </c>
      <c r="N139" t="s">
        <v>172</v>
      </c>
      <c r="O139" t="s">
        <v>2619</v>
      </c>
      <c r="P139" t="s">
        <v>2620</v>
      </c>
      <c r="Q139" t="s">
        <v>2621</v>
      </c>
      <c r="R139" t="s">
        <v>74</v>
      </c>
      <c r="S139" t="s">
        <v>74</v>
      </c>
      <c r="T139" t="s">
        <v>74</v>
      </c>
      <c r="U139" t="s">
        <v>2657</v>
      </c>
      <c r="V139" t="s">
        <v>2658</v>
      </c>
      <c r="W139" t="s">
        <v>2659</v>
      </c>
      <c r="X139" t="s">
        <v>2660</v>
      </c>
      <c r="Y139" t="s">
        <v>2661</v>
      </c>
      <c r="Z139" t="s">
        <v>2662</v>
      </c>
      <c r="AA139" t="s">
        <v>2663</v>
      </c>
      <c r="AB139" t="s">
        <v>2664</v>
      </c>
      <c r="AC139" t="s">
        <v>2665</v>
      </c>
      <c r="AD139" t="s">
        <v>2666</v>
      </c>
      <c r="AE139" t="s">
        <v>2667</v>
      </c>
      <c r="AF139" t="s">
        <v>74</v>
      </c>
      <c r="AG139">
        <v>6</v>
      </c>
      <c r="AH139">
        <v>4</v>
      </c>
      <c r="AI139">
        <v>5</v>
      </c>
      <c r="AJ139">
        <v>0</v>
      </c>
      <c r="AK139">
        <v>0</v>
      </c>
      <c r="AL139" t="s">
        <v>2289</v>
      </c>
      <c r="AM139" t="s">
        <v>2290</v>
      </c>
      <c r="AN139" t="s">
        <v>2291</v>
      </c>
      <c r="AO139" t="s">
        <v>2631</v>
      </c>
      <c r="AP139" t="s">
        <v>74</v>
      </c>
      <c r="AQ139" t="s">
        <v>74</v>
      </c>
      <c r="AR139" t="s">
        <v>2632</v>
      </c>
      <c r="AS139" t="s">
        <v>2633</v>
      </c>
      <c r="AT139" t="s">
        <v>74</v>
      </c>
      <c r="AU139">
        <v>2019</v>
      </c>
      <c r="AV139">
        <v>231</v>
      </c>
      <c r="AW139" t="s">
        <v>74</v>
      </c>
      <c r="AX139" t="s">
        <v>74</v>
      </c>
      <c r="AY139" t="s">
        <v>74</v>
      </c>
      <c r="AZ139" t="s">
        <v>74</v>
      </c>
      <c r="BA139" t="s">
        <v>74</v>
      </c>
      <c r="BB139" t="s">
        <v>74</v>
      </c>
      <c r="BC139" t="s">
        <v>74</v>
      </c>
      <c r="BD139">
        <v>12031</v>
      </c>
      <c r="BE139" t="s">
        <v>2668</v>
      </c>
      <c r="BF139" t="str">
        <f>HYPERLINK("http://dx.doi.org/10.1088/1755-1315/231/1/012031","http://dx.doi.org/10.1088/1755-1315/231/1/012031")</f>
        <v>http://dx.doi.org/10.1088/1755-1315/231/1/012031</v>
      </c>
      <c r="BG139" t="s">
        <v>74</v>
      </c>
      <c r="BH139" t="s">
        <v>74</v>
      </c>
      <c r="BI139">
        <v>5</v>
      </c>
      <c r="BJ139" t="s">
        <v>2635</v>
      </c>
      <c r="BK139" t="s">
        <v>190</v>
      </c>
      <c r="BL139" t="s">
        <v>2636</v>
      </c>
      <c r="BM139" t="s">
        <v>2637</v>
      </c>
      <c r="BN139" t="s">
        <v>74</v>
      </c>
      <c r="BO139" t="s">
        <v>530</v>
      </c>
      <c r="BP139" t="s">
        <v>74</v>
      </c>
      <c r="BQ139" t="s">
        <v>74</v>
      </c>
      <c r="BR139" t="s">
        <v>104</v>
      </c>
      <c r="BS139" t="s">
        <v>2669</v>
      </c>
      <c r="BT139" t="str">
        <f>HYPERLINK("https%3A%2F%2Fwww.webofscience.com%2Fwos%2Fwoscc%2Ffull-record%2FWOS:000473549100030","View Full Record in Web of Science")</f>
        <v>View Full Record in Web of Science</v>
      </c>
    </row>
    <row r="140" spans="1:72" x14ac:dyDescent="0.15">
      <c r="A140" t="s">
        <v>164</v>
      </c>
      <c r="B140" t="s">
        <v>2670</v>
      </c>
      <c r="C140" t="s">
        <v>74</v>
      </c>
      <c r="D140" t="s">
        <v>74</v>
      </c>
      <c r="E140" t="s">
        <v>2614</v>
      </c>
      <c r="F140" t="s">
        <v>2671</v>
      </c>
      <c r="G140" t="s">
        <v>74</v>
      </c>
      <c r="H140" t="s">
        <v>74</v>
      </c>
      <c r="I140" t="s">
        <v>2672</v>
      </c>
      <c r="J140" t="s">
        <v>2617</v>
      </c>
      <c r="K140" t="s">
        <v>2618</v>
      </c>
      <c r="L140" t="s">
        <v>74</v>
      </c>
      <c r="M140" t="s">
        <v>78</v>
      </c>
      <c r="N140" t="s">
        <v>172</v>
      </c>
      <c r="O140" t="s">
        <v>2619</v>
      </c>
      <c r="P140" t="s">
        <v>2620</v>
      </c>
      <c r="Q140" t="s">
        <v>2621</v>
      </c>
      <c r="R140" t="s">
        <v>74</v>
      </c>
      <c r="S140" t="s">
        <v>74</v>
      </c>
      <c r="T140" t="s">
        <v>74</v>
      </c>
      <c r="U140" t="s">
        <v>2673</v>
      </c>
      <c r="V140" t="s">
        <v>2674</v>
      </c>
      <c r="W140" t="s">
        <v>2675</v>
      </c>
      <c r="X140" t="s">
        <v>893</v>
      </c>
      <c r="Y140" t="s">
        <v>2676</v>
      </c>
      <c r="Z140" t="s">
        <v>2677</v>
      </c>
      <c r="AA140" t="s">
        <v>2678</v>
      </c>
      <c r="AB140" t="s">
        <v>2679</v>
      </c>
      <c r="AC140" t="s">
        <v>2680</v>
      </c>
      <c r="AD140" t="s">
        <v>2681</v>
      </c>
      <c r="AE140" t="s">
        <v>2682</v>
      </c>
      <c r="AF140" t="s">
        <v>74</v>
      </c>
      <c r="AG140">
        <v>11</v>
      </c>
      <c r="AH140">
        <v>2</v>
      </c>
      <c r="AI140">
        <v>4</v>
      </c>
      <c r="AJ140">
        <v>0</v>
      </c>
      <c r="AK140">
        <v>3</v>
      </c>
      <c r="AL140" t="s">
        <v>2289</v>
      </c>
      <c r="AM140" t="s">
        <v>2290</v>
      </c>
      <c r="AN140" t="s">
        <v>2291</v>
      </c>
      <c r="AO140" t="s">
        <v>2631</v>
      </c>
      <c r="AP140" t="s">
        <v>74</v>
      </c>
      <c r="AQ140" t="s">
        <v>74</v>
      </c>
      <c r="AR140" t="s">
        <v>2632</v>
      </c>
      <c r="AS140" t="s">
        <v>2633</v>
      </c>
      <c r="AT140" t="s">
        <v>74</v>
      </c>
      <c r="AU140">
        <v>2019</v>
      </c>
      <c r="AV140">
        <v>231</v>
      </c>
      <c r="AW140" t="s">
        <v>74</v>
      </c>
      <c r="AX140" t="s">
        <v>74</v>
      </c>
      <c r="AY140" t="s">
        <v>74</v>
      </c>
      <c r="AZ140" t="s">
        <v>74</v>
      </c>
      <c r="BA140" t="s">
        <v>74</v>
      </c>
      <c r="BB140" t="s">
        <v>74</v>
      </c>
      <c r="BC140" t="s">
        <v>74</v>
      </c>
      <c r="BD140">
        <v>12034</v>
      </c>
      <c r="BE140" t="s">
        <v>2683</v>
      </c>
      <c r="BF140" t="str">
        <f>HYPERLINK("http://dx.doi.org/10.1088/1755-1315/231/1/012034","http://dx.doi.org/10.1088/1755-1315/231/1/012034")</f>
        <v>http://dx.doi.org/10.1088/1755-1315/231/1/012034</v>
      </c>
      <c r="BG140" t="s">
        <v>74</v>
      </c>
      <c r="BH140" t="s">
        <v>74</v>
      </c>
      <c r="BI140">
        <v>9</v>
      </c>
      <c r="BJ140" t="s">
        <v>2635</v>
      </c>
      <c r="BK140" t="s">
        <v>190</v>
      </c>
      <c r="BL140" t="s">
        <v>2636</v>
      </c>
      <c r="BM140" t="s">
        <v>2637</v>
      </c>
      <c r="BN140" t="s">
        <v>74</v>
      </c>
      <c r="BO140" t="s">
        <v>530</v>
      </c>
      <c r="BP140" t="s">
        <v>74</v>
      </c>
      <c r="BQ140" t="s">
        <v>74</v>
      </c>
      <c r="BR140" t="s">
        <v>104</v>
      </c>
      <c r="BS140" t="s">
        <v>2684</v>
      </c>
      <c r="BT140" t="str">
        <f>HYPERLINK("https%3A%2F%2Fwww.webofscience.com%2Fwos%2Fwoscc%2Ffull-record%2FWOS:000473549100033","View Full Record in Web of Science")</f>
        <v>View Full Record in Web of Science</v>
      </c>
    </row>
    <row r="141" spans="1:72" x14ac:dyDescent="0.15">
      <c r="A141" t="s">
        <v>164</v>
      </c>
      <c r="B141" t="s">
        <v>2685</v>
      </c>
      <c r="C141" t="s">
        <v>74</v>
      </c>
      <c r="D141" t="s">
        <v>74</v>
      </c>
      <c r="E141" t="s">
        <v>2614</v>
      </c>
      <c r="F141" t="s">
        <v>2686</v>
      </c>
      <c r="G141" t="s">
        <v>74</v>
      </c>
      <c r="H141" t="s">
        <v>74</v>
      </c>
      <c r="I141" t="s">
        <v>2687</v>
      </c>
      <c r="J141" t="s">
        <v>2617</v>
      </c>
      <c r="K141" t="s">
        <v>2618</v>
      </c>
      <c r="L141" t="s">
        <v>74</v>
      </c>
      <c r="M141" t="s">
        <v>78</v>
      </c>
      <c r="N141" t="s">
        <v>172</v>
      </c>
      <c r="O141" t="s">
        <v>2619</v>
      </c>
      <c r="P141" t="s">
        <v>2620</v>
      </c>
      <c r="Q141" t="s">
        <v>2621</v>
      </c>
      <c r="R141" t="s">
        <v>74</v>
      </c>
      <c r="S141" t="s">
        <v>74</v>
      </c>
      <c r="T141" t="s">
        <v>74</v>
      </c>
      <c r="U141" t="s">
        <v>2688</v>
      </c>
      <c r="V141" t="s">
        <v>2689</v>
      </c>
      <c r="W141" t="s">
        <v>2690</v>
      </c>
      <c r="X141" t="s">
        <v>2691</v>
      </c>
      <c r="Y141" t="s">
        <v>2692</v>
      </c>
      <c r="Z141" t="s">
        <v>2693</v>
      </c>
      <c r="AA141" t="s">
        <v>2694</v>
      </c>
      <c r="AB141" t="s">
        <v>2695</v>
      </c>
      <c r="AC141" t="s">
        <v>2696</v>
      </c>
      <c r="AD141" t="s">
        <v>2697</v>
      </c>
      <c r="AE141" t="s">
        <v>2698</v>
      </c>
      <c r="AF141" t="s">
        <v>74</v>
      </c>
      <c r="AG141">
        <v>49</v>
      </c>
      <c r="AH141">
        <v>3</v>
      </c>
      <c r="AI141">
        <v>4</v>
      </c>
      <c r="AJ141">
        <v>0</v>
      </c>
      <c r="AK141">
        <v>11</v>
      </c>
      <c r="AL141" t="s">
        <v>2289</v>
      </c>
      <c r="AM141" t="s">
        <v>2290</v>
      </c>
      <c r="AN141" t="s">
        <v>2291</v>
      </c>
      <c r="AO141" t="s">
        <v>2631</v>
      </c>
      <c r="AP141" t="s">
        <v>74</v>
      </c>
      <c r="AQ141" t="s">
        <v>74</v>
      </c>
      <c r="AR141" t="s">
        <v>2632</v>
      </c>
      <c r="AS141" t="s">
        <v>2633</v>
      </c>
      <c r="AT141" t="s">
        <v>74</v>
      </c>
      <c r="AU141">
        <v>2019</v>
      </c>
      <c r="AV141">
        <v>231</v>
      </c>
      <c r="AW141" t="s">
        <v>74</v>
      </c>
      <c r="AX141" t="s">
        <v>74</v>
      </c>
      <c r="AY141" t="s">
        <v>74</v>
      </c>
      <c r="AZ141" t="s">
        <v>74</v>
      </c>
      <c r="BA141" t="s">
        <v>74</v>
      </c>
      <c r="BB141" t="s">
        <v>74</v>
      </c>
      <c r="BC141" t="s">
        <v>74</v>
      </c>
      <c r="BD141">
        <v>12039</v>
      </c>
      <c r="BE141" t="s">
        <v>2699</v>
      </c>
      <c r="BF141" t="str">
        <f>HYPERLINK("http://dx.doi.org/10.1088/1755-1315/231/1/012039","http://dx.doi.org/10.1088/1755-1315/231/1/012039")</f>
        <v>http://dx.doi.org/10.1088/1755-1315/231/1/012039</v>
      </c>
      <c r="BG141" t="s">
        <v>74</v>
      </c>
      <c r="BH141" t="s">
        <v>74</v>
      </c>
      <c r="BI141">
        <v>8</v>
      </c>
      <c r="BJ141" t="s">
        <v>2635</v>
      </c>
      <c r="BK141" t="s">
        <v>190</v>
      </c>
      <c r="BL141" t="s">
        <v>2636</v>
      </c>
      <c r="BM141" t="s">
        <v>2637</v>
      </c>
      <c r="BN141" t="s">
        <v>74</v>
      </c>
      <c r="BO141" t="s">
        <v>131</v>
      </c>
      <c r="BP141" t="s">
        <v>74</v>
      </c>
      <c r="BQ141" t="s">
        <v>74</v>
      </c>
      <c r="BR141" t="s">
        <v>104</v>
      </c>
      <c r="BS141" t="s">
        <v>2700</v>
      </c>
      <c r="BT141" t="str">
        <f>HYPERLINK("https%3A%2F%2Fwww.webofscience.com%2Fwos%2Fwoscc%2Ffull-record%2FWOS:000473549100038","View Full Record in Web of Science")</f>
        <v>View Full Record in Web of Science</v>
      </c>
    </row>
    <row r="142" spans="1:72" x14ac:dyDescent="0.15">
      <c r="A142" t="s">
        <v>164</v>
      </c>
      <c r="B142" t="s">
        <v>2701</v>
      </c>
      <c r="C142" t="s">
        <v>74</v>
      </c>
      <c r="D142" t="s">
        <v>74</v>
      </c>
      <c r="E142" t="s">
        <v>2614</v>
      </c>
      <c r="F142" t="s">
        <v>2702</v>
      </c>
      <c r="G142" t="s">
        <v>74</v>
      </c>
      <c r="H142" t="s">
        <v>74</v>
      </c>
      <c r="I142" t="s">
        <v>2703</v>
      </c>
      <c r="J142" t="s">
        <v>2617</v>
      </c>
      <c r="K142" t="s">
        <v>2618</v>
      </c>
      <c r="L142" t="s">
        <v>74</v>
      </c>
      <c r="M142" t="s">
        <v>78</v>
      </c>
      <c r="N142" t="s">
        <v>172</v>
      </c>
      <c r="O142" t="s">
        <v>2619</v>
      </c>
      <c r="P142" t="s">
        <v>2620</v>
      </c>
      <c r="Q142" t="s">
        <v>2621</v>
      </c>
      <c r="R142" t="s">
        <v>74</v>
      </c>
      <c r="S142" t="s">
        <v>74</v>
      </c>
      <c r="T142" t="s">
        <v>74</v>
      </c>
      <c r="U142" t="s">
        <v>2704</v>
      </c>
      <c r="V142" t="s">
        <v>2705</v>
      </c>
      <c r="W142" t="s">
        <v>2706</v>
      </c>
      <c r="X142" t="s">
        <v>2707</v>
      </c>
      <c r="Y142" t="s">
        <v>2708</v>
      </c>
      <c r="Z142" t="s">
        <v>2709</v>
      </c>
      <c r="AA142" t="s">
        <v>2710</v>
      </c>
      <c r="AB142" t="s">
        <v>74</v>
      </c>
      <c r="AC142" t="s">
        <v>2711</v>
      </c>
      <c r="AD142" t="s">
        <v>2712</v>
      </c>
      <c r="AE142" t="s">
        <v>2713</v>
      </c>
      <c r="AF142" t="s">
        <v>74</v>
      </c>
      <c r="AG142">
        <v>19</v>
      </c>
      <c r="AH142">
        <v>1</v>
      </c>
      <c r="AI142">
        <v>1</v>
      </c>
      <c r="AJ142">
        <v>0</v>
      </c>
      <c r="AK142">
        <v>0</v>
      </c>
      <c r="AL142" t="s">
        <v>2289</v>
      </c>
      <c r="AM142" t="s">
        <v>2290</v>
      </c>
      <c r="AN142" t="s">
        <v>2291</v>
      </c>
      <c r="AO142" t="s">
        <v>2631</v>
      </c>
      <c r="AP142" t="s">
        <v>74</v>
      </c>
      <c r="AQ142" t="s">
        <v>74</v>
      </c>
      <c r="AR142" t="s">
        <v>2632</v>
      </c>
      <c r="AS142" t="s">
        <v>2633</v>
      </c>
      <c r="AT142" t="s">
        <v>74</v>
      </c>
      <c r="AU142">
        <v>2019</v>
      </c>
      <c r="AV142">
        <v>231</v>
      </c>
      <c r="AW142" t="s">
        <v>74</v>
      </c>
      <c r="AX142" t="s">
        <v>74</v>
      </c>
      <c r="AY142" t="s">
        <v>74</v>
      </c>
      <c r="AZ142" t="s">
        <v>74</v>
      </c>
      <c r="BA142" t="s">
        <v>74</v>
      </c>
      <c r="BB142" t="s">
        <v>74</v>
      </c>
      <c r="BC142" t="s">
        <v>74</v>
      </c>
      <c r="BD142">
        <v>12054</v>
      </c>
      <c r="BE142" t="s">
        <v>2714</v>
      </c>
      <c r="BF142" t="str">
        <f>HYPERLINK("http://dx.doi.org/10.1088/1755-1315/231/1/012054","http://dx.doi.org/10.1088/1755-1315/231/1/012054")</f>
        <v>http://dx.doi.org/10.1088/1755-1315/231/1/012054</v>
      </c>
      <c r="BG142" t="s">
        <v>74</v>
      </c>
      <c r="BH142" t="s">
        <v>74</v>
      </c>
      <c r="BI142">
        <v>6</v>
      </c>
      <c r="BJ142" t="s">
        <v>2635</v>
      </c>
      <c r="BK142" t="s">
        <v>190</v>
      </c>
      <c r="BL142" t="s">
        <v>2636</v>
      </c>
      <c r="BM142" t="s">
        <v>2637</v>
      </c>
      <c r="BN142" t="s">
        <v>74</v>
      </c>
      <c r="BO142" t="s">
        <v>131</v>
      </c>
      <c r="BP142" t="s">
        <v>74</v>
      </c>
      <c r="BQ142" t="s">
        <v>74</v>
      </c>
      <c r="BR142" t="s">
        <v>104</v>
      </c>
      <c r="BS142" t="s">
        <v>2715</v>
      </c>
      <c r="BT142" t="str">
        <f>HYPERLINK("https%3A%2F%2Fwww.webofscience.com%2Fwos%2Fwoscc%2Ffull-record%2FWOS:000473549100053","View Full Record in Web of Science")</f>
        <v>View Full Record in Web of Science</v>
      </c>
    </row>
    <row r="143" spans="1:72" x14ac:dyDescent="0.15">
      <c r="A143" t="s">
        <v>133</v>
      </c>
      <c r="B143" t="s">
        <v>2716</v>
      </c>
      <c r="C143" t="s">
        <v>74</v>
      </c>
      <c r="D143" t="s">
        <v>2717</v>
      </c>
      <c r="E143" t="s">
        <v>74</v>
      </c>
      <c r="F143" t="s">
        <v>2718</v>
      </c>
      <c r="G143" t="s">
        <v>74</v>
      </c>
      <c r="H143" t="s">
        <v>74</v>
      </c>
      <c r="I143" t="s">
        <v>2719</v>
      </c>
      <c r="J143" t="s">
        <v>2720</v>
      </c>
      <c r="K143" t="s">
        <v>2721</v>
      </c>
      <c r="L143" t="s">
        <v>74</v>
      </c>
      <c r="M143" t="s">
        <v>78</v>
      </c>
      <c r="N143" t="s">
        <v>140</v>
      </c>
      <c r="O143" t="s">
        <v>74</v>
      </c>
      <c r="P143" t="s">
        <v>74</v>
      </c>
      <c r="Q143" t="s">
        <v>74</v>
      </c>
      <c r="R143" t="s">
        <v>74</v>
      </c>
      <c r="S143" t="s">
        <v>74</v>
      </c>
      <c r="T143" t="s">
        <v>2722</v>
      </c>
      <c r="U143" t="s">
        <v>74</v>
      </c>
      <c r="V143" t="s">
        <v>2723</v>
      </c>
      <c r="W143" t="s">
        <v>2724</v>
      </c>
      <c r="X143" t="s">
        <v>74</v>
      </c>
      <c r="Y143" t="s">
        <v>2725</v>
      </c>
      <c r="Z143" t="s">
        <v>74</v>
      </c>
      <c r="AA143" t="s">
        <v>74</v>
      </c>
      <c r="AB143" t="s">
        <v>74</v>
      </c>
      <c r="AC143" t="s">
        <v>74</v>
      </c>
      <c r="AD143" t="s">
        <v>74</v>
      </c>
      <c r="AE143" t="s">
        <v>74</v>
      </c>
      <c r="AF143" t="s">
        <v>74</v>
      </c>
      <c r="AG143">
        <v>30</v>
      </c>
      <c r="AH143">
        <v>9</v>
      </c>
      <c r="AI143">
        <v>9</v>
      </c>
      <c r="AJ143">
        <v>0</v>
      </c>
      <c r="AK143">
        <v>9</v>
      </c>
      <c r="AL143" t="s">
        <v>1203</v>
      </c>
      <c r="AM143" t="s">
        <v>1204</v>
      </c>
      <c r="AN143" t="s">
        <v>1205</v>
      </c>
      <c r="AO143" t="s">
        <v>2726</v>
      </c>
      <c r="AP143" t="s">
        <v>2727</v>
      </c>
      <c r="AQ143" t="s">
        <v>2728</v>
      </c>
      <c r="AR143" t="s">
        <v>2729</v>
      </c>
      <c r="AS143" t="s">
        <v>74</v>
      </c>
      <c r="AT143" t="s">
        <v>74</v>
      </c>
      <c r="AU143">
        <v>2019</v>
      </c>
      <c r="AV143" t="s">
        <v>74</v>
      </c>
      <c r="AW143" t="s">
        <v>74</v>
      </c>
      <c r="AX143" t="s">
        <v>74</v>
      </c>
      <c r="AY143" t="s">
        <v>74</v>
      </c>
      <c r="AZ143" t="s">
        <v>74</v>
      </c>
      <c r="BA143" t="s">
        <v>74</v>
      </c>
      <c r="BB143">
        <v>43</v>
      </c>
      <c r="BC143">
        <v>57</v>
      </c>
      <c r="BD143" t="s">
        <v>74</v>
      </c>
      <c r="BE143" t="s">
        <v>2730</v>
      </c>
      <c r="BF143" t="str">
        <f>HYPERLINK("http://dx.doi.org/10.1007/978-3-030-05523-3_4","http://dx.doi.org/10.1007/978-3-030-05523-3_4")</f>
        <v>http://dx.doi.org/10.1007/978-3-030-05523-3_4</v>
      </c>
      <c r="BG143" t="s">
        <v>2731</v>
      </c>
      <c r="BH143" t="s">
        <v>74</v>
      </c>
      <c r="BI143">
        <v>15</v>
      </c>
      <c r="BJ143" t="s">
        <v>2732</v>
      </c>
      <c r="BK143" t="s">
        <v>2733</v>
      </c>
      <c r="BL143" t="s">
        <v>2732</v>
      </c>
      <c r="BM143" t="s">
        <v>2734</v>
      </c>
      <c r="BN143" t="s">
        <v>74</v>
      </c>
      <c r="BO143" t="s">
        <v>74</v>
      </c>
      <c r="BP143" t="s">
        <v>74</v>
      </c>
      <c r="BQ143" t="s">
        <v>74</v>
      </c>
      <c r="BR143" t="s">
        <v>104</v>
      </c>
      <c r="BS143" t="s">
        <v>2735</v>
      </c>
      <c r="BT143" t="str">
        <f>HYPERLINK("https%3A%2F%2Fwww.webofscience.com%2Fwos%2Fwoscc%2Ffull-record%2FWOS:000468823100005","View Full Record in Web of Science")</f>
        <v>View Full Record in Web of Science</v>
      </c>
    </row>
    <row r="144" spans="1:72" x14ac:dyDescent="0.15">
      <c r="A144" t="s">
        <v>164</v>
      </c>
      <c r="B144" t="s">
        <v>2736</v>
      </c>
      <c r="C144" t="s">
        <v>74</v>
      </c>
      <c r="D144" t="s">
        <v>74</v>
      </c>
      <c r="E144" t="s">
        <v>2614</v>
      </c>
      <c r="F144" t="s">
        <v>2737</v>
      </c>
      <c r="G144" t="s">
        <v>74</v>
      </c>
      <c r="H144" t="s">
        <v>74</v>
      </c>
      <c r="I144" t="s">
        <v>2738</v>
      </c>
      <c r="J144" t="s">
        <v>2739</v>
      </c>
      <c r="K144" t="s">
        <v>2618</v>
      </c>
      <c r="L144" t="s">
        <v>74</v>
      </c>
      <c r="M144" t="s">
        <v>78</v>
      </c>
      <c r="N144" t="s">
        <v>172</v>
      </c>
      <c r="O144" t="s">
        <v>2740</v>
      </c>
      <c r="P144" t="s">
        <v>2741</v>
      </c>
      <c r="Q144" t="s">
        <v>2742</v>
      </c>
      <c r="R144" t="s">
        <v>74</v>
      </c>
      <c r="S144" t="s">
        <v>74</v>
      </c>
      <c r="T144" t="s">
        <v>74</v>
      </c>
      <c r="U144" t="s">
        <v>74</v>
      </c>
      <c r="V144" t="s">
        <v>2743</v>
      </c>
      <c r="W144" t="s">
        <v>2744</v>
      </c>
      <c r="X144" t="s">
        <v>2745</v>
      </c>
      <c r="Y144" t="s">
        <v>2746</v>
      </c>
      <c r="Z144" t="s">
        <v>2747</v>
      </c>
      <c r="AA144" t="s">
        <v>2748</v>
      </c>
      <c r="AB144" t="s">
        <v>74</v>
      </c>
      <c r="AC144" t="s">
        <v>2749</v>
      </c>
      <c r="AD144" t="s">
        <v>2750</v>
      </c>
      <c r="AE144" t="s">
        <v>2751</v>
      </c>
      <c r="AF144" t="s">
        <v>74</v>
      </c>
      <c r="AG144">
        <v>12</v>
      </c>
      <c r="AH144">
        <v>0</v>
      </c>
      <c r="AI144">
        <v>1</v>
      </c>
      <c r="AJ144">
        <v>1</v>
      </c>
      <c r="AK144">
        <v>3</v>
      </c>
      <c r="AL144" t="s">
        <v>2289</v>
      </c>
      <c r="AM144" t="s">
        <v>2290</v>
      </c>
      <c r="AN144" t="s">
        <v>2291</v>
      </c>
      <c r="AO144" t="s">
        <v>2631</v>
      </c>
      <c r="AP144" t="s">
        <v>74</v>
      </c>
      <c r="AQ144" t="s">
        <v>74</v>
      </c>
      <c r="AR144" t="s">
        <v>2632</v>
      </c>
      <c r="AS144" t="s">
        <v>2633</v>
      </c>
      <c r="AT144" t="s">
        <v>74</v>
      </c>
      <c r="AU144">
        <v>2019</v>
      </c>
      <c r="AV144">
        <v>237</v>
      </c>
      <c r="AW144" t="s">
        <v>74</v>
      </c>
      <c r="AX144" t="s">
        <v>74</v>
      </c>
      <c r="AY144" t="s">
        <v>74</v>
      </c>
      <c r="AZ144" t="s">
        <v>74</v>
      </c>
      <c r="BA144" t="s">
        <v>74</v>
      </c>
      <c r="BB144" t="s">
        <v>74</v>
      </c>
      <c r="BC144" t="s">
        <v>74</v>
      </c>
      <c r="BD144">
        <v>32115</v>
      </c>
      <c r="BE144" t="s">
        <v>2752</v>
      </c>
      <c r="BF144" t="str">
        <f>HYPERLINK("http://dx.doi.org/10.1088/1755-1315/237/3/032115","http://dx.doi.org/10.1088/1755-1315/237/3/032115")</f>
        <v>http://dx.doi.org/10.1088/1755-1315/237/3/032115</v>
      </c>
      <c r="BG144" t="s">
        <v>74</v>
      </c>
      <c r="BH144" t="s">
        <v>74</v>
      </c>
      <c r="BI144">
        <v>8</v>
      </c>
      <c r="BJ144" t="s">
        <v>2753</v>
      </c>
      <c r="BK144" t="s">
        <v>190</v>
      </c>
      <c r="BL144" t="s">
        <v>2754</v>
      </c>
      <c r="BM144" t="s">
        <v>2755</v>
      </c>
      <c r="BN144" t="s">
        <v>74</v>
      </c>
      <c r="BO144" t="s">
        <v>131</v>
      </c>
      <c r="BP144" t="s">
        <v>74</v>
      </c>
      <c r="BQ144" t="s">
        <v>74</v>
      </c>
      <c r="BR144" t="s">
        <v>104</v>
      </c>
      <c r="BS144" t="s">
        <v>2756</v>
      </c>
      <c r="BT144" t="str">
        <f>HYPERLINK("https%3A%2F%2Fwww.webofscience.com%2Fwos%2Fwoscc%2Ffull-record%2FWOS:000472788600169","View Full Record in Web of Science")</f>
        <v>View Full Record in Web of Science</v>
      </c>
    </row>
    <row r="145" spans="1:72" x14ac:dyDescent="0.15">
      <c r="A145" t="s">
        <v>72</v>
      </c>
      <c r="B145" t="s">
        <v>2757</v>
      </c>
      <c r="C145" t="s">
        <v>74</v>
      </c>
      <c r="D145" t="s">
        <v>74</v>
      </c>
      <c r="E145" t="s">
        <v>74</v>
      </c>
      <c r="F145" t="s">
        <v>2758</v>
      </c>
      <c r="G145" t="s">
        <v>74</v>
      </c>
      <c r="H145" t="s">
        <v>74</v>
      </c>
      <c r="I145" t="s">
        <v>2759</v>
      </c>
      <c r="J145" t="s">
        <v>433</v>
      </c>
      <c r="K145" t="s">
        <v>74</v>
      </c>
      <c r="L145" t="s">
        <v>74</v>
      </c>
      <c r="M145" t="s">
        <v>78</v>
      </c>
      <c r="N145" t="s">
        <v>79</v>
      </c>
      <c r="O145" t="s">
        <v>74</v>
      </c>
      <c r="P145" t="s">
        <v>74</v>
      </c>
      <c r="Q145" t="s">
        <v>74</v>
      </c>
      <c r="R145" t="s">
        <v>74</v>
      </c>
      <c r="S145" t="s">
        <v>74</v>
      </c>
      <c r="T145" t="s">
        <v>2760</v>
      </c>
      <c r="U145" t="s">
        <v>2761</v>
      </c>
      <c r="V145" t="s">
        <v>2762</v>
      </c>
      <c r="W145" t="s">
        <v>2763</v>
      </c>
      <c r="X145" t="s">
        <v>2764</v>
      </c>
      <c r="Y145" t="s">
        <v>2765</v>
      </c>
      <c r="Z145" t="s">
        <v>2766</v>
      </c>
      <c r="AA145" t="s">
        <v>2767</v>
      </c>
      <c r="AB145" t="s">
        <v>2768</v>
      </c>
      <c r="AC145" t="s">
        <v>2769</v>
      </c>
      <c r="AD145" t="s">
        <v>2770</v>
      </c>
      <c r="AE145" t="s">
        <v>2771</v>
      </c>
      <c r="AF145" t="s">
        <v>74</v>
      </c>
      <c r="AG145">
        <v>49</v>
      </c>
      <c r="AH145">
        <v>16</v>
      </c>
      <c r="AI145">
        <v>16</v>
      </c>
      <c r="AJ145">
        <v>2</v>
      </c>
      <c r="AK145">
        <v>10</v>
      </c>
      <c r="AL145" t="s">
        <v>443</v>
      </c>
      <c r="AM145" t="s">
        <v>444</v>
      </c>
      <c r="AN145" t="s">
        <v>445</v>
      </c>
      <c r="AO145" t="s">
        <v>446</v>
      </c>
      <c r="AP145" t="s">
        <v>447</v>
      </c>
      <c r="AQ145" t="s">
        <v>74</v>
      </c>
      <c r="AR145" t="s">
        <v>448</v>
      </c>
      <c r="AS145" t="s">
        <v>449</v>
      </c>
      <c r="AT145" t="s">
        <v>74</v>
      </c>
      <c r="AU145">
        <v>2019</v>
      </c>
      <c r="AV145">
        <v>40</v>
      </c>
      <c r="AW145">
        <v>2</v>
      </c>
      <c r="AX145" t="s">
        <v>74</v>
      </c>
      <c r="AY145" t="s">
        <v>74</v>
      </c>
      <c r="AZ145" t="s">
        <v>74</v>
      </c>
      <c r="BA145" t="s">
        <v>74</v>
      </c>
      <c r="BB145">
        <v>105</v>
      </c>
      <c r="BC145">
        <v>120</v>
      </c>
      <c r="BD145" t="s">
        <v>74</v>
      </c>
      <c r="BE145" t="s">
        <v>2772</v>
      </c>
      <c r="BF145" t="str">
        <f>HYPERLINK("http://dx.doi.org/10.24425/ppr.2019.128369","http://dx.doi.org/10.24425/ppr.2019.128369")</f>
        <v>http://dx.doi.org/10.24425/ppr.2019.128369</v>
      </c>
      <c r="BG145" t="s">
        <v>74</v>
      </c>
      <c r="BH145" t="s">
        <v>74</v>
      </c>
      <c r="BI145">
        <v>16</v>
      </c>
      <c r="BJ145" t="s">
        <v>451</v>
      </c>
      <c r="BK145" t="s">
        <v>101</v>
      </c>
      <c r="BL145" t="s">
        <v>452</v>
      </c>
      <c r="BM145" t="s">
        <v>2773</v>
      </c>
      <c r="BN145" t="s">
        <v>74</v>
      </c>
      <c r="BO145" t="s">
        <v>131</v>
      </c>
      <c r="BP145" t="s">
        <v>74</v>
      </c>
      <c r="BQ145" t="s">
        <v>74</v>
      </c>
      <c r="BR145" t="s">
        <v>104</v>
      </c>
      <c r="BS145" t="s">
        <v>2774</v>
      </c>
      <c r="BT145" t="str">
        <f>HYPERLINK("https%3A%2F%2Fwww.webofscience.com%2Fwos%2Fwoscc%2Ffull-record%2FWOS:000473169900003","View Full Record in Web of Science")</f>
        <v>View Full Record in Web of Science</v>
      </c>
    </row>
    <row r="146" spans="1:72" x14ac:dyDescent="0.15">
      <c r="A146" t="s">
        <v>164</v>
      </c>
      <c r="B146" t="s">
        <v>2775</v>
      </c>
      <c r="C146" t="s">
        <v>74</v>
      </c>
      <c r="D146" t="s">
        <v>2776</v>
      </c>
      <c r="E146" t="s">
        <v>74</v>
      </c>
      <c r="F146" t="s">
        <v>2777</v>
      </c>
      <c r="G146" t="s">
        <v>74</v>
      </c>
      <c r="H146" t="s">
        <v>74</v>
      </c>
      <c r="I146" t="s">
        <v>2778</v>
      </c>
      <c r="J146" t="s">
        <v>2779</v>
      </c>
      <c r="K146" t="s">
        <v>2780</v>
      </c>
      <c r="L146" t="s">
        <v>74</v>
      </c>
      <c r="M146" t="s">
        <v>78</v>
      </c>
      <c r="N146" t="s">
        <v>172</v>
      </c>
      <c r="O146" t="s">
        <v>2781</v>
      </c>
      <c r="P146" t="s">
        <v>2782</v>
      </c>
      <c r="Q146" t="s">
        <v>2783</v>
      </c>
      <c r="R146" t="s">
        <v>74</v>
      </c>
      <c r="S146" t="s">
        <v>74</v>
      </c>
      <c r="T146" t="s">
        <v>74</v>
      </c>
      <c r="U146" t="s">
        <v>2784</v>
      </c>
      <c r="V146" t="s">
        <v>2785</v>
      </c>
      <c r="W146" t="s">
        <v>2786</v>
      </c>
      <c r="X146" t="s">
        <v>2787</v>
      </c>
      <c r="Y146" t="s">
        <v>2788</v>
      </c>
      <c r="Z146" t="s">
        <v>2789</v>
      </c>
      <c r="AA146" t="s">
        <v>2790</v>
      </c>
      <c r="AB146" t="s">
        <v>2791</v>
      </c>
      <c r="AC146" t="s">
        <v>2792</v>
      </c>
      <c r="AD146" t="s">
        <v>2793</v>
      </c>
      <c r="AE146" t="s">
        <v>2794</v>
      </c>
      <c r="AF146" t="s">
        <v>74</v>
      </c>
      <c r="AG146">
        <v>19</v>
      </c>
      <c r="AH146">
        <v>0</v>
      </c>
      <c r="AI146">
        <v>0</v>
      </c>
      <c r="AJ146">
        <v>0</v>
      </c>
      <c r="AK146">
        <v>3</v>
      </c>
      <c r="AL146" t="s">
        <v>2795</v>
      </c>
      <c r="AM146" t="s">
        <v>2796</v>
      </c>
      <c r="AN146" t="s">
        <v>2797</v>
      </c>
      <c r="AO146" t="s">
        <v>2798</v>
      </c>
      <c r="AP146" t="s">
        <v>74</v>
      </c>
      <c r="AQ146" t="s">
        <v>2799</v>
      </c>
      <c r="AR146" t="s">
        <v>2800</v>
      </c>
      <c r="AS146" t="s">
        <v>74</v>
      </c>
      <c r="AT146" t="s">
        <v>74</v>
      </c>
      <c r="AU146">
        <v>2019</v>
      </c>
      <c r="AV146">
        <v>2075</v>
      </c>
      <c r="AW146" t="s">
        <v>74</v>
      </c>
      <c r="AX146" t="s">
        <v>74</v>
      </c>
      <c r="AY146" t="s">
        <v>74</v>
      </c>
      <c r="AZ146" t="s">
        <v>74</v>
      </c>
      <c r="BA146" t="s">
        <v>74</v>
      </c>
      <c r="BB146" t="s">
        <v>74</v>
      </c>
      <c r="BC146" t="s">
        <v>74</v>
      </c>
      <c r="BD146">
        <v>120022</v>
      </c>
      <c r="BE146" t="s">
        <v>2801</v>
      </c>
      <c r="BF146" t="str">
        <f>HYPERLINK("http://dx.doi.org/10.1063/1.5091280","http://dx.doi.org/10.1063/1.5091280")</f>
        <v>http://dx.doi.org/10.1063/1.5091280</v>
      </c>
      <c r="BG146" t="s">
        <v>74</v>
      </c>
      <c r="BH146" t="s">
        <v>74</v>
      </c>
      <c r="BI146">
        <v>6</v>
      </c>
      <c r="BJ146" t="s">
        <v>2448</v>
      </c>
      <c r="BK146" t="s">
        <v>190</v>
      </c>
      <c r="BL146" t="s">
        <v>2449</v>
      </c>
      <c r="BM146" t="s">
        <v>2802</v>
      </c>
      <c r="BN146" t="s">
        <v>74</v>
      </c>
      <c r="BO146" t="s">
        <v>74</v>
      </c>
      <c r="BP146" t="s">
        <v>74</v>
      </c>
      <c r="BQ146" t="s">
        <v>74</v>
      </c>
      <c r="BR146" t="s">
        <v>104</v>
      </c>
      <c r="BS146" t="s">
        <v>2803</v>
      </c>
      <c r="BT146" t="str">
        <f>HYPERLINK("https%3A%2F%2Fwww.webofscience.com%2Fwos%2Fwoscc%2Ffull-record%2FWOS:000472653800163","View Full Record in Web of Science")</f>
        <v>View Full Record in Web of Science</v>
      </c>
    </row>
    <row r="147" spans="1:72" x14ac:dyDescent="0.15">
      <c r="A147" t="s">
        <v>133</v>
      </c>
      <c r="B147" t="s">
        <v>2804</v>
      </c>
      <c r="C147" t="s">
        <v>74</v>
      </c>
      <c r="D147" t="s">
        <v>2805</v>
      </c>
      <c r="E147" t="s">
        <v>74</v>
      </c>
      <c r="F147" t="s">
        <v>2806</v>
      </c>
      <c r="G147" t="s">
        <v>74</v>
      </c>
      <c r="H147" t="s">
        <v>74</v>
      </c>
      <c r="I147" t="s">
        <v>2807</v>
      </c>
      <c r="J147" t="s">
        <v>2808</v>
      </c>
      <c r="K147" t="s">
        <v>2809</v>
      </c>
      <c r="L147" t="s">
        <v>74</v>
      </c>
      <c r="M147" t="s">
        <v>78</v>
      </c>
      <c r="N147" t="s">
        <v>140</v>
      </c>
      <c r="O147" t="s">
        <v>74</v>
      </c>
      <c r="P147" t="s">
        <v>74</v>
      </c>
      <c r="Q147" t="s">
        <v>74</v>
      </c>
      <c r="R147" t="s">
        <v>74</v>
      </c>
      <c r="S147" t="s">
        <v>74</v>
      </c>
      <c r="T147" t="s">
        <v>74</v>
      </c>
      <c r="U147" t="s">
        <v>2810</v>
      </c>
      <c r="V147" t="s">
        <v>2811</v>
      </c>
      <c r="W147" t="s">
        <v>2812</v>
      </c>
      <c r="X147" t="s">
        <v>2813</v>
      </c>
      <c r="Y147" t="s">
        <v>2814</v>
      </c>
      <c r="Z147" t="s">
        <v>2815</v>
      </c>
      <c r="AA147" t="s">
        <v>2816</v>
      </c>
      <c r="AB147" t="s">
        <v>2817</v>
      </c>
      <c r="AC147" t="s">
        <v>2818</v>
      </c>
      <c r="AD147" t="s">
        <v>2819</v>
      </c>
      <c r="AE147" t="s">
        <v>74</v>
      </c>
      <c r="AF147" t="s">
        <v>74</v>
      </c>
      <c r="AG147">
        <v>126</v>
      </c>
      <c r="AH147">
        <v>5</v>
      </c>
      <c r="AI147">
        <v>5</v>
      </c>
      <c r="AJ147">
        <v>0</v>
      </c>
      <c r="AK147">
        <v>1</v>
      </c>
      <c r="AL147" t="s">
        <v>2820</v>
      </c>
      <c r="AM147" t="s">
        <v>2821</v>
      </c>
      <c r="AN147" t="s">
        <v>2822</v>
      </c>
      <c r="AO147" t="s">
        <v>2823</v>
      </c>
      <c r="AP147" t="s">
        <v>74</v>
      </c>
      <c r="AQ147" t="s">
        <v>2824</v>
      </c>
      <c r="AR147" t="s">
        <v>2825</v>
      </c>
      <c r="AS147" t="s">
        <v>2826</v>
      </c>
      <c r="AT147" t="s">
        <v>74</v>
      </c>
      <c r="AU147">
        <v>2019</v>
      </c>
      <c r="AV147">
        <v>475</v>
      </c>
      <c r="AW147" t="s">
        <v>74</v>
      </c>
      <c r="AX147" t="s">
        <v>74</v>
      </c>
      <c r="AY147" t="s">
        <v>74</v>
      </c>
      <c r="AZ147" t="s">
        <v>74</v>
      </c>
      <c r="BA147" t="s">
        <v>74</v>
      </c>
      <c r="BB147">
        <v>203</v>
      </c>
      <c r="BC147" t="s">
        <v>642</v>
      </c>
      <c r="BD147" t="s">
        <v>74</v>
      </c>
      <c r="BE147" t="s">
        <v>2827</v>
      </c>
      <c r="BF147" t="str">
        <f>HYPERLINK("http://dx.doi.org/10.1144/SP475.7","http://dx.doi.org/10.1144/SP475.7")</f>
        <v>http://dx.doi.org/10.1144/SP475.7</v>
      </c>
      <c r="BG147" t="s">
        <v>74</v>
      </c>
      <c r="BH147" t="s">
        <v>74</v>
      </c>
      <c r="BI147">
        <v>6</v>
      </c>
      <c r="BJ147" t="s">
        <v>528</v>
      </c>
      <c r="BK147" t="s">
        <v>159</v>
      </c>
      <c r="BL147" t="s">
        <v>528</v>
      </c>
      <c r="BM147" t="s">
        <v>2828</v>
      </c>
      <c r="BN147" t="s">
        <v>74</v>
      </c>
      <c r="BO147" t="s">
        <v>404</v>
      </c>
      <c r="BP147" t="s">
        <v>74</v>
      </c>
      <c r="BQ147" t="s">
        <v>74</v>
      </c>
      <c r="BR147" t="s">
        <v>104</v>
      </c>
      <c r="BS147" t="s">
        <v>2829</v>
      </c>
      <c r="BT147" t="str">
        <f>HYPERLINK("https%3A%2F%2Fwww.webofscience.com%2Fwos%2Fwoscc%2Ffull-record%2FWOS:000473224700010","View Full Record in Web of Science")</f>
        <v>View Full Record in Web of Science</v>
      </c>
    </row>
    <row r="148" spans="1:72" x14ac:dyDescent="0.15">
      <c r="A148" t="s">
        <v>133</v>
      </c>
      <c r="B148" t="s">
        <v>2830</v>
      </c>
      <c r="C148" t="s">
        <v>74</v>
      </c>
      <c r="D148" t="s">
        <v>2805</v>
      </c>
      <c r="E148" t="s">
        <v>74</v>
      </c>
      <c r="F148" t="s">
        <v>2831</v>
      </c>
      <c r="G148" t="s">
        <v>74</v>
      </c>
      <c r="H148" t="s">
        <v>74</v>
      </c>
      <c r="I148" t="s">
        <v>2832</v>
      </c>
      <c r="J148" t="s">
        <v>2808</v>
      </c>
      <c r="K148" t="s">
        <v>2809</v>
      </c>
      <c r="L148" t="s">
        <v>74</v>
      </c>
      <c r="M148" t="s">
        <v>78</v>
      </c>
      <c r="N148" t="s">
        <v>140</v>
      </c>
      <c r="O148" t="s">
        <v>74</v>
      </c>
      <c r="P148" t="s">
        <v>74</v>
      </c>
      <c r="Q148" t="s">
        <v>74</v>
      </c>
      <c r="R148" t="s">
        <v>74</v>
      </c>
      <c r="S148" t="s">
        <v>74</v>
      </c>
      <c r="T148" t="s">
        <v>74</v>
      </c>
      <c r="U148" t="s">
        <v>2833</v>
      </c>
      <c r="V148" t="s">
        <v>2834</v>
      </c>
      <c r="W148" t="s">
        <v>2835</v>
      </c>
      <c r="X148" t="s">
        <v>2836</v>
      </c>
      <c r="Y148" t="s">
        <v>2837</v>
      </c>
      <c r="Z148" t="s">
        <v>2838</v>
      </c>
      <c r="AA148" t="s">
        <v>2839</v>
      </c>
      <c r="AB148" t="s">
        <v>2840</v>
      </c>
      <c r="AC148" t="s">
        <v>74</v>
      </c>
      <c r="AD148" t="s">
        <v>74</v>
      </c>
      <c r="AE148" t="s">
        <v>74</v>
      </c>
      <c r="AF148" t="s">
        <v>74</v>
      </c>
      <c r="AG148">
        <v>71</v>
      </c>
      <c r="AH148">
        <v>16</v>
      </c>
      <c r="AI148">
        <v>16</v>
      </c>
      <c r="AJ148">
        <v>0</v>
      </c>
      <c r="AK148">
        <v>2</v>
      </c>
      <c r="AL148" t="s">
        <v>2820</v>
      </c>
      <c r="AM148" t="s">
        <v>2821</v>
      </c>
      <c r="AN148" t="s">
        <v>2822</v>
      </c>
      <c r="AO148" t="s">
        <v>2823</v>
      </c>
      <c r="AP148" t="s">
        <v>74</v>
      </c>
      <c r="AQ148" t="s">
        <v>2824</v>
      </c>
      <c r="AR148" t="s">
        <v>2825</v>
      </c>
      <c r="AS148" t="s">
        <v>2826</v>
      </c>
      <c r="AT148" t="s">
        <v>74</v>
      </c>
      <c r="AU148">
        <v>2019</v>
      </c>
      <c r="AV148">
        <v>475</v>
      </c>
      <c r="AW148" t="s">
        <v>74</v>
      </c>
      <c r="AX148" t="s">
        <v>74</v>
      </c>
      <c r="AY148" t="s">
        <v>74</v>
      </c>
      <c r="AZ148" t="s">
        <v>74</v>
      </c>
      <c r="BA148" t="s">
        <v>74</v>
      </c>
      <c r="BB148">
        <v>223</v>
      </c>
      <c r="BC148">
        <v>240</v>
      </c>
      <c r="BD148" t="s">
        <v>74</v>
      </c>
      <c r="BE148" t="s">
        <v>2841</v>
      </c>
      <c r="BF148" t="str">
        <f>HYPERLINK("http://dx.doi.org/10.1144/SP475.5","http://dx.doi.org/10.1144/SP475.5")</f>
        <v>http://dx.doi.org/10.1144/SP475.5</v>
      </c>
      <c r="BG148" t="s">
        <v>74</v>
      </c>
      <c r="BH148" t="s">
        <v>74</v>
      </c>
      <c r="BI148">
        <v>18</v>
      </c>
      <c r="BJ148" t="s">
        <v>528</v>
      </c>
      <c r="BK148" t="s">
        <v>159</v>
      </c>
      <c r="BL148" t="s">
        <v>528</v>
      </c>
      <c r="BM148" t="s">
        <v>2828</v>
      </c>
      <c r="BN148" t="s">
        <v>74</v>
      </c>
      <c r="BO148" t="s">
        <v>74</v>
      </c>
      <c r="BP148" t="s">
        <v>74</v>
      </c>
      <c r="BQ148" t="s">
        <v>74</v>
      </c>
      <c r="BR148" t="s">
        <v>104</v>
      </c>
      <c r="BS148" t="s">
        <v>2842</v>
      </c>
      <c r="BT148" t="str">
        <f>HYPERLINK("https%3A%2F%2Fwww.webofscience.com%2Fwos%2Fwoscc%2Ffull-record%2FWOS:000473224700011","View Full Record in Web of Science")</f>
        <v>View Full Record in Web of Science</v>
      </c>
    </row>
    <row r="149" spans="1:72" x14ac:dyDescent="0.15">
      <c r="A149" t="s">
        <v>133</v>
      </c>
      <c r="B149" t="s">
        <v>2843</v>
      </c>
      <c r="C149" t="s">
        <v>74</v>
      </c>
      <c r="D149" t="s">
        <v>2805</v>
      </c>
      <c r="E149" t="s">
        <v>74</v>
      </c>
      <c r="F149" t="s">
        <v>2844</v>
      </c>
      <c r="G149" t="s">
        <v>74</v>
      </c>
      <c r="H149" t="s">
        <v>74</v>
      </c>
      <c r="I149" t="s">
        <v>2845</v>
      </c>
      <c r="J149" t="s">
        <v>2808</v>
      </c>
      <c r="K149" t="s">
        <v>2809</v>
      </c>
      <c r="L149" t="s">
        <v>74</v>
      </c>
      <c r="M149" t="s">
        <v>78</v>
      </c>
      <c r="N149" t="s">
        <v>140</v>
      </c>
      <c r="O149" t="s">
        <v>74</v>
      </c>
      <c r="P149" t="s">
        <v>74</v>
      </c>
      <c r="Q149" t="s">
        <v>74</v>
      </c>
      <c r="R149" t="s">
        <v>74</v>
      </c>
      <c r="S149" t="s">
        <v>74</v>
      </c>
      <c r="T149" t="s">
        <v>74</v>
      </c>
      <c r="U149" t="s">
        <v>2846</v>
      </c>
      <c r="V149" t="s">
        <v>2847</v>
      </c>
      <c r="W149" t="s">
        <v>2848</v>
      </c>
      <c r="X149" t="s">
        <v>2849</v>
      </c>
      <c r="Y149" t="s">
        <v>2850</v>
      </c>
      <c r="Z149" t="s">
        <v>2851</v>
      </c>
      <c r="AA149" t="s">
        <v>2852</v>
      </c>
      <c r="AB149" t="s">
        <v>2853</v>
      </c>
      <c r="AC149" t="s">
        <v>2818</v>
      </c>
      <c r="AD149" t="s">
        <v>2819</v>
      </c>
      <c r="AE149" t="s">
        <v>74</v>
      </c>
      <c r="AF149" t="s">
        <v>74</v>
      </c>
      <c r="AG149">
        <v>134</v>
      </c>
      <c r="AH149">
        <v>6</v>
      </c>
      <c r="AI149">
        <v>6</v>
      </c>
      <c r="AJ149">
        <v>0</v>
      </c>
      <c r="AK149">
        <v>1</v>
      </c>
      <c r="AL149" t="s">
        <v>2820</v>
      </c>
      <c r="AM149" t="s">
        <v>2821</v>
      </c>
      <c r="AN149" t="s">
        <v>2822</v>
      </c>
      <c r="AO149" t="s">
        <v>2823</v>
      </c>
      <c r="AP149" t="s">
        <v>74</v>
      </c>
      <c r="AQ149" t="s">
        <v>2824</v>
      </c>
      <c r="AR149" t="s">
        <v>2825</v>
      </c>
      <c r="AS149" t="s">
        <v>2826</v>
      </c>
      <c r="AT149" t="s">
        <v>74</v>
      </c>
      <c r="AU149">
        <v>2019</v>
      </c>
      <c r="AV149">
        <v>475</v>
      </c>
      <c r="AW149" t="s">
        <v>74</v>
      </c>
      <c r="AX149" t="s">
        <v>74</v>
      </c>
      <c r="AY149" t="s">
        <v>74</v>
      </c>
      <c r="AZ149" t="s">
        <v>74</v>
      </c>
      <c r="BA149" t="s">
        <v>74</v>
      </c>
      <c r="BB149">
        <v>261</v>
      </c>
      <c r="BC149">
        <v>279</v>
      </c>
      <c r="BD149" t="s">
        <v>74</v>
      </c>
      <c r="BE149" t="s">
        <v>2854</v>
      </c>
      <c r="BF149" t="str">
        <f>HYPERLINK("http://dx.doi.org/10.1144/SP475.13","http://dx.doi.org/10.1144/SP475.13")</f>
        <v>http://dx.doi.org/10.1144/SP475.13</v>
      </c>
      <c r="BG149" t="s">
        <v>74</v>
      </c>
      <c r="BH149" t="s">
        <v>74</v>
      </c>
      <c r="BI149">
        <v>19</v>
      </c>
      <c r="BJ149" t="s">
        <v>528</v>
      </c>
      <c r="BK149" t="s">
        <v>159</v>
      </c>
      <c r="BL149" t="s">
        <v>528</v>
      </c>
      <c r="BM149" t="s">
        <v>2828</v>
      </c>
      <c r="BN149" t="s">
        <v>74</v>
      </c>
      <c r="BO149" t="s">
        <v>404</v>
      </c>
      <c r="BP149" t="s">
        <v>74</v>
      </c>
      <c r="BQ149" t="s">
        <v>74</v>
      </c>
      <c r="BR149" t="s">
        <v>104</v>
      </c>
      <c r="BS149" t="s">
        <v>2855</v>
      </c>
      <c r="BT149" t="str">
        <f>HYPERLINK("https%3A%2F%2Fwww.webofscience.com%2Fwos%2Fwoscc%2Ffull-record%2FWOS:000473224700013","View Full Record in Web of Science")</f>
        <v>View Full Record in Web of Science</v>
      </c>
    </row>
    <row r="150" spans="1:72" x14ac:dyDescent="0.15">
      <c r="A150" t="s">
        <v>72</v>
      </c>
      <c r="B150" t="s">
        <v>2856</v>
      </c>
      <c r="C150" t="s">
        <v>74</v>
      </c>
      <c r="D150" t="s">
        <v>74</v>
      </c>
      <c r="E150" t="s">
        <v>74</v>
      </c>
      <c r="F150" t="s">
        <v>2857</v>
      </c>
      <c r="G150" t="s">
        <v>74</v>
      </c>
      <c r="H150" t="s">
        <v>74</v>
      </c>
      <c r="I150" t="s">
        <v>2858</v>
      </c>
      <c r="J150" t="s">
        <v>2859</v>
      </c>
      <c r="K150" t="s">
        <v>74</v>
      </c>
      <c r="L150" t="s">
        <v>74</v>
      </c>
      <c r="M150" t="s">
        <v>1002</v>
      </c>
      <c r="N150" t="s">
        <v>79</v>
      </c>
      <c r="O150" t="s">
        <v>74</v>
      </c>
      <c r="P150" t="s">
        <v>74</v>
      </c>
      <c r="Q150" t="s">
        <v>74</v>
      </c>
      <c r="R150" t="s">
        <v>74</v>
      </c>
      <c r="S150" t="s">
        <v>74</v>
      </c>
      <c r="T150" t="s">
        <v>2860</v>
      </c>
      <c r="U150" t="s">
        <v>2861</v>
      </c>
      <c r="V150" t="s">
        <v>2862</v>
      </c>
      <c r="W150" t="s">
        <v>2863</v>
      </c>
      <c r="X150" t="s">
        <v>2864</v>
      </c>
      <c r="Y150" t="s">
        <v>2865</v>
      </c>
      <c r="Z150" t="s">
        <v>2866</v>
      </c>
      <c r="AA150" t="s">
        <v>2867</v>
      </c>
      <c r="AB150" t="s">
        <v>2868</v>
      </c>
      <c r="AC150" t="s">
        <v>74</v>
      </c>
      <c r="AD150" t="s">
        <v>74</v>
      </c>
      <c r="AE150" t="s">
        <v>74</v>
      </c>
      <c r="AF150" t="s">
        <v>74</v>
      </c>
      <c r="AG150">
        <v>35</v>
      </c>
      <c r="AH150">
        <v>1</v>
      </c>
      <c r="AI150">
        <v>1</v>
      </c>
      <c r="AJ150">
        <v>0</v>
      </c>
      <c r="AK150">
        <v>2</v>
      </c>
      <c r="AL150" t="s">
        <v>1013</v>
      </c>
      <c r="AM150" t="s">
        <v>2869</v>
      </c>
      <c r="AN150" t="s">
        <v>2870</v>
      </c>
      <c r="AO150" t="s">
        <v>2871</v>
      </c>
      <c r="AP150" t="s">
        <v>2872</v>
      </c>
      <c r="AQ150" t="s">
        <v>74</v>
      </c>
      <c r="AR150" t="s">
        <v>2873</v>
      </c>
      <c r="AS150" t="s">
        <v>2874</v>
      </c>
      <c r="AT150" t="s">
        <v>74</v>
      </c>
      <c r="AU150">
        <v>2019</v>
      </c>
      <c r="AV150">
        <v>49</v>
      </c>
      <c r="AW150">
        <v>5</v>
      </c>
      <c r="AX150" t="s">
        <v>74</v>
      </c>
      <c r="AY150" t="s">
        <v>74</v>
      </c>
      <c r="AZ150" t="s">
        <v>74</v>
      </c>
      <c r="BA150" t="s">
        <v>74</v>
      </c>
      <c r="BB150" t="s">
        <v>74</v>
      </c>
      <c r="BC150" t="s">
        <v>74</v>
      </c>
      <c r="BD150">
        <v>59501</v>
      </c>
      <c r="BE150" t="s">
        <v>2875</v>
      </c>
      <c r="BF150" t="str">
        <f>HYPERLINK("http://dx.doi.org/10.1360/SSPMA2018-00249","http://dx.doi.org/10.1360/SSPMA2018-00249")</f>
        <v>http://dx.doi.org/10.1360/SSPMA2018-00249</v>
      </c>
      <c r="BG150" t="s">
        <v>74</v>
      </c>
      <c r="BH150" t="s">
        <v>74</v>
      </c>
      <c r="BI150">
        <v>10</v>
      </c>
      <c r="BJ150" t="s">
        <v>2296</v>
      </c>
      <c r="BK150" t="s">
        <v>349</v>
      </c>
      <c r="BL150" t="s">
        <v>2297</v>
      </c>
      <c r="BM150" t="s">
        <v>2876</v>
      </c>
      <c r="BN150" t="s">
        <v>74</v>
      </c>
      <c r="BO150" t="s">
        <v>162</v>
      </c>
      <c r="BP150" t="s">
        <v>74</v>
      </c>
      <c r="BQ150" t="s">
        <v>74</v>
      </c>
      <c r="BR150" t="s">
        <v>104</v>
      </c>
      <c r="BS150" t="s">
        <v>2877</v>
      </c>
      <c r="BT150" t="str">
        <f>HYPERLINK("https%3A%2F%2Fwww.webofscience.com%2Fwos%2Fwoscc%2Ffull-record%2FWOS:000472657900001","View Full Record in Web of Science")</f>
        <v>View Full Record in Web of Science</v>
      </c>
    </row>
    <row r="151" spans="1:72" x14ac:dyDescent="0.15">
      <c r="A151" t="s">
        <v>72</v>
      </c>
      <c r="B151" t="s">
        <v>2878</v>
      </c>
      <c r="C151" t="s">
        <v>74</v>
      </c>
      <c r="D151" t="s">
        <v>74</v>
      </c>
      <c r="E151" t="s">
        <v>74</v>
      </c>
      <c r="F151" t="s">
        <v>2879</v>
      </c>
      <c r="G151" t="s">
        <v>74</v>
      </c>
      <c r="H151" t="s">
        <v>74</v>
      </c>
      <c r="I151" t="s">
        <v>2880</v>
      </c>
      <c r="J151" t="s">
        <v>862</v>
      </c>
      <c r="K151" t="s">
        <v>74</v>
      </c>
      <c r="L151" t="s">
        <v>74</v>
      </c>
      <c r="M151" t="s">
        <v>863</v>
      </c>
      <c r="N151" t="s">
        <v>79</v>
      </c>
      <c r="O151" t="s">
        <v>74</v>
      </c>
      <c r="P151" t="s">
        <v>74</v>
      </c>
      <c r="Q151" t="s">
        <v>74</v>
      </c>
      <c r="R151" t="s">
        <v>74</v>
      </c>
      <c r="S151" t="s">
        <v>74</v>
      </c>
      <c r="T151" t="s">
        <v>2881</v>
      </c>
      <c r="U151" t="s">
        <v>2882</v>
      </c>
      <c r="V151" t="s">
        <v>2883</v>
      </c>
      <c r="W151" t="s">
        <v>2884</v>
      </c>
      <c r="X151" t="s">
        <v>893</v>
      </c>
      <c r="Y151" t="s">
        <v>2885</v>
      </c>
      <c r="Z151" t="s">
        <v>2886</v>
      </c>
      <c r="AA151" t="s">
        <v>2887</v>
      </c>
      <c r="AB151" t="s">
        <v>2888</v>
      </c>
      <c r="AC151" t="s">
        <v>2889</v>
      </c>
      <c r="AD151" t="s">
        <v>2890</v>
      </c>
      <c r="AE151" t="s">
        <v>2891</v>
      </c>
      <c r="AF151" t="s">
        <v>74</v>
      </c>
      <c r="AG151">
        <v>19</v>
      </c>
      <c r="AH151">
        <v>3</v>
      </c>
      <c r="AI151">
        <v>5</v>
      </c>
      <c r="AJ151">
        <v>2</v>
      </c>
      <c r="AK151">
        <v>11</v>
      </c>
      <c r="AL151" t="s">
        <v>876</v>
      </c>
      <c r="AM151" t="s">
        <v>877</v>
      </c>
      <c r="AN151" t="s">
        <v>878</v>
      </c>
      <c r="AO151" t="s">
        <v>879</v>
      </c>
      <c r="AP151" t="s">
        <v>880</v>
      </c>
      <c r="AQ151" t="s">
        <v>74</v>
      </c>
      <c r="AR151" t="s">
        <v>881</v>
      </c>
      <c r="AS151" t="s">
        <v>882</v>
      </c>
      <c r="AT151" t="s">
        <v>74</v>
      </c>
      <c r="AU151">
        <v>2019</v>
      </c>
      <c r="AV151">
        <v>59</v>
      </c>
      <c r="AW151">
        <v>2</v>
      </c>
      <c r="AX151" t="s">
        <v>74</v>
      </c>
      <c r="AY151" t="s">
        <v>74</v>
      </c>
      <c r="AZ151" t="s">
        <v>74</v>
      </c>
      <c r="BA151" t="s">
        <v>74</v>
      </c>
      <c r="BB151">
        <v>213</v>
      </c>
      <c r="BC151">
        <v>221</v>
      </c>
      <c r="BD151" t="s">
        <v>74</v>
      </c>
      <c r="BE151" t="s">
        <v>2892</v>
      </c>
      <c r="BF151" t="str">
        <f>HYPERLINK("http://dx.doi.org/10.15356/2076-6734-2019-2-412","http://dx.doi.org/10.15356/2076-6734-2019-2-412")</f>
        <v>http://dx.doi.org/10.15356/2076-6734-2019-2-412</v>
      </c>
      <c r="BG151" t="s">
        <v>74</v>
      </c>
      <c r="BH151" t="s">
        <v>74</v>
      </c>
      <c r="BI151">
        <v>9</v>
      </c>
      <c r="BJ151" t="s">
        <v>884</v>
      </c>
      <c r="BK151" t="s">
        <v>349</v>
      </c>
      <c r="BL151" t="s">
        <v>528</v>
      </c>
      <c r="BM151" t="s">
        <v>2893</v>
      </c>
      <c r="BN151" t="s">
        <v>74</v>
      </c>
      <c r="BO151" t="s">
        <v>74</v>
      </c>
      <c r="BP151" t="s">
        <v>74</v>
      </c>
      <c r="BQ151" t="s">
        <v>74</v>
      </c>
      <c r="BR151" t="s">
        <v>104</v>
      </c>
      <c r="BS151" t="s">
        <v>2894</v>
      </c>
      <c r="BT151" t="str">
        <f>HYPERLINK("https%3A%2F%2Fwww.webofscience.com%2Fwos%2Fwoscc%2Ffull-record%2FWOS:000471025700007","View Full Record in Web of Science")</f>
        <v>View Full Record in Web of Science</v>
      </c>
    </row>
    <row r="152" spans="1:72" x14ac:dyDescent="0.15">
      <c r="A152" t="s">
        <v>72</v>
      </c>
      <c r="B152" t="s">
        <v>2895</v>
      </c>
      <c r="C152" t="s">
        <v>74</v>
      </c>
      <c r="D152" t="s">
        <v>74</v>
      </c>
      <c r="E152" t="s">
        <v>74</v>
      </c>
      <c r="F152" t="s">
        <v>2896</v>
      </c>
      <c r="G152" t="s">
        <v>74</v>
      </c>
      <c r="H152" t="s">
        <v>74</v>
      </c>
      <c r="I152" t="s">
        <v>2897</v>
      </c>
      <c r="J152" t="s">
        <v>862</v>
      </c>
      <c r="K152" t="s">
        <v>74</v>
      </c>
      <c r="L152" t="s">
        <v>74</v>
      </c>
      <c r="M152" t="s">
        <v>863</v>
      </c>
      <c r="N152" t="s">
        <v>79</v>
      </c>
      <c r="O152" t="s">
        <v>74</v>
      </c>
      <c r="P152" t="s">
        <v>74</v>
      </c>
      <c r="Q152" t="s">
        <v>74</v>
      </c>
      <c r="R152" t="s">
        <v>74</v>
      </c>
      <c r="S152" t="s">
        <v>74</v>
      </c>
      <c r="T152" t="s">
        <v>2898</v>
      </c>
      <c r="U152" t="s">
        <v>2899</v>
      </c>
      <c r="V152" t="s">
        <v>2900</v>
      </c>
      <c r="W152" t="s">
        <v>2901</v>
      </c>
      <c r="X152" t="s">
        <v>2902</v>
      </c>
      <c r="Y152" t="s">
        <v>2903</v>
      </c>
      <c r="Z152" t="s">
        <v>2904</v>
      </c>
      <c r="AA152" t="s">
        <v>2905</v>
      </c>
      <c r="AB152" t="s">
        <v>2906</v>
      </c>
      <c r="AC152" t="s">
        <v>2680</v>
      </c>
      <c r="AD152" t="s">
        <v>2681</v>
      </c>
      <c r="AE152" t="s">
        <v>2907</v>
      </c>
      <c r="AF152" t="s">
        <v>74</v>
      </c>
      <c r="AG152">
        <v>14</v>
      </c>
      <c r="AH152">
        <v>1</v>
      </c>
      <c r="AI152">
        <v>1</v>
      </c>
      <c r="AJ152">
        <v>0</v>
      </c>
      <c r="AK152">
        <v>0</v>
      </c>
      <c r="AL152" t="s">
        <v>876</v>
      </c>
      <c r="AM152" t="s">
        <v>877</v>
      </c>
      <c r="AN152" t="s">
        <v>878</v>
      </c>
      <c r="AO152" t="s">
        <v>879</v>
      </c>
      <c r="AP152" t="s">
        <v>880</v>
      </c>
      <c r="AQ152" t="s">
        <v>74</v>
      </c>
      <c r="AR152" t="s">
        <v>881</v>
      </c>
      <c r="AS152" t="s">
        <v>882</v>
      </c>
      <c r="AT152" t="s">
        <v>74</v>
      </c>
      <c r="AU152">
        <v>2019</v>
      </c>
      <c r="AV152">
        <v>59</v>
      </c>
      <c r="AW152">
        <v>2</v>
      </c>
      <c r="AX152" t="s">
        <v>74</v>
      </c>
      <c r="AY152" t="s">
        <v>74</v>
      </c>
      <c r="AZ152" t="s">
        <v>74</v>
      </c>
      <c r="BA152" t="s">
        <v>74</v>
      </c>
      <c r="BB152">
        <v>222</v>
      </c>
      <c r="BC152">
        <v>232</v>
      </c>
      <c r="BD152" t="s">
        <v>74</v>
      </c>
      <c r="BE152" t="s">
        <v>2908</v>
      </c>
      <c r="BF152" t="str">
        <f>HYPERLINK("http://dx.doi.org/10.15356/2076-6734-2019-2-397","http://dx.doi.org/10.15356/2076-6734-2019-2-397")</f>
        <v>http://dx.doi.org/10.15356/2076-6734-2019-2-397</v>
      </c>
      <c r="BG152" t="s">
        <v>74</v>
      </c>
      <c r="BH152" t="s">
        <v>74</v>
      </c>
      <c r="BI152">
        <v>11</v>
      </c>
      <c r="BJ152" t="s">
        <v>884</v>
      </c>
      <c r="BK152" t="s">
        <v>349</v>
      </c>
      <c r="BL152" t="s">
        <v>528</v>
      </c>
      <c r="BM152" t="s">
        <v>2893</v>
      </c>
      <c r="BN152" t="s">
        <v>74</v>
      </c>
      <c r="BO152" t="s">
        <v>131</v>
      </c>
      <c r="BP152" t="s">
        <v>74</v>
      </c>
      <c r="BQ152" t="s">
        <v>74</v>
      </c>
      <c r="BR152" t="s">
        <v>104</v>
      </c>
      <c r="BS152" t="s">
        <v>2909</v>
      </c>
      <c r="BT152" t="str">
        <f>HYPERLINK("https%3A%2F%2Fwww.webofscience.com%2Fwos%2Fwoscc%2Ffull-record%2FWOS:000471025700008","View Full Record in Web of Science")</f>
        <v>View Full Record in Web of Science</v>
      </c>
    </row>
    <row r="153" spans="1:72" x14ac:dyDescent="0.15">
      <c r="A153" t="s">
        <v>164</v>
      </c>
      <c r="B153" t="s">
        <v>2910</v>
      </c>
      <c r="C153" t="s">
        <v>74</v>
      </c>
      <c r="D153" t="s">
        <v>2911</v>
      </c>
      <c r="E153" t="s">
        <v>74</v>
      </c>
      <c r="F153" t="s">
        <v>2912</v>
      </c>
      <c r="G153" t="s">
        <v>74</v>
      </c>
      <c r="H153" t="s">
        <v>74</v>
      </c>
      <c r="I153" t="s">
        <v>2913</v>
      </c>
      <c r="J153" t="s">
        <v>2914</v>
      </c>
      <c r="K153" t="s">
        <v>2809</v>
      </c>
      <c r="L153" t="s">
        <v>74</v>
      </c>
      <c r="M153" t="s">
        <v>78</v>
      </c>
      <c r="N153" t="s">
        <v>172</v>
      </c>
      <c r="O153" t="s">
        <v>2915</v>
      </c>
      <c r="P153" t="s">
        <v>2916</v>
      </c>
      <c r="Q153" t="s">
        <v>2917</v>
      </c>
      <c r="R153" t="s">
        <v>74</v>
      </c>
      <c r="S153" t="s">
        <v>2918</v>
      </c>
      <c r="T153" t="s">
        <v>74</v>
      </c>
      <c r="U153" t="s">
        <v>2919</v>
      </c>
      <c r="V153" t="s">
        <v>2920</v>
      </c>
      <c r="W153" t="s">
        <v>2921</v>
      </c>
      <c r="X153" t="s">
        <v>2922</v>
      </c>
      <c r="Y153" t="s">
        <v>2923</v>
      </c>
      <c r="Z153" t="s">
        <v>2924</v>
      </c>
      <c r="AA153" t="s">
        <v>2925</v>
      </c>
      <c r="AB153" t="s">
        <v>74</v>
      </c>
      <c r="AC153" t="s">
        <v>2926</v>
      </c>
      <c r="AD153" t="s">
        <v>2926</v>
      </c>
      <c r="AE153" t="s">
        <v>2927</v>
      </c>
      <c r="AF153" t="s">
        <v>74</v>
      </c>
      <c r="AG153">
        <v>119</v>
      </c>
      <c r="AH153">
        <v>2</v>
      </c>
      <c r="AI153">
        <v>2</v>
      </c>
      <c r="AJ153">
        <v>0</v>
      </c>
      <c r="AK153">
        <v>2</v>
      </c>
      <c r="AL153" t="s">
        <v>2820</v>
      </c>
      <c r="AM153" t="s">
        <v>2821</v>
      </c>
      <c r="AN153" t="s">
        <v>2822</v>
      </c>
      <c r="AO153" t="s">
        <v>2823</v>
      </c>
      <c r="AP153" t="s">
        <v>74</v>
      </c>
      <c r="AQ153" t="s">
        <v>2928</v>
      </c>
      <c r="AR153" t="s">
        <v>2825</v>
      </c>
      <c r="AS153" t="s">
        <v>2826</v>
      </c>
      <c r="AT153" t="s">
        <v>74</v>
      </c>
      <c r="AU153">
        <v>2019</v>
      </c>
      <c r="AV153">
        <v>467</v>
      </c>
      <c r="AW153" t="s">
        <v>74</v>
      </c>
      <c r="AX153" t="s">
        <v>74</v>
      </c>
      <c r="AY153" t="s">
        <v>74</v>
      </c>
      <c r="AZ153" t="s">
        <v>74</v>
      </c>
      <c r="BA153" t="s">
        <v>74</v>
      </c>
      <c r="BB153">
        <v>267</v>
      </c>
      <c r="BC153">
        <v>287</v>
      </c>
      <c r="BD153" t="s">
        <v>74</v>
      </c>
      <c r="BE153" t="s">
        <v>2929</v>
      </c>
      <c r="BF153" t="str">
        <f>HYPERLINK("http://dx.doi.org/10.1144/SP467.12","http://dx.doi.org/10.1144/SP467.12")</f>
        <v>http://dx.doi.org/10.1144/SP467.12</v>
      </c>
      <c r="BG153" t="s">
        <v>74</v>
      </c>
      <c r="BH153" t="s">
        <v>74</v>
      </c>
      <c r="BI153">
        <v>21</v>
      </c>
      <c r="BJ153" t="s">
        <v>2930</v>
      </c>
      <c r="BK153" t="s">
        <v>190</v>
      </c>
      <c r="BL153" t="s">
        <v>2931</v>
      </c>
      <c r="BM153" t="s">
        <v>2932</v>
      </c>
      <c r="BN153" t="s">
        <v>74</v>
      </c>
      <c r="BO153" t="s">
        <v>74</v>
      </c>
      <c r="BP153" t="s">
        <v>74</v>
      </c>
      <c r="BQ153" t="s">
        <v>74</v>
      </c>
      <c r="BR153" t="s">
        <v>104</v>
      </c>
      <c r="BS153" t="s">
        <v>2933</v>
      </c>
      <c r="BT153" t="str">
        <f>HYPERLINK("https%3A%2F%2Fwww.webofscience.com%2Fwos%2Fwoscc%2Ffull-record%2FWOS:000470918500012","View Full Record in Web of Science")</f>
        <v>View Full Record in Web of Science</v>
      </c>
    </row>
    <row r="154" spans="1:72" x14ac:dyDescent="0.15">
      <c r="A154" t="s">
        <v>164</v>
      </c>
      <c r="B154" t="s">
        <v>2934</v>
      </c>
      <c r="C154" t="s">
        <v>74</v>
      </c>
      <c r="D154" t="s">
        <v>2911</v>
      </c>
      <c r="E154" t="s">
        <v>74</v>
      </c>
      <c r="F154" t="s">
        <v>2935</v>
      </c>
      <c r="G154" t="s">
        <v>74</v>
      </c>
      <c r="H154" t="s">
        <v>74</v>
      </c>
      <c r="I154" t="s">
        <v>2936</v>
      </c>
      <c r="J154" t="s">
        <v>2914</v>
      </c>
      <c r="K154" t="s">
        <v>2809</v>
      </c>
      <c r="L154" t="s">
        <v>74</v>
      </c>
      <c r="M154" t="s">
        <v>78</v>
      </c>
      <c r="N154" t="s">
        <v>172</v>
      </c>
      <c r="O154" t="s">
        <v>2915</v>
      </c>
      <c r="P154" t="s">
        <v>2916</v>
      </c>
      <c r="Q154" t="s">
        <v>2917</v>
      </c>
      <c r="R154" t="s">
        <v>74</v>
      </c>
      <c r="S154" t="s">
        <v>2918</v>
      </c>
      <c r="T154" t="s">
        <v>74</v>
      </c>
      <c r="U154" t="s">
        <v>2937</v>
      </c>
      <c r="V154" t="s">
        <v>2938</v>
      </c>
      <c r="W154" t="s">
        <v>2939</v>
      </c>
      <c r="X154" t="s">
        <v>2940</v>
      </c>
      <c r="Y154" t="s">
        <v>2941</v>
      </c>
      <c r="Z154" t="s">
        <v>2942</v>
      </c>
      <c r="AA154" t="s">
        <v>74</v>
      </c>
      <c r="AB154" t="s">
        <v>2943</v>
      </c>
      <c r="AC154" t="s">
        <v>2944</v>
      </c>
      <c r="AD154" t="s">
        <v>2945</v>
      </c>
      <c r="AE154" t="s">
        <v>2946</v>
      </c>
      <c r="AF154" t="s">
        <v>74</v>
      </c>
      <c r="AG154">
        <v>41</v>
      </c>
      <c r="AH154">
        <v>10</v>
      </c>
      <c r="AI154">
        <v>12</v>
      </c>
      <c r="AJ154">
        <v>0</v>
      </c>
      <c r="AK154">
        <v>7</v>
      </c>
      <c r="AL154" t="s">
        <v>2820</v>
      </c>
      <c r="AM154" t="s">
        <v>2821</v>
      </c>
      <c r="AN154" t="s">
        <v>2822</v>
      </c>
      <c r="AO154" t="s">
        <v>2823</v>
      </c>
      <c r="AP154" t="s">
        <v>74</v>
      </c>
      <c r="AQ154" t="s">
        <v>2928</v>
      </c>
      <c r="AR154" t="s">
        <v>2825</v>
      </c>
      <c r="AS154" t="s">
        <v>2826</v>
      </c>
      <c r="AT154" t="s">
        <v>74</v>
      </c>
      <c r="AU154">
        <v>2019</v>
      </c>
      <c r="AV154">
        <v>467</v>
      </c>
      <c r="AW154" t="s">
        <v>74</v>
      </c>
      <c r="AX154" t="s">
        <v>74</v>
      </c>
      <c r="AY154" t="s">
        <v>74</v>
      </c>
      <c r="AZ154" t="s">
        <v>74</v>
      </c>
      <c r="BA154" t="s">
        <v>74</v>
      </c>
      <c r="BB154">
        <v>289</v>
      </c>
      <c r="BC154">
        <v>314</v>
      </c>
      <c r="BD154" t="s">
        <v>74</v>
      </c>
      <c r="BE154" t="s">
        <v>2947</v>
      </c>
      <c r="BF154" t="str">
        <f>HYPERLINK("http://dx.doi.org/10.1144/SP467.4","http://dx.doi.org/10.1144/SP467.4")</f>
        <v>http://dx.doi.org/10.1144/SP467.4</v>
      </c>
      <c r="BG154" t="s">
        <v>74</v>
      </c>
      <c r="BH154" t="s">
        <v>74</v>
      </c>
      <c r="BI154">
        <v>26</v>
      </c>
      <c r="BJ154" t="s">
        <v>2930</v>
      </c>
      <c r="BK154" t="s">
        <v>190</v>
      </c>
      <c r="BL154" t="s">
        <v>2931</v>
      </c>
      <c r="BM154" t="s">
        <v>2932</v>
      </c>
      <c r="BN154" t="s">
        <v>74</v>
      </c>
      <c r="BO154" t="s">
        <v>2948</v>
      </c>
      <c r="BP154" t="s">
        <v>74</v>
      </c>
      <c r="BQ154" t="s">
        <v>74</v>
      </c>
      <c r="BR154" t="s">
        <v>104</v>
      </c>
      <c r="BS154" t="s">
        <v>2949</v>
      </c>
      <c r="BT154" t="str">
        <f>HYPERLINK("https%3A%2F%2Fwww.webofscience.com%2Fwos%2Fwoscc%2Ffull-record%2FWOS:000470918500013","View Full Record in Web of Science")</f>
        <v>View Full Record in Web of Science</v>
      </c>
    </row>
    <row r="155" spans="1:72" x14ac:dyDescent="0.15">
      <c r="A155" t="s">
        <v>72</v>
      </c>
      <c r="B155" t="s">
        <v>2950</v>
      </c>
      <c r="C155" t="s">
        <v>74</v>
      </c>
      <c r="D155" t="s">
        <v>74</v>
      </c>
      <c r="E155" t="s">
        <v>74</v>
      </c>
      <c r="F155" t="s">
        <v>2951</v>
      </c>
      <c r="G155" t="s">
        <v>74</v>
      </c>
      <c r="H155" t="s">
        <v>74</v>
      </c>
      <c r="I155" t="s">
        <v>2952</v>
      </c>
      <c r="J155" t="s">
        <v>2953</v>
      </c>
      <c r="K155" t="s">
        <v>74</v>
      </c>
      <c r="L155" t="s">
        <v>74</v>
      </c>
      <c r="M155" t="s">
        <v>78</v>
      </c>
      <c r="N155" t="s">
        <v>79</v>
      </c>
      <c r="O155" t="s">
        <v>74</v>
      </c>
      <c r="P155" t="s">
        <v>74</v>
      </c>
      <c r="Q155" t="s">
        <v>74</v>
      </c>
      <c r="R155" t="s">
        <v>74</v>
      </c>
      <c r="S155" t="s">
        <v>74</v>
      </c>
      <c r="T155" t="s">
        <v>2954</v>
      </c>
      <c r="U155" t="s">
        <v>2955</v>
      </c>
      <c r="V155" t="s">
        <v>2956</v>
      </c>
      <c r="W155" t="s">
        <v>2957</v>
      </c>
      <c r="X155" t="s">
        <v>2958</v>
      </c>
      <c r="Y155" t="s">
        <v>2959</v>
      </c>
      <c r="Z155" t="s">
        <v>2960</v>
      </c>
      <c r="AA155" t="s">
        <v>2961</v>
      </c>
      <c r="AB155" t="s">
        <v>2962</v>
      </c>
      <c r="AC155" t="s">
        <v>2963</v>
      </c>
      <c r="AD155" t="s">
        <v>2964</v>
      </c>
      <c r="AE155" t="s">
        <v>2965</v>
      </c>
      <c r="AF155" t="s">
        <v>74</v>
      </c>
      <c r="AG155">
        <v>35</v>
      </c>
      <c r="AH155">
        <v>2</v>
      </c>
      <c r="AI155">
        <v>3</v>
      </c>
      <c r="AJ155">
        <v>0</v>
      </c>
      <c r="AK155">
        <v>3</v>
      </c>
      <c r="AL155" t="s">
        <v>2966</v>
      </c>
      <c r="AM155" t="s">
        <v>2967</v>
      </c>
      <c r="AN155" t="s">
        <v>2968</v>
      </c>
      <c r="AO155" t="s">
        <v>2969</v>
      </c>
      <c r="AP155" t="s">
        <v>2970</v>
      </c>
      <c r="AQ155" t="s">
        <v>74</v>
      </c>
      <c r="AR155" t="s">
        <v>2971</v>
      </c>
      <c r="AS155" t="s">
        <v>2972</v>
      </c>
      <c r="AT155" t="s">
        <v>74</v>
      </c>
      <c r="AU155">
        <v>2019</v>
      </c>
      <c r="AV155">
        <v>114</v>
      </c>
      <c r="AW155" t="s">
        <v>74</v>
      </c>
      <c r="AX155" t="s">
        <v>74</v>
      </c>
      <c r="AY155" t="s">
        <v>74</v>
      </c>
      <c r="AZ155" t="s">
        <v>74</v>
      </c>
      <c r="BA155" t="s">
        <v>74</v>
      </c>
      <c r="BB155" t="s">
        <v>74</v>
      </c>
      <c r="BC155" t="s">
        <v>74</v>
      </c>
      <c r="BD155" t="s">
        <v>2973</v>
      </c>
      <c r="BE155" t="s">
        <v>2974</v>
      </c>
      <c r="BF155" t="str">
        <f>HYPERLINK("http://dx.doi.org/10.1590/0074-02760180569","http://dx.doi.org/10.1590/0074-02760180569")</f>
        <v>http://dx.doi.org/10.1590/0074-02760180569</v>
      </c>
      <c r="BG155" t="s">
        <v>74</v>
      </c>
      <c r="BH155" t="s">
        <v>74</v>
      </c>
      <c r="BI155">
        <v>5</v>
      </c>
      <c r="BJ155" t="s">
        <v>2975</v>
      </c>
      <c r="BK155" t="s">
        <v>101</v>
      </c>
      <c r="BL155" t="s">
        <v>2975</v>
      </c>
      <c r="BM155" t="s">
        <v>2976</v>
      </c>
      <c r="BN155">
        <v>31166479</v>
      </c>
      <c r="BO155" t="s">
        <v>285</v>
      </c>
      <c r="BP155" t="s">
        <v>74</v>
      </c>
      <c r="BQ155" t="s">
        <v>74</v>
      </c>
      <c r="BR155" t="s">
        <v>104</v>
      </c>
      <c r="BS155" t="s">
        <v>2977</v>
      </c>
      <c r="BT155" t="str">
        <f>HYPERLINK("https%3A%2F%2Fwww.webofscience.com%2Fwos%2Fwoscc%2Ffull-record%2FWOS:000470775200001","View Full Record in Web of Science")</f>
        <v>View Full Record in Web of Science</v>
      </c>
    </row>
    <row r="156" spans="1:72" x14ac:dyDescent="0.15">
      <c r="A156" t="s">
        <v>164</v>
      </c>
      <c r="B156" t="s">
        <v>2978</v>
      </c>
      <c r="C156" t="s">
        <v>74</v>
      </c>
      <c r="D156" t="s">
        <v>74</v>
      </c>
      <c r="E156" t="s">
        <v>1216</v>
      </c>
      <c r="F156" t="s">
        <v>2979</v>
      </c>
      <c r="G156" t="s">
        <v>74</v>
      </c>
      <c r="H156" t="s">
        <v>74</v>
      </c>
      <c r="I156" t="s">
        <v>2980</v>
      </c>
      <c r="J156" t="s">
        <v>2981</v>
      </c>
      <c r="K156" t="s">
        <v>74</v>
      </c>
      <c r="L156" t="s">
        <v>74</v>
      </c>
      <c r="M156" t="s">
        <v>78</v>
      </c>
      <c r="N156" t="s">
        <v>172</v>
      </c>
      <c r="O156" t="s">
        <v>2982</v>
      </c>
      <c r="P156" t="s">
        <v>2983</v>
      </c>
      <c r="Q156" t="s">
        <v>2984</v>
      </c>
      <c r="R156" t="s">
        <v>74</v>
      </c>
      <c r="S156" t="s">
        <v>74</v>
      </c>
      <c r="T156" t="s">
        <v>2985</v>
      </c>
      <c r="U156" t="s">
        <v>74</v>
      </c>
      <c r="V156" t="s">
        <v>2986</v>
      </c>
      <c r="W156" t="s">
        <v>2987</v>
      </c>
      <c r="X156" t="s">
        <v>2988</v>
      </c>
      <c r="Y156" t="s">
        <v>2989</v>
      </c>
      <c r="Z156" t="s">
        <v>2990</v>
      </c>
      <c r="AA156" t="s">
        <v>2991</v>
      </c>
      <c r="AB156" t="s">
        <v>2992</v>
      </c>
      <c r="AC156" t="s">
        <v>74</v>
      </c>
      <c r="AD156" t="s">
        <v>74</v>
      </c>
      <c r="AE156" t="s">
        <v>74</v>
      </c>
      <c r="AF156" t="s">
        <v>74</v>
      </c>
      <c r="AG156">
        <v>6</v>
      </c>
      <c r="AH156">
        <v>0</v>
      </c>
      <c r="AI156">
        <v>0</v>
      </c>
      <c r="AJ156">
        <v>0</v>
      </c>
      <c r="AK156">
        <v>1</v>
      </c>
      <c r="AL156" t="s">
        <v>1216</v>
      </c>
      <c r="AM156" t="s">
        <v>1080</v>
      </c>
      <c r="AN156" t="s">
        <v>1235</v>
      </c>
      <c r="AO156" t="s">
        <v>74</v>
      </c>
      <c r="AP156" t="s">
        <v>74</v>
      </c>
      <c r="AQ156" t="s">
        <v>2993</v>
      </c>
      <c r="AR156" t="s">
        <v>74</v>
      </c>
      <c r="AS156" t="s">
        <v>74</v>
      </c>
      <c r="AT156" t="s">
        <v>74</v>
      </c>
      <c r="AU156">
        <v>2019</v>
      </c>
      <c r="AV156" t="s">
        <v>74</v>
      </c>
      <c r="AW156" t="s">
        <v>74</v>
      </c>
      <c r="AX156" t="s">
        <v>74</v>
      </c>
      <c r="AY156" t="s">
        <v>74</v>
      </c>
      <c r="AZ156" t="s">
        <v>74</v>
      </c>
      <c r="BA156" t="s">
        <v>74</v>
      </c>
      <c r="BB156">
        <v>482</v>
      </c>
      <c r="BC156">
        <v>484</v>
      </c>
      <c r="BD156" t="s">
        <v>74</v>
      </c>
      <c r="BE156" t="s">
        <v>2994</v>
      </c>
      <c r="BF156" t="str">
        <f>HYPERLINK("http://dx.doi.org/10.1109/sirf.2019.8709098","http://dx.doi.org/10.1109/sirf.2019.8709098")</f>
        <v>http://dx.doi.org/10.1109/sirf.2019.8709098</v>
      </c>
      <c r="BG156" t="s">
        <v>74</v>
      </c>
      <c r="BH156" t="s">
        <v>74</v>
      </c>
      <c r="BI156">
        <v>3</v>
      </c>
      <c r="BJ156" t="s">
        <v>1258</v>
      </c>
      <c r="BK156" t="s">
        <v>190</v>
      </c>
      <c r="BL156" t="s">
        <v>1241</v>
      </c>
      <c r="BM156" t="s">
        <v>2995</v>
      </c>
      <c r="BN156" t="s">
        <v>74</v>
      </c>
      <c r="BO156" t="s">
        <v>74</v>
      </c>
      <c r="BP156" t="s">
        <v>74</v>
      </c>
      <c r="BQ156" t="s">
        <v>74</v>
      </c>
      <c r="BR156" t="s">
        <v>104</v>
      </c>
      <c r="BS156" t="s">
        <v>2996</v>
      </c>
      <c r="BT156" t="str">
        <f>HYPERLINK("https%3A%2F%2Fwww.webofscience.com%2Fwos%2Fwoscc%2Ffull-record%2FWOS:000469959600018","View Full Record in Web of Science")</f>
        <v>View Full Record in Web of Science</v>
      </c>
    </row>
    <row r="157" spans="1:72" x14ac:dyDescent="0.15">
      <c r="A157" t="s">
        <v>390</v>
      </c>
      <c r="B157" t="s">
        <v>2997</v>
      </c>
      <c r="C157" t="s">
        <v>74</v>
      </c>
      <c r="D157" t="s">
        <v>2998</v>
      </c>
      <c r="E157" t="s">
        <v>74</v>
      </c>
      <c r="F157" t="s">
        <v>2999</v>
      </c>
      <c r="G157" t="s">
        <v>74</v>
      </c>
      <c r="H157" t="s">
        <v>74</v>
      </c>
      <c r="I157" t="s">
        <v>3000</v>
      </c>
      <c r="J157" t="s">
        <v>3001</v>
      </c>
      <c r="K157" t="s">
        <v>3002</v>
      </c>
      <c r="L157" t="s">
        <v>74</v>
      </c>
      <c r="M157" t="s">
        <v>78</v>
      </c>
      <c r="N157" t="s">
        <v>140</v>
      </c>
      <c r="O157" t="s">
        <v>74</v>
      </c>
      <c r="P157" t="s">
        <v>74</v>
      </c>
      <c r="Q157" t="s">
        <v>74</v>
      </c>
      <c r="R157" t="s">
        <v>74</v>
      </c>
      <c r="S157" t="s">
        <v>74</v>
      </c>
      <c r="T157" t="s">
        <v>74</v>
      </c>
      <c r="U157" t="s">
        <v>3003</v>
      </c>
      <c r="V157" t="s">
        <v>74</v>
      </c>
      <c r="W157" t="s">
        <v>3004</v>
      </c>
      <c r="X157" t="s">
        <v>3005</v>
      </c>
      <c r="Y157" t="s">
        <v>3006</v>
      </c>
      <c r="Z157" t="s">
        <v>74</v>
      </c>
      <c r="AA157" t="s">
        <v>74</v>
      </c>
      <c r="AB157" t="s">
        <v>74</v>
      </c>
      <c r="AC157" t="s">
        <v>74</v>
      </c>
      <c r="AD157" t="s">
        <v>74</v>
      </c>
      <c r="AE157" t="s">
        <v>74</v>
      </c>
      <c r="AF157" t="s">
        <v>74</v>
      </c>
      <c r="AG157">
        <v>52</v>
      </c>
      <c r="AH157">
        <v>1</v>
      </c>
      <c r="AI157">
        <v>1</v>
      </c>
      <c r="AJ157">
        <v>0</v>
      </c>
      <c r="AK157">
        <v>0</v>
      </c>
      <c r="AL157" t="s">
        <v>3007</v>
      </c>
      <c r="AM157" t="s">
        <v>3008</v>
      </c>
      <c r="AN157" t="s">
        <v>3009</v>
      </c>
      <c r="AO157" t="s">
        <v>74</v>
      </c>
      <c r="AP157" t="s">
        <v>74</v>
      </c>
      <c r="AQ157" t="s">
        <v>3010</v>
      </c>
      <c r="AR157" t="s">
        <v>3011</v>
      </c>
      <c r="AS157" t="s">
        <v>74</v>
      </c>
      <c r="AT157" t="s">
        <v>74</v>
      </c>
      <c r="AU157">
        <v>2019</v>
      </c>
      <c r="AV157" t="s">
        <v>74</v>
      </c>
      <c r="AW157" t="s">
        <v>74</v>
      </c>
      <c r="AX157" t="s">
        <v>74</v>
      </c>
      <c r="AY157" t="s">
        <v>74</v>
      </c>
      <c r="AZ157" t="s">
        <v>74</v>
      </c>
      <c r="BA157" t="s">
        <v>74</v>
      </c>
      <c r="BB157">
        <v>267</v>
      </c>
      <c r="BC157">
        <v>287</v>
      </c>
      <c r="BD157" t="s">
        <v>74</v>
      </c>
      <c r="BE157" t="s">
        <v>3012</v>
      </c>
      <c r="BF157" t="str">
        <f>HYPERLINK("http://dx.doi.org/10.1016/B978-0-12-815339-0.00018-4","http://dx.doi.org/10.1016/B978-0-12-815339-0.00018-4")</f>
        <v>http://dx.doi.org/10.1016/B978-0-12-815339-0.00018-4</v>
      </c>
      <c r="BG157" t="s">
        <v>74</v>
      </c>
      <c r="BH157" t="s">
        <v>74</v>
      </c>
      <c r="BI157">
        <v>21</v>
      </c>
      <c r="BJ157" t="s">
        <v>3013</v>
      </c>
      <c r="BK157" t="s">
        <v>159</v>
      </c>
      <c r="BL157" t="s">
        <v>3014</v>
      </c>
      <c r="BM157" t="s">
        <v>3015</v>
      </c>
      <c r="BN157" t="s">
        <v>74</v>
      </c>
      <c r="BO157" t="s">
        <v>404</v>
      </c>
      <c r="BP157" t="s">
        <v>74</v>
      </c>
      <c r="BQ157" t="s">
        <v>74</v>
      </c>
      <c r="BR157" t="s">
        <v>104</v>
      </c>
      <c r="BS157" t="s">
        <v>3016</v>
      </c>
      <c r="BT157" t="str">
        <f>HYPERLINK("https%3A%2F%2Fwww.webofscience.com%2Fwos%2Fwoscc%2Ffull-record%2FWOS:000470060200021","View Full Record in Web of Science")</f>
        <v>View Full Record in Web of Science</v>
      </c>
    </row>
    <row r="158" spans="1:72" x14ac:dyDescent="0.15">
      <c r="A158" t="s">
        <v>72</v>
      </c>
      <c r="B158" t="s">
        <v>3017</v>
      </c>
      <c r="C158" t="s">
        <v>74</v>
      </c>
      <c r="D158" t="s">
        <v>74</v>
      </c>
      <c r="E158" t="s">
        <v>74</v>
      </c>
      <c r="F158" t="s">
        <v>3018</v>
      </c>
      <c r="G158" t="s">
        <v>74</v>
      </c>
      <c r="H158" t="s">
        <v>74</v>
      </c>
      <c r="I158" t="s">
        <v>3019</v>
      </c>
      <c r="J158" t="s">
        <v>3020</v>
      </c>
      <c r="K158" t="s">
        <v>74</v>
      </c>
      <c r="L158" t="s">
        <v>74</v>
      </c>
      <c r="M158" t="s">
        <v>78</v>
      </c>
      <c r="N158" t="s">
        <v>79</v>
      </c>
      <c r="O158" t="s">
        <v>74</v>
      </c>
      <c r="P158" t="s">
        <v>74</v>
      </c>
      <c r="Q158" t="s">
        <v>74</v>
      </c>
      <c r="R158" t="s">
        <v>74</v>
      </c>
      <c r="S158" t="s">
        <v>74</v>
      </c>
      <c r="T158" t="s">
        <v>3021</v>
      </c>
      <c r="U158" t="s">
        <v>3022</v>
      </c>
      <c r="V158" t="s">
        <v>3023</v>
      </c>
      <c r="W158" t="s">
        <v>3024</v>
      </c>
      <c r="X158" t="s">
        <v>3025</v>
      </c>
      <c r="Y158" t="s">
        <v>3026</v>
      </c>
      <c r="Z158" t="s">
        <v>3027</v>
      </c>
      <c r="AA158" t="s">
        <v>3028</v>
      </c>
      <c r="AB158" t="s">
        <v>74</v>
      </c>
      <c r="AC158" t="s">
        <v>3029</v>
      </c>
      <c r="AD158" t="s">
        <v>3030</v>
      </c>
      <c r="AE158" t="s">
        <v>3031</v>
      </c>
      <c r="AF158" t="s">
        <v>74</v>
      </c>
      <c r="AG158">
        <v>39</v>
      </c>
      <c r="AH158">
        <v>5</v>
      </c>
      <c r="AI158">
        <v>6</v>
      </c>
      <c r="AJ158">
        <v>1</v>
      </c>
      <c r="AK158">
        <v>13</v>
      </c>
      <c r="AL158" t="s">
        <v>210</v>
      </c>
      <c r="AM158" t="s">
        <v>211</v>
      </c>
      <c r="AN158" t="s">
        <v>212</v>
      </c>
      <c r="AO158" t="s">
        <v>3032</v>
      </c>
      <c r="AP158" t="s">
        <v>3033</v>
      </c>
      <c r="AQ158" t="s">
        <v>74</v>
      </c>
      <c r="AR158" t="s">
        <v>3034</v>
      </c>
      <c r="AS158" t="s">
        <v>3035</v>
      </c>
      <c r="AT158" t="s">
        <v>74</v>
      </c>
      <c r="AU158">
        <v>2019</v>
      </c>
      <c r="AV158">
        <v>12</v>
      </c>
      <c r="AW158">
        <v>1</v>
      </c>
      <c r="AX158" t="s">
        <v>74</v>
      </c>
      <c r="AY158" t="s">
        <v>74</v>
      </c>
      <c r="AZ158" t="s">
        <v>74</v>
      </c>
      <c r="BA158" t="s">
        <v>74</v>
      </c>
      <c r="BB158">
        <v>1</v>
      </c>
      <c r="BC158">
        <v>11</v>
      </c>
      <c r="BD158" t="s">
        <v>74</v>
      </c>
      <c r="BE158" t="s">
        <v>3036</v>
      </c>
      <c r="BF158" t="str">
        <f>HYPERLINK("http://dx.doi.org/10.1080/16742834.2019.1526621","http://dx.doi.org/10.1080/16742834.2019.1526621")</f>
        <v>http://dx.doi.org/10.1080/16742834.2019.1526621</v>
      </c>
      <c r="BG158" t="s">
        <v>74</v>
      </c>
      <c r="BH158" t="s">
        <v>74</v>
      </c>
      <c r="BI158">
        <v>11</v>
      </c>
      <c r="BJ158" t="s">
        <v>3037</v>
      </c>
      <c r="BK158" t="s">
        <v>349</v>
      </c>
      <c r="BL158" t="s">
        <v>3037</v>
      </c>
      <c r="BM158" t="s">
        <v>3038</v>
      </c>
      <c r="BN158" t="s">
        <v>74</v>
      </c>
      <c r="BO158" t="s">
        <v>131</v>
      </c>
      <c r="BP158" t="s">
        <v>74</v>
      </c>
      <c r="BQ158" t="s">
        <v>74</v>
      </c>
      <c r="BR158" t="s">
        <v>104</v>
      </c>
      <c r="BS158" t="s">
        <v>3039</v>
      </c>
      <c r="BT158" t="str">
        <f>HYPERLINK("https%3A%2F%2Fwww.webofscience.com%2Fwos%2Fwoscc%2Ffull-record%2FWOS:000469815200001","View Full Record in Web of Science")</f>
        <v>View Full Record in Web of Science</v>
      </c>
    </row>
    <row r="159" spans="1:72" x14ac:dyDescent="0.15">
      <c r="A159" t="s">
        <v>133</v>
      </c>
      <c r="B159" t="s">
        <v>74</v>
      </c>
      <c r="C159" t="s">
        <v>74</v>
      </c>
      <c r="D159" t="s">
        <v>3040</v>
      </c>
      <c r="E159" t="s">
        <v>74</v>
      </c>
      <c r="F159" t="s">
        <v>74</v>
      </c>
      <c r="G159" t="s">
        <v>74</v>
      </c>
      <c r="H159" t="s">
        <v>74</v>
      </c>
      <c r="I159" t="s">
        <v>3041</v>
      </c>
      <c r="J159" t="s">
        <v>3042</v>
      </c>
      <c r="K159" t="s">
        <v>2721</v>
      </c>
      <c r="L159" t="s">
        <v>74</v>
      </c>
      <c r="M159" t="s">
        <v>78</v>
      </c>
      <c r="N159" t="s">
        <v>3043</v>
      </c>
      <c r="O159" t="s">
        <v>74</v>
      </c>
      <c r="P159" t="s">
        <v>74</v>
      </c>
      <c r="Q159" t="s">
        <v>74</v>
      </c>
      <c r="R159" t="s">
        <v>74</v>
      </c>
      <c r="S159" t="s">
        <v>74</v>
      </c>
      <c r="T159" t="s">
        <v>74</v>
      </c>
      <c r="U159" t="s">
        <v>74</v>
      </c>
      <c r="V159" t="s">
        <v>74</v>
      </c>
      <c r="W159" t="s">
        <v>74</v>
      </c>
      <c r="X159" t="s">
        <v>74</v>
      </c>
      <c r="Y159" t="s">
        <v>74</v>
      </c>
      <c r="Z159" t="s">
        <v>74</v>
      </c>
      <c r="AA159" t="s">
        <v>74</v>
      </c>
      <c r="AB159" t="s">
        <v>74</v>
      </c>
      <c r="AC159" t="s">
        <v>74</v>
      </c>
      <c r="AD159" t="s">
        <v>74</v>
      </c>
      <c r="AE159" t="s">
        <v>74</v>
      </c>
      <c r="AF159" t="s">
        <v>74</v>
      </c>
      <c r="AG159">
        <v>0</v>
      </c>
      <c r="AH159">
        <v>0</v>
      </c>
      <c r="AI159">
        <v>0</v>
      </c>
      <c r="AJ159">
        <v>0</v>
      </c>
      <c r="AK159">
        <v>1</v>
      </c>
      <c r="AL159" t="s">
        <v>1203</v>
      </c>
      <c r="AM159" t="s">
        <v>1204</v>
      </c>
      <c r="AN159" t="s">
        <v>1205</v>
      </c>
      <c r="AO159" t="s">
        <v>2726</v>
      </c>
      <c r="AP159" t="s">
        <v>2727</v>
      </c>
      <c r="AQ159" t="s">
        <v>3044</v>
      </c>
      <c r="AR159" t="s">
        <v>2729</v>
      </c>
      <c r="AS159" t="s">
        <v>74</v>
      </c>
      <c r="AT159" t="s">
        <v>74</v>
      </c>
      <c r="AU159">
        <v>2019</v>
      </c>
      <c r="AV159" t="s">
        <v>74</v>
      </c>
      <c r="AW159" t="s">
        <v>74</v>
      </c>
      <c r="AX159" t="s">
        <v>74</v>
      </c>
      <c r="AY159" t="s">
        <v>74</v>
      </c>
      <c r="AZ159" t="s">
        <v>74</v>
      </c>
      <c r="BA159" t="s">
        <v>74</v>
      </c>
      <c r="BB159">
        <v>1</v>
      </c>
      <c r="BC159">
        <v>298</v>
      </c>
      <c r="BD159" t="s">
        <v>74</v>
      </c>
      <c r="BE159" t="s">
        <v>3045</v>
      </c>
      <c r="BF159" t="str">
        <f>HYPERLINK("http://dx.doi.org/10.1007/978-3-030-02786-5","http://dx.doi.org/10.1007/978-3-030-02786-5")</f>
        <v>http://dx.doi.org/10.1007/978-3-030-02786-5</v>
      </c>
      <c r="BG159" t="s">
        <v>74</v>
      </c>
      <c r="BH159" t="s">
        <v>74</v>
      </c>
      <c r="BI159">
        <v>301</v>
      </c>
      <c r="BJ159" t="s">
        <v>3046</v>
      </c>
      <c r="BK159" t="s">
        <v>159</v>
      </c>
      <c r="BL159" t="s">
        <v>3047</v>
      </c>
      <c r="BM159" t="s">
        <v>3048</v>
      </c>
      <c r="BN159" t="s">
        <v>74</v>
      </c>
      <c r="BO159" t="s">
        <v>404</v>
      </c>
      <c r="BP159" t="s">
        <v>74</v>
      </c>
      <c r="BQ159" t="s">
        <v>74</v>
      </c>
      <c r="BR159" t="s">
        <v>104</v>
      </c>
      <c r="BS159" t="s">
        <v>3049</v>
      </c>
      <c r="BT159" t="str">
        <f>HYPERLINK("https%3A%2F%2Fwww.webofscience.com%2Fwos%2Fwoscc%2Ffull-record%2FWOS:000468822300016","View Full Record in Web of Science")</f>
        <v>View Full Record in Web of Science</v>
      </c>
    </row>
    <row r="160" spans="1:72" x14ac:dyDescent="0.15">
      <c r="A160" t="s">
        <v>133</v>
      </c>
      <c r="B160" t="s">
        <v>3050</v>
      </c>
      <c r="C160" t="s">
        <v>74</v>
      </c>
      <c r="D160" t="s">
        <v>3040</v>
      </c>
      <c r="E160" t="s">
        <v>74</v>
      </c>
      <c r="F160" t="s">
        <v>3051</v>
      </c>
      <c r="G160" t="s">
        <v>74</v>
      </c>
      <c r="H160" t="s">
        <v>74</v>
      </c>
      <c r="I160" t="s">
        <v>3052</v>
      </c>
      <c r="J160" t="s">
        <v>3042</v>
      </c>
      <c r="K160" t="s">
        <v>2721</v>
      </c>
      <c r="L160" t="s">
        <v>74</v>
      </c>
      <c r="M160" t="s">
        <v>78</v>
      </c>
      <c r="N160" t="s">
        <v>140</v>
      </c>
      <c r="O160" t="s">
        <v>74</v>
      </c>
      <c r="P160" t="s">
        <v>74</v>
      </c>
      <c r="Q160" t="s">
        <v>74</v>
      </c>
      <c r="R160" t="s">
        <v>74</v>
      </c>
      <c r="S160" t="s">
        <v>74</v>
      </c>
      <c r="T160" t="s">
        <v>3053</v>
      </c>
      <c r="U160" t="s">
        <v>3054</v>
      </c>
      <c r="V160" t="s">
        <v>3055</v>
      </c>
      <c r="W160" t="s">
        <v>3056</v>
      </c>
      <c r="X160" t="s">
        <v>3057</v>
      </c>
      <c r="Y160" t="s">
        <v>3058</v>
      </c>
      <c r="Z160" t="s">
        <v>3059</v>
      </c>
      <c r="AA160" t="s">
        <v>3060</v>
      </c>
      <c r="AB160" t="s">
        <v>3061</v>
      </c>
      <c r="AC160" t="s">
        <v>74</v>
      </c>
      <c r="AD160" t="s">
        <v>74</v>
      </c>
      <c r="AE160" t="s">
        <v>74</v>
      </c>
      <c r="AF160" t="s">
        <v>74</v>
      </c>
      <c r="AG160">
        <v>124</v>
      </c>
      <c r="AH160">
        <v>11</v>
      </c>
      <c r="AI160">
        <v>11</v>
      </c>
      <c r="AJ160">
        <v>2</v>
      </c>
      <c r="AK160">
        <v>15</v>
      </c>
      <c r="AL160" t="s">
        <v>1203</v>
      </c>
      <c r="AM160" t="s">
        <v>1204</v>
      </c>
      <c r="AN160" t="s">
        <v>1205</v>
      </c>
      <c r="AO160" t="s">
        <v>2726</v>
      </c>
      <c r="AP160" t="s">
        <v>2727</v>
      </c>
      <c r="AQ160" t="s">
        <v>3044</v>
      </c>
      <c r="AR160" t="s">
        <v>2729</v>
      </c>
      <c r="AS160" t="s">
        <v>74</v>
      </c>
      <c r="AT160" t="s">
        <v>74</v>
      </c>
      <c r="AU160">
        <v>2019</v>
      </c>
      <c r="AV160" t="s">
        <v>74</v>
      </c>
      <c r="AW160" t="s">
        <v>74</v>
      </c>
      <c r="AX160" t="s">
        <v>74</v>
      </c>
      <c r="AY160" t="s">
        <v>74</v>
      </c>
      <c r="AZ160" t="s">
        <v>74</v>
      </c>
      <c r="BA160" t="s">
        <v>74</v>
      </c>
      <c r="BB160">
        <v>3</v>
      </c>
      <c r="BC160">
        <v>23</v>
      </c>
      <c r="BD160" t="s">
        <v>74</v>
      </c>
      <c r="BE160" t="s">
        <v>3062</v>
      </c>
      <c r="BF160" t="str">
        <f>HYPERLINK("http://dx.doi.org/10.1007/978-3-030-02786-5_1","http://dx.doi.org/10.1007/978-3-030-02786-5_1")</f>
        <v>http://dx.doi.org/10.1007/978-3-030-02786-5_1</v>
      </c>
      <c r="BG160" t="s">
        <v>3045</v>
      </c>
      <c r="BH160" t="s">
        <v>74</v>
      </c>
      <c r="BI160">
        <v>21</v>
      </c>
      <c r="BJ160" t="s">
        <v>3046</v>
      </c>
      <c r="BK160" t="s">
        <v>159</v>
      </c>
      <c r="BL160" t="s">
        <v>3047</v>
      </c>
      <c r="BM160" t="s">
        <v>3048</v>
      </c>
      <c r="BN160" t="s">
        <v>74</v>
      </c>
      <c r="BO160" t="s">
        <v>74</v>
      </c>
      <c r="BP160" t="s">
        <v>74</v>
      </c>
      <c r="BQ160" t="s">
        <v>74</v>
      </c>
      <c r="BR160" t="s">
        <v>104</v>
      </c>
      <c r="BS160" t="s">
        <v>3063</v>
      </c>
      <c r="BT160" t="str">
        <f>HYPERLINK("https%3A%2F%2Fwww.webofscience.com%2Fwos%2Fwoscc%2Ffull-record%2FWOS:000468822300002","View Full Record in Web of Science")</f>
        <v>View Full Record in Web of Science</v>
      </c>
    </row>
    <row r="161" spans="1:72" x14ac:dyDescent="0.15">
      <c r="A161" t="s">
        <v>133</v>
      </c>
      <c r="B161" t="s">
        <v>3064</v>
      </c>
      <c r="C161" t="s">
        <v>74</v>
      </c>
      <c r="D161" t="s">
        <v>3040</v>
      </c>
      <c r="E161" t="s">
        <v>74</v>
      </c>
      <c r="F161" t="s">
        <v>3065</v>
      </c>
      <c r="G161" t="s">
        <v>74</v>
      </c>
      <c r="H161" t="s">
        <v>74</v>
      </c>
      <c r="I161" t="s">
        <v>3066</v>
      </c>
      <c r="J161" t="s">
        <v>3042</v>
      </c>
      <c r="K161" t="s">
        <v>2721</v>
      </c>
      <c r="L161" t="s">
        <v>74</v>
      </c>
      <c r="M161" t="s">
        <v>78</v>
      </c>
      <c r="N161" t="s">
        <v>140</v>
      </c>
      <c r="O161" t="s">
        <v>74</v>
      </c>
      <c r="P161" t="s">
        <v>74</v>
      </c>
      <c r="Q161" t="s">
        <v>74</v>
      </c>
      <c r="R161" t="s">
        <v>74</v>
      </c>
      <c r="S161" t="s">
        <v>74</v>
      </c>
      <c r="T161" t="s">
        <v>3067</v>
      </c>
      <c r="U161" t="s">
        <v>3068</v>
      </c>
      <c r="V161" t="s">
        <v>3069</v>
      </c>
      <c r="W161" t="s">
        <v>3070</v>
      </c>
      <c r="X161" t="s">
        <v>3071</v>
      </c>
      <c r="Y161" t="s">
        <v>3072</v>
      </c>
      <c r="Z161" t="s">
        <v>3073</v>
      </c>
      <c r="AA161" t="s">
        <v>3074</v>
      </c>
      <c r="AB161" t="s">
        <v>3075</v>
      </c>
      <c r="AC161" t="s">
        <v>74</v>
      </c>
      <c r="AD161" t="s">
        <v>74</v>
      </c>
      <c r="AE161" t="s">
        <v>74</v>
      </c>
      <c r="AF161" t="s">
        <v>74</v>
      </c>
      <c r="AG161">
        <v>95</v>
      </c>
      <c r="AH161">
        <v>3</v>
      </c>
      <c r="AI161">
        <v>3</v>
      </c>
      <c r="AJ161">
        <v>0</v>
      </c>
      <c r="AK161">
        <v>9</v>
      </c>
      <c r="AL161" t="s">
        <v>1203</v>
      </c>
      <c r="AM161" t="s">
        <v>1204</v>
      </c>
      <c r="AN161" t="s">
        <v>1205</v>
      </c>
      <c r="AO161" t="s">
        <v>2726</v>
      </c>
      <c r="AP161" t="s">
        <v>2727</v>
      </c>
      <c r="AQ161" t="s">
        <v>3044</v>
      </c>
      <c r="AR161" t="s">
        <v>2729</v>
      </c>
      <c r="AS161" t="s">
        <v>74</v>
      </c>
      <c r="AT161" t="s">
        <v>74</v>
      </c>
      <c r="AU161">
        <v>2019</v>
      </c>
      <c r="AV161" t="s">
        <v>74</v>
      </c>
      <c r="AW161" t="s">
        <v>74</v>
      </c>
      <c r="AX161" t="s">
        <v>74</v>
      </c>
      <c r="AY161" t="s">
        <v>74</v>
      </c>
      <c r="AZ161" t="s">
        <v>74</v>
      </c>
      <c r="BA161" t="s">
        <v>74</v>
      </c>
      <c r="BB161">
        <v>25</v>
      </c>
      <c r="BC161">
        <v>43</v>
      </c>
      <c r="BD161" t="s">
        <v>74</v>
      </c>
      <c r="BE161" t="s">
        <v>3076</v>
      </c>
      <c r="BF161" t="str">
        <f>HYPERLINK("http://dx.doi.org/10.1007/978-3-030-02786-5_2","http://dx.doi.org/10.1007/978-3-030-02786-5_2")</f>
        <v>http://dx.doi.org/10.1007/978-3-030-02786-5_2</v>
      </c>
      <c r="BG161" t="s">
        <v>3045</v>
      </c>
      <c r="BH161" t="s">
        <v>74</v>
      </c>
      <c r="BI161">
        <v>19</v>
      </c>
      <c r="BJ161" t="s">
        <v>3046</v>
      </c>
      <c r="BK161" t="s">
        <v>159</v>
      </c>
      <c r="BL161" t="s">
        <v>3047</v>
      </c>
      <c r="BM161" t="s">
        <v>3048</v>
      </c>
      <c r="BN161" t="s">
        <v>74</v>
      </c>
      <c r="BO161" t="s">
        <v>74</v>
      </c>
      <c r="BP161" t="s">
        <v>74</v>
      </c>
      <c r="BQ161" t="s">
        <v>74</v>
      </c>
      <c r="BR161" t="s">
        <v>104</v>
      </c>
      <c r="BS161" t="s">
        <v>3077</v>
      </c>
      <c r="BT161" t="str">
        <f>HYPERLINK("https%3A%2F%2Fwww.webofscience.com%2Fwos%2Fwoscc%2Ffull-record%2FWOS:000468822300003","View Full Record in Web of Science")</f>
        <v>View Full Record in Web of Science</v>
      </c>
    </row>
    <row r="162" spans="1:72" x14ac:dyDescent="0.15">
      <c r="A162" t="s">
        <v>133</v>
      </c>
      <c r="B162" t="s">
        <v>3078</v>
      </c>
      <c r="C162" t="s">
        <v>74</v>
      </c>
      <c r="D162" t="s">
        <v>3040</v>
      </c>
      <c r="E162" t="s">
        <v>74</v>
      </c>
      <c r="F162" t="s">
        <v>3079</v>
      </c>
      <c r="G162" t="s">
        <v>74</v>
      </c>
      <c r="H162" t="s">
        <v>74</v>
      </c>
      <c r="I162" t="s">
        <v>3080</v>
      </c>
      <c r="J162" t="s">
        <v>3042</v>
      </c>
      <c r="K162" t="s">
        <v>2721</v>
      </c>
      <c r="L162" t="s">
        <v>74</v>
      </c>
      <c r="M162" t="s">
        <v>78</v>
      </c>
      <c r="N162" t="s">
        <v>140</v>
      </c>
      <c r="O162" t="s">
        <v>74</v>
      </c>
      <c r="P162" t="s">
        <v>74</v>
      </c>
      <c r="Q162" t="s">
        <v>74</v>
      </c>
      <c r="R162" t="s">
        <v>74</v>
      </c>
      <c r="S162" t="s">
        <v>74</v>
      </c>
      <c r="T162" t="s">
        <v>3081</v>
      </c>
      <c r="U162" t="s">
        <v>3082</v>
      </c>
      <c r="V162" t="s">
        <v>3083</v>
      </c>
      <c r="W162" t="s">
        <v>3084</v>
      </c>
      <c r="X162" t="s">
        <v>3085</v>
      </c>
      <c r="Y162" t="s">
        <v>3086</v>
      </c>
      <c r="Z162" t="s">
        <v>3087</v>
      </c>
      <c r="AA162" t="s">
        <v>3088</v>
      </c>
      <c r="AB162" t="s">
        <v>3089</v>
      </c>
      <c r="AC162" t="s">
        <v>74</v>
      </c>
      <c r="AD162" t="s">
        <v>74</v>
      </c>
      <c r="AE162" t="s">
        <v>74</v>
      </c>
      <c r="AF162" t="s">
        <v>74</v>
      </c>
      <c r="AG162">
        <v>92</v>
      </c>
      <c r="AH162">
        <v>16</v>
      </c>
      <c r="AI162">
        <v>18</v>
      </c>
      <c r="AJ162">
        <v>0</v>
      </c>
      <c r="AK162">
        <v>4</v>
      </c>
      <c r="AL162" t="s">
        <v>1203</v>
      </c>
      <c r="AM162" t="s">
        <v>1204</v>
      </c>
      <c r="AN162" t="s">
        <v>1205</v>
      </c>
      <c r="AO162" t="s">
        <v>2726</v>
      </c>
      <c r="AP162" t="s">
        <v>2727</v>
      </c>
      <c r="AQ162" t="s">
        <v>3044</v>
      </c>
      <c r="AR162" t="s">
        <v>2729</v>
      </c>
      <c r="AS162" t="s">
        <v>74</v>
      </c>
      <c r="AT162" t="s">
        <v>74</v>
      </c>
      <c r="AU162">
        <v>2019</v>
      </c>
      <c r="AV162" t="s">
        <v>74</v>
      </c>
      <c r="AW162" t="s">
        <v>74</v>
      </c>
      <c r="AX162" t="s">
        <v>74</v>
      </c>
      <c r="AY162" t="s">
        <v>74</v>
      </c>
      <c r="AZ162" t="s">
        <v>74</v>
      </c>
      <c r="BA162" t="s">
        <v>74</v>
      </c>
      <c r="BB162">
        <v>45</v>
      </c>
      <c r="BC162">
        <v>64</v>
      </c>
      <c r="BD162" t="s">
        <v>74</v>
      </c>
      <c r="BE162" t="s">
        <v>3090</v>
      </c>
      <c r="BF162" t="str">
        <f>HYPERLINK("http://dx.doi.org/10.1007/978-3-030-02786-5_3","http://dx.doi.org/10.1007/978-3-030-02786-5_3")</f>
        <v>http://dx.doi.org/10.1007/978-3-030-02786-5_3</v>
      </c>
      <c r="BG162" t="s">
        <v>3045</v>
      </c>
      <c r="BH162" t="s">
        <v>74</v>
      </c>
      <c r="BI162">
        <v>20</v>
      </c>
      <c r="BJ162" t="s">
        <v>3046</v>
      </c>
      <c r="BK162" t="s">
        <v>159</v>
      </c>
      <c r="BL162" t="s">
        <v>3047</v>
      </c>
      <c r="BM162" t="s">
        <v>3048</v>
      </c>
      <c r="BN162" t="s">
        <v>74</v>
      </c>
      <c r="BO162" t="s">
        <v>74</v>
      </c>
      <c r="BP162" t="s">
        <v>74</v>
      </c>
      <c r="BQ162" t="s">
        <v>74</v>
      </c>
      <c r="BR162" t="s">
        <v>104</v>
      </c>
      <c r="BS162" t="s">
        <v>3091</v>
      </c>
      <c r="BT162" t="str">
        <f>HYPERLINK("https%3A%2F%2Fwww.webofscience.com%2Fwos%2Fwoscc%2Ffull-record%2FWOS:000468822300004","View Full Record in Web of Science")</f>
        <v>View Full Record in Web of Science</v>
      </c>
    </row>
    <row r="163" spans="1:72" x14ac:dyDescent="0.15">
      <c r="A163" t="s">
        <v>133</v>
      </c>
      <c r="B163" t="s">
        <v>3092</v>
      </c>
      <c r="C163" t="s">
        <v>74</v>
      </c>
      <c r="D163" t="s">
        <v>3040</v>
      </c>
      <c r="E163" t="s">
        <v>74</v>
      </c>
      <c r="F163" t="s">
        <v>3093</v>
      </c>
      <c r="G163" t="s">
        <v>74</v>
      </c>
      <c r="H163" t="s">
        <v>74</v>
      </c>
      <c r="I163" t="s">
        <v>3094</v>
      </c>
      <c r="J163" t="s">
        <v>3042</v>
      </c>
      <c r="K163" t="s">
        <v>2721</v>
      </c>
      <c r="L163" t="s">
        <v>74</v>
      </c>
      <c r="M163" t="s">
        <v>78</v>
      </c>
      <c r="N163" t="s">
        <v>140</v>
      </c>
      <c r="O163" t="s">
        <v>74</v>
      </c>
      <c r="P163" t="s">
        <v>74</v>
      </c>
      <c r="Q163" t="s">
        <v>74</v>
      </c>
      <c r="R163" t="s">
        <v>74</v>
      </c>
      <c r="S163" t="s">
        <v>74</v>
      </c>
      <c r="T163" t="s">
        <v>3095</v>
      </c>
      <c r="U163" t="s">
        <v>3096</v>
      </c>
      <c r="V163" t="s">
        <v>3097</v>
      </c>
      <c r="W163" t="s">
        <v>3098</v>
      </c>
      <c r="X163" t="s">
        <v>3099</v>
      </c>
      <c r="Y163" t="s">
        <v>3100</v>
      </c>
      <c r="Z163" t="s">
        <v>3101</v>
      </c>
      <c r="AA163" t="s">
        <v>3102</v>
      </c>
      <c r="AB163" t="s">
        <v>3103</v>
      </c>
      <c r="AC163" t="s">
        <v>74</v>
      </c>
      <c r="AD163" t="s">
        <v>74</v>
      </c>
      <c r="AE163" t="s">
        <v>74</v>
      </c>
      <c r="AF163" t="s">
        <v>74</v>
      </c>
      <c r="AG163">
        <v>97</v>
      </c>
      <c r="AH163">
        <v>11</v>
      </c>
      <c r="AI163">
        <v>12</v>
      </c>
      <c r="AJ163">
        <v>0</v>
      </c>
      <c r="AK163">
        <v>6</v>
      </c>
      <c r="AL163" t="s">
        <v>1203</v>
      </c>
      <c r="AM163" t="s">
        <v>1204</v>
      </c>
      <c r="AN163" t="s">
        <v>1205</v>
      </c>
      <c r="AO163" t="s">
        <v>2726</v>
      </c>
      <c r="AP163" t="s">
        <v>2727</v>
      </c>
      <c r="AQ163" t="s">
        <v>3044</v>
      </c>
      <c r="AR163" t="s">
        <v>2729</v>
      </c>
      <c r="AS163" t="s">
        <v>74</v>
      </c>
      <c r="AT163" t="s">
        <v>74</v>
      </c>
      <c r="AU163">
        <v>2019</v>
      </c>
      <c r="AV163" t="s">
        <v>74</v>
      </c>
      <c r="AW163" t="s">
        <v>74</v>
      </c>
      <c r="AX163" t="s">
        <v>74</v>
      </c>
      <c r="AY163" t="s">
        <v>74</v>
      </c>
      <c r="AZ163" t="s">
        <v>74</v>
      </c>
      <c r="BA163" t="s">
        <v>74</v>
      </c>
      <c r="BB163">
        <v>65</v>
      </c>
      <c r="BC163">
        <v>82</v>
      </c>
      <c r="BD163" t="s">
        <v>74</v>
      </c>
      <c r="BE163" t="s">
        <v>3104</v>
      </c>
      <c r="BF163" t="str">
        <f>HYPERLINK("http://dx.doi.org/10.1007/978-3-030-02786-5_4","http://dx.doi.org/10.1007/978-3-030-02786-5_4")</f>
        <v>http://dx.doi.org/10.1007/978-3-030-02786-5_4</v>
      </c>
      <c r="BG163" t="s">
        <v>3045</v>
      </c>
      <c r="BH163" t="s">
        <v>74</v>
      </c>
      <c r="BI163">
        <v>18</v>
      </c>
      <c r="BJ163" t="s">
        <v>3046</v>
      </c>
      <c r="BK163" t="s">
        <v>159</v>
      </c>
      <c r="BL163" t="s">
        <v>3047</v>
      </c>
      <c r="BM163" t="s">
        <v>3048</v>
      </c>
      <c r="BN163" t="s">
        <v>74</v>
      </c>
      <c r="BO163" t="s">
        <v>74</v>
      </c>
      <c r="BP163" t="s">
        <v>74</v>
      </c>
      <c r="BQ163" t="s">
        <v>74</v>
      </c>
      <c r="BR163" t="s">
        <v>104</v>
      </c>
      <c r="BS163" t="s">
        <v>3105</v>
      </c>
      <c r="BT163" t="str">
        <f>HYPERLINK("https%3A%2F%2Fwww.webofscience.com%2Fwos%2Fwoscc%2Ffull-record%2FWOS:000468822300005","View Full Record in Web of Science")</f>
        <v>View Full Record in Web of Science</v>
      </c>
    </row>
    <row r="164" spans="1:72" x14ac:dyDescent="0.15">
      <c r="A164" t="s">
        <v>133</v>
      </c>
      <c r="B164" t="s">
        <v>3106</v>
      </c>
      <c r="C164" t="s">
        <v>74</v>
      </c>
      <c r="D164" t="s">
        <v>3040</v>
      </c>
      <c r="E164" t="s">
        <v>74</v>
      </c>
      <c r="F164" t="s">
        <v>3107</v>
      </c>
      <c r="G164" t="s">
        <v>74</v>
      </c>
      <c r="H164" t="s">
        <v>74</v>
      </c>
      <c r="I164" t="s">
        <v>3108</v>
      </c>
      <c r="J164" t="s">
        <v>3042</v>
      </c>
      <c r="K164" t="s">
        <v>2721</v>
      </c>
      <c r="L164" t="s">
        <v>74</v>
      </c>
      <c r="M164" t="s">
        <v>78</v>
      </c>
      <c r="N164" t="s">
        <v>140</v>
      </c>
      <c r="O164" t="s">
        <v>74</v>
      </c>
      <c r="P164" t="s">
        <v>74</v>
      </c>
      <c r="Q164" t="s">
        <v>74</v>
      </c>
      <c r="R164" t="s">
        <v>74</v>
      </c>
      <c r="S164" t="s">
        <v>74</v>
      </c>
      <c r="T164" t="s">
        <v>3109</v>
      </c>
      <c r="U164" t="s">
        <v>3110</v>
      </c>
      <c r="V164" t="s">
        <v>3111</v>
      </c>
      <c r="W164" t="s">
        <v>3112</v>
      </c>
      <c r="X164" t="s">
        <v>3113</v>
      </c>
      <c r="Y164" t="s">
        <v>3114</v>
      </c>
      <c r="Z164" t="s">
        <v>3115</v>
      </c>
      <c r="AA164" t="s">
        <v>3116</v>
      </c>
      <c r="AB164" t="s">
        <v>3117</v>
      </c>
      <c r="AC164" t="s">
        <v>74</v>
      </c>
      <c r="AD164" t="s">
        <v>74</v>
      </c>
      <c r="AE164" t="s">
        <v>74</v>
      </c>
      <c r="AF164" t="s">
        <v>74</v>
      </c>
      <c r="AG164">
        <v>54</v>
      </c>
      <c r="AH164">
        <v>3</v>
      </c>
      <c r="AI164">
        <v>3</v>
      </c>
      <c r="AJ164">
        <v>0</v>
      </c>
      <c r="AK164">
        <v>11</v>
      </c>
      <c r="AL164" t="s">
        <v>1203</v>
      </c>
      <c r="AM164" t="s">
        <v>1204</v>
      </c>
      <c r="AN164" t="s">
        <v>1205</v>
      </c>
      <c r="AO164" t="s">
        <v>2726</v>
      </c>
      <c r="AP164" t="s">
        <v>2727</v>
      </c>
      <c r="AQ164" t="s">
        <v>3044</v>
      </c>
      <c r="AR164" t="s">
        <v>2729</v>
      </c>
      <c r="AS164" t="s">
        <v>74</v>
      </c>
      <c r="AT164" t="s">
        <v>74</v>
      </c>
      <c r="AU164">
        <v>2019</v>
      </c>
      <c r="AV164" t="s">
        <v>74</v>
      </c>
      <c r="AW164" t="s">
        <v>74</v>
      </c>
      <c r="AX164" t="s">
        <v>74</v>
      </c>
      <c r="AY164" t="s">
        <v>74</v>
      </c>
      <c r="AZ164" t="s">
        <v>74</v>
      </c>
      <c r="BA164" t="s">
        <v>74</v>
      </c>
      <c r="BB164">
        <v>85</v>
      </c>
      <c r="BC164">
        <v>107</v>
      </c>
      <c r="BD164" t="s">
        <v>74</v>
      </c>
      <c r="BE164" t="s">
        <v>3118</v>
      </c>
      <c r="BF164" t="str">
        <f>HYPERLINK("http://dx.doi.org/10.1007/978-3-030-02786-5_5","http://dx.doi.org/10.1007/978-3-030-02786-5_5")</f>
        <v>http://dx.doi.org/10.1007/978-3-030-02786-5_5</v>
      </c>
      <c r="BG164" t="s">
        <v>3045</v>
      </c>
      <c r="BH164" t="s">
        <v>74</v>
      </c>
      <c r="BI164">
        <v>23</v>
      </c>
      <c r="BJ164" t="s">
        <v>3046</v>
      </c>
      <c r="BK164" t="s">
        <v>159</v>
      </c>
      <c r="BL164" t="s">
        <v>3047</v>
      </c>
      <c r="BM164" t="s">
        <v>3048</v>
      </c>
      <c r="BN164" t="s">
        <v>74</v>
      </c>
      <c r="BO164" t="s">
        <v>74</v>
      </c>
      <c r="BP164" t="s">
        <v>74</v>
      </c>
      <c r="BQ164" t="s">
        <v>74</v>
      </c>
      <c r="BR164" t="s">
        <v>104</v>
      </c>
      <c r="BS164" t="s">
        <v>3119</v>
      </c>
      <c r="BT164" t="str">
        <f>HYPERLINK("https%3A%2F%2Fwww.webofscience.com%2Fwos%2Fwoscc%2Ffull-record%2FWOS:000468822300006","View Full Record in Web of Science")</f>
        <v>View Full Record in Web of Science</v>
      </c>
    </row>
    <row r="165" spans="1:72" x14ac:dyDescent="0.15">
      <c r="A165" t="s">
        <v>133</v>
      </c>
      <c r="B165" t="s">
        <v>3120</v>
      </c>
      <c r="C165" t="s">
        <v>74</v>
      </c>
      <c r="D165" t="s">
        <v>3040</v>
      </c>
      <c r="E165" t="s">
        <v>74</v>
      </c>
      <c r="F165" t="s">
        <v>3121</v>
      </c>
      <c r="G165" t="s">
        <v>74</v>
      </c>
      <c r="H165" t="s">
        <v>74</v>
      </c>
      <c r="I165" t="s">
        <v>3122</v>
      </c>
      <c r="J165" t="s">
        <v>3042</v>
      </c>
      <c r="K165" t="s">
        <v>2721</v>
      </c>
      <c r="L165" t="s">
        <v>74</v>
      </c>
      <c r="M165" t="s">
        <v>78</v>
      </c>
      <c r="N165" t="s">
        <v>140</v>
      </c>
      <c r="O165" t="s">
        <v>74</v>
      </c>
      <c r="P165" t="s">
        <v>74</v>
      </c>
      <c r="Q165" t="s">
        <v>74</v>
      </c>
      <c r="R165" t="s">
        <v>74</v>
      </c>
      <c r="S165" t="s">
        <v>74</v>
      </c>
      <c r="T165" t="s">
        <v>3123</v>
      </c>
      <c r="U165" t="s">
        <v>3124</v>
      </c>
      <c r="V165" t="s">
        <v>3125</v>
      </c>
      <c r="W165" t="s">
        <v>3126</v>
      </c>
      <c r="X165" t="s">
        <v>3127</v>
      </c>
      <c r="Y165" t="s">
        <v>3128</v>
      </c>
      <c r="Z165" t="s">
        <v>3129</v>
      </c>
      <c r="AA165" t="s">
        <v>3130</v>
      </c>
      <c r="AB165" t="s">
        <v>3131</v>
      </c>
      <c r="AC165" t="s">
        <v>74</v>
      </c>
      <c r="AD165" t="s">
        <v>74</v>
      </c>
      <c r="AE165" t="s">
        <v>74</v>
      </c>
      <c r="AF165" t="s">
        <v>74</v>
      </c>
      <c r="AG165">
        <v>90</v>
      </c>
      <c r="AH165">
        <v>5</v>
      </c>
      <c r="AI165">
        <v>5</v>
      </c>
      <c r="AJ165">
        <v>1</v>
      </c>
      <c r="AK165">
        <v>11</v>
      </c>
      <c r="AL165" t="s">
        <v>1203</v>
      </c>
      <c r="AM165" t="s">
        <v>1204</v>
      </c>
      <c r="AN165" t="s">
        <v>1205</v>
      </c>
      <c r="AO165" t="s">
        <v>2726</v>
      </c>
      <c r="AP165" t="s">
        <v>2727</v>
      </c>
      <c r="AQ165" t="s">
        <v>3044</v>
      </c>
      <c r="AR165" t="s">
        <v>2729</v>
      </c>
      <c r="AS165" t="s">
        <v>74</v>
      </c>
      <c r="AT165" t="s">
        <v>74</v>
      </c>
      <c r="AU165">
        <v>2019</v>
      </c>
      <c r="AV165" t="s">
        <v>74</v>
      </c>
      <c r="AW165" t="s">
        <v>74</v>
      </c>
      <c r="AX165" t="s">
        <v>74</v>
      </c>
      <c r="AY165" t="s">
        <v>74</v>
      </c>
      <c r="AZ165" t="s">
        <v>74</v>
      </c>
      <c r="BA165" t="s">
        <v>74</v>
      </c>
      <c r="BB165">
        <v>109</v>
      </c>
      <c r="BC165">
        <v>131</v>
      </c>
      <c r="BD165" t="s">
        <v>74</v>
      </c>
      <c r="BE165" t="s">
        <v>3132</v>
      </c>
      <c r="BF165" t="str">
        <f>HYPERLINK("http://dx.doi.org/10.1007/978-3-030-02786-5_6","http://dx.doi.org/10.1007/978-3-030-02786-5_6")</f>
        <v>http://dx.doi.org/10.1007/978-3-030-02786-5_6</v>
      </c>
      <c r="BG165" t="s">
        <v>3045</v>
      </c>
      <c r="BH165" t="s">
        <v>74</v>
      </c>
      <c r="BI165">
        <v>23</v>
      </c>
      <c r="BJ165" t="s">
        <v>3046</v>
      </c>
      <c r="BK165" t="s">
        <v>159</v>
      </c>
      <c r="BL165" t="s">
        <v>3047</v>
      </c>
      <c r="BM165" t="s">
        <v>3048</v>
      </c>
      <c r="BN165" t="s">
        <v>74</v>
      </c>
      <c r="BO165" t="s">
        <v>74</v>
      </c>
      <c r="BP165" t="s">
        <v>74</v>
      </c>
      <c r="BQ165" t="s">
        <v>74</v>
      </c>
      <c r="BR165" t="s">
        <v>104</v>
      </c>
      <c r="BS165" t="s">
        <v>3133</v>
      </c>
      <c r="BT165" t="str">
        <f>HYPERLINK("https%3A%2F%2Fwww.webofscience.com%2Fwos%2Fwoscc%2Ffull-record%2FWOS:000468822300007","View Full Record in Web of Science")</f>
        <v>View Full Record in Web of Science</v>
      </c>
    </row>
    <row r="166" spans="1:72" x14ac:dyDescent="0.15">
      <c r="A166" t="s">
        <v>133</v>
      </c>
      <c r="B166" t="s">
        <v>3134</v>
      </c>
      <c r="C166" t="s">
        <v>74</v>
      </c>
      <c r="D166" t="s">
        <v>3040</v>
      </c>
      <c r="E166" t="s">
        <v>74</v>
      </c>
      <c r="F166" t="s">
        <v>3135</v>
      </c>
      <c r="G166" t="s">
        <v>74</v>
      </c>
      <c r="H166" t="s">
        <v>74</v>
      </c>
      <c r="I166" t="s">
        <v>3136</v>
      </c>
      <c r="J166" t="s">
        <v>3042</v>
      </c>
      <c r="K166" t="s">
        <v>2721</v>
      </c>
      <c r="L166" t="s">
        <v>74</v>
      </c>
      <c r="M166" t="s">
        <v>78</v>
      </c>
      <c r="N166" t="s">
        <v>140</v>
      </c>
      <c r="O166" t="s">
        <v>74</v>
      </c>
      <c r="P166" t="s">
        <v>74</v>
      </c>
      <c r="Q166" t="s">
        <v>74</v>
      </c>
      <c r="R166" t="s">
        <v>74</v>
      </c>
      <c r="S166" t="s">
        <v>74</v>
      </c>
      <c r="T166" t="s">
        <v>3137</v>
      </c>
      <c r="U166" t="s">
        <v>3138</v>
      </c>
      <c r="V166" t="s">
        <v>3139</v>
      </c>
      <c r="W166" t="s">
        <v>3140</v>
      </c>
      <c r="X166" t="s">
        <v>3141</v>
      </c>
      <c r="Y166" t="s">
        <v>3142</v>
      </c>
      <c r="Z166" t="s">
        <v>74</v>
      </c>
      <c r="AA166" t="s">
        <v>74</v>
      </c>
      <c r="AB166" t="s">
        <v>3143</v>
      </c>
      <c r="AC166" t="s">
        <v>74</v>
      </c>
      <c r="AD166" t="s">
        <v>74</v>
      </c>
      <c r="AE166" t="s">
        <v>74</v>
      </c>
      <c r="AF166" t="s">
        <v>74</v>
      </c>
      <c r="AG166">
        <v>164</v>
      </c>
      <c r="AH166">
        <v>11</v>
      </c>
      <c r="AI166">
        <v>13</v>
      </c>
      <c r="AJ166">
        <v>0</v>
      </c>
      <c r="AK166">
        <v>4</v>
      </c>
      <c r="AL166" t="s">
        <v>1203</v>
      </c>
      <c r="AM166" t="s">
        <v>1204</v>
      </c>
      <c r="AN166" t="s">
        <v>1205</v>
      </c>
      <c r="AO166" t="s">
        <v>2726</v>
      </c>
      <c r="AP166" t="s">
        <v>2727</v>
      </c>
      <c r="AQ166" t="s">
        <v>3044</v>
      </c>
      <c r="AR166" t="s">
        <v>2729</v>
      </c>
      <c r="AS166" t="s">
        <v>74</v>
      </c>
      <c r="AT166" t="s">
        <v>74</v>
      </c>
      <c r="AU166">
        <v>2019</v>
      </c>
      <c r="AV166" t="s">
        <v>74</v>
      </c>
      <c r="AW166" t="s">
        <v>74</v>
      </c>
      <c r="AX166" t="s">
        <v>74</v>
      </c>
      <c r="AY166" t="s">
        <v>74</v>
      </c>
      <c r="AZ166" t="s">
        <v>74</v>
      </c>
      <c r="BA166" t="s">
        <v>74</v>
      </c>
      <c r="BB166">
        <v>133</v>
      </c>
      <c r="BC166">
        <v>161</v>
      </c>
      <c r="BD166" t="s">
        <v>74</v>
      </c>
      <c r="BE166" t="s">
        <v>3144</v>
      </c>
      <c r="BF166" t="str">
        <f>HYPERLINK("http://dx.doi.org/10.1007/978-3-030-02786-5_7","http://dx.doi.org/10.1007/978-3-030-02786-5_7")</f>
        <v>http://dx.doi.org/10.1007/978-3-030-02786-5_7</v>
      </c>
      <c r="BG166" t="s">
        <v>3045</v>
      </c>
      <c r="BH166" t="s">
        <v>74</v>
      </c>
      <c r="BI166">
        <v>29</v>
      </c>
      <c r="BJ166" t="s">
        <v>3046</v>
      </c>
      <c r="BK166" t="s">
        <v>159</v>
      </c>
      <c r="BL166" t="s">
        <v>3047</v>
      </c>
      <c r="BM166" t="s">
        <v>3048</v>
      </c>
      <c r="BN166" t="s">
        <v>74</v>
      </c>
      <c r="BO166" t="s">
        <v>74</v>
      </c>
      <c r="BP166" t="s">
        <v>74</v>
      </c>
      <c r="BQ166" t="s">
        <v>74</v>
      </c>
      <c r="BR166" t="s">
        <v>104</v>
      </c>
      <c r="BS166" t="s">
        <v>3145</v>
      </c>
      <c r="BT166" t="str">
        <f>HYPERLINK("https%3A%2F%2Fwww.webofscience.com%2Fwos%2Fwoscc%2Ffull-record%2FWOS:000468822300008","View Full Record in Web of Science")</f>
        <v>View Full Record in Web of Science</v>
      </c>
    </row>
    <row r="167" spans="1:72" x14ac:dyDescent="0.15">
      <c r="A167" t="s">
        <v>133</v>
      </c>
      <c r="B167" t="s">
        <v>3146</v>
      </c>
      <c r="C167" t="s">
        <v>74</v>
      </c>
      <c r="D167" t="s">
        <v>3040</v>
      </c>
      <c r="E167" t="s">
        <v>74</v>
      </c>
      <c r="F167" t="s">
        <v>3147</v>
      </c>
      <c r="G167" t="s">
        <v>74</v>
      </c>
      <c r="H167" t="s">
        <v>74</v>
      </c>
      <c r="I167" t="s">
        <v>3148</v>
      </c>
      <c r="J167" t="s">
        <v>3042</v>
      </c>
      <c r="K167" t="s">
        <v>2721</v>
      </c>
      <c r="L167" t="s">
        <v>74</v>
      </c>
      <c r="M167" t="s">
        <v>78</v>
      </c>
      <c r="N167" t="s">
        <v>140</v>
      </c>
      <c r="O167" t="s">
        <v>74</v>
      </c>
      <c r="P167" t="s">
        <v>74</v>
      </c>
      <c r="Q167" t="s">
        <v>74</v>
      </c>
      <c r="R167" t="s">
        <v>74</v>
      </c>
      <c r="S167" t="s">
        <v>74</v>
      </c>
      <c r="T167" t="s">
        <v>3149</v>
      </c>
      <c r="U167" t="s">
        <v>3150</v>
      </c>
      <c r="V167" t="s">
        <v>3151</v>
      </c>
      <c r="W167" t="s">
        <v>3152</v>
      </c>
      <c r="X167" t="s">
        <v>3153</v>
      </c>
      <c r="Y167" t="s">
        <v>3154</v>
      </c>
      <c r="Z167" t="s">
        <v>3155</v>
      </c>
      <c r="AA167" t="s">
        <v>3156</v>
      </c>
      <c r="AB167" t="s">
        <v>3157</v>
      </c>
      <c r="AC167" t="s">
        <v>74</v>
      </c>
      <c r="AD167" t="s">
        <v>74</v>
      </c>
      <c r="AE167" t="s">
        <v>74</v>
      </c>
      <c r="AF167" t="s">
        <v>74</v>
      </c>
      <c r="AG167">
        <v>119</v>
      </c>
      <c r="AH167">
        <v>7</v>
      </c>
      <c r="AI167">
        <v>8</v>
      </c>
      <c r="AJ167">
        <v>4</v>
      </c>
      <c r="AK167">
        <v>19</v>
      </c>
      <c r="AL167" t="s">
        <v>1203</v>
      </c>
      <c r="AM167" t="s">
        <v>1204</v>
      </c>
      <c r="AN167" t="s">
        <v>1205</v>
      </c>
      <c r="AO167" t="s">
        <v>2726</v>
      </c>
      <c r="AP167" t="s">
        <v>2727</v>
      </c>
      <c r="AQ167" t="s">
        <v>3044</v>
      </c>
      <c r="AR167" t="s">
        <v>2729</v>
      </c>
      <c r="AS167" t="s">
        <v>74</v>
      </c>
      <c r="AT167" t="s">
        <v>74</v>
      </c>
      <c r="AU167">
        <v>2019</v>
      </c>
      <c r="AV167" t="s">
        <v>74</v>
      </c>
      <c r="AW167" t="s">
        <v>74</v>
      </c>
      <c r="AX167" t="s">
        <v>74</v>
      </c>
      <c r="AY167" t="s">
        <v>74</v>
      </c>
      <c r="AZ167" t="s">
        <v>74</v>
      </c>
      <c r="BA167" t="s">
        <v>74</v>
      </c>
      <c r="BB167">
        <v>163</v>
      </c>
      <c r="BC167">
        <v>196</v>
      </c>
      <c r="BD167" t="s">
        <v>74</v>
      </c>
      <c r="BE167" t="s">
        <v>3158</v>
      </c>
      <c r="BF167" t="str">
        <f>HYPERLINK("http://dx.doi.org/10.1007/978-3-030-02786-5_8","http://dx.doi.org/10.1007/978-3-030-02786-5_8")</f>
        <v>http://dx.doi.org/10.1007/978-3-030-02786-5_8</v>
      </c>
      <c r="BG167" t="s">
        <v>3045</v>
      </c>
      <c r="BH167" t="s">
        <v>74</v>
      </c>
      <c r="BI167">
        <v>34</v>
      </c>
      <c r="BJ167" t="s">
        <v>3046</v>
      </c>
      <c r="BK167" t="s">
        <v>159</v>
      </c>
      <c r="BL167" t="s">
        <v>3047</v>
      </c>
      <c r="BM167" t="s">
        <v>3048</v>
      </c>
      <c r="BN167" t="s">
        <v>74</v>
      </c>
      <c r="BO167" t="s">
        <v>74</v>
      </c>
      <c r="BP167" t="s">
        <v>74</v>
      </c>
      <c r="BQ167" t="s">
        <v>74</v>
      </c>
      <c r="BR167" t="s">
        <v>104</v>
      </c>
      <c r="BS167" t="s">
        <v>3159</v>
      </c>
      <c r="BT167" t="str">
        <f>HYPERLINK("https%3A%2F%2Fwww.webofscience.com%2Fwos%2Fwoscc%2Ffull-record%2FWOS:000468822300009","View Full Record in Web of Science")</f>
        <v>View Full Record in Web of Science</v>
      </c>
    </row>
    <row r="168" spans="1:72" x14ac:dyDescent="0.15">
      <c r="A168" t="s">
        <v>133</v>
      </c>
      <c r="B168" t="s">
        <v>3160</v>
      </c>
      <c r="C168" t="s">
        <v>74</v>
      </c>
      <c r="D168" t="s">
        <v>3040</v>
      </c>
      <c r="E168" t="s">
        <v>74</v>
      </c>
      <c r="F168" t="s">
        <v>3161</v>
      </c>
      <c r="G168" t="s">
        <v>74</v>
      </c>
      <c r="H168" t="s">
        <v>74</v>
      </c>
      <c r="I168" t="s">
        <v>3162</v>
      </c>
      <c r="J168" t="s">
        <v>3042</v>
      </c>
      <c r="K168" t="s">
        <v>2721</v>
      </c>
      <c r="L168" t="s">
        <v>74</v>
      </c>
      <c r="M168" t="s">
        <v>78</v>
      </c>
      <c r="N168" t="s">
        <v>140</v>
      </c>
      <c r="O168" t="s">
        <v>74</v>
      </c>
      <c r="P168" t="s">
        <v>74</v>
      </c>
      <c r="Q168" t="s">
        <v>74</v>
      </c>
      <c r="R168" t="s">
        <v>74</v>
      </c>
      <c r="S168" t="s">
        <v>74</v>
      </c>
      <c r="T168" t="s">
        <v>3163</v>
      </c>
      <c r="U168" t="s">
        <v>3164</v>
      </c>
      <c r="V168" t="s">
        <v>3165</v>
      </c>
      <c r="W168" t="s">
        <v>3166</v>
      </c>
      <c r="X168" t="s">
        <v>3167</v>
      </c>
      <c r="Y168" t="s">
        <v>3168</v>
      </c>
      <c r="Z168" t="s">
        <v>3169</v>
      </c>
      <c r="AA168" t="s">
        <v>74</v>
      </c>
      <c r="AB168" t="s">
        <v>74</v>
      </c>
      <c r="AC168" t="s">
        <v>74</v>
      </c>
      <c r="AD168" t="s">
        <v>74</v>
      </c>
      <c r="AE168" t="s">
        <v>74</v>
      </c>
      <c r="AF168" t="s">
        <v>74</v>
      </c>
      <c r="AG168">
        <v>93</v>
      </c>
      <c r="AH168">
        <v>0</v>
      </c>
      <c r="AI168">
        <v>0</v>
      </c>
      <c r="AJ168">
        <v>0</v>
      </c>
      <c r="AK168">
        <v>6</v>
      </c>
      <c r="AL168" t="s">
        <v>1203</v>
      </c>
      <c r="AM168" t="s">
        <v>1204</v>
      </c>
      <c r="AN168" t="s">
        <v>1205</v>
      </c>
      <c r="AO168" t="s">
        <v>2726</v>
      </c>
      <c r="AP168" t="s">
        <v>2727</v>
      </c>
      <c r="AQ168" t="s">
        <v>3044</v>
      </c>
      <c r="AR168" t="s">
        <v>2729</v>
      </c>
      <c r="AS168" t="s">
        <v>74</v>
      </c>
      <c r="AT168" t="s">
        <v>74</v>
      </c>
      <c r="AU168">
        <v>2019</v>
      </c>
      <c r="AV168" t="s">
        <v>74</v>
      </c>
      <c r="AW168" t="s">
        <v>74</v>
      </c>
      <c r="AX168" t="s">
        <v>74</v>
      </c>
      <c r="AY168" t="s">
        <v>74</v>
      </c>
      <c r="AZ168" t="s">
        <v>74</v>
      </c>
      <c r="BA168" t="s">
        <v>74</v>
      </c>
      <c r="BB168">
        <v>197</v>
      </c>
      <c r="BC168">
        <v>217</v>
      </c>
      <c r="BD168" t="s">
        <v>74</v>
      </c>
      <c r="BE168" t="s">
        <v>3170</v>
      </c>
      <c r="BF168" t="str">
        <f>HYPERLINK("http://dx.doi.org/10.1007/978-3-030-02786-5_9","http://dx.doi.org/10.1007/978-3-030-02786-5_9")</f>
        <v>http://dx.doi.org/10.1007/978-3-030-02786-5_9</v>
      </c>
      <c r="BG168" t="s">
        <v>3045</v>
      </c>
      <c r="BH168" t="s">
        <v>74</v>
      </c>
      <c r="BI168">
        <v>21</v>
      </c>
      <c r="BJ168" t="s">
        <v>3046</v>
      </c>
      <c r="BK168" t="s">
        <v>159</v>
      </c>
      <c r="BL168" t="s">
        <v>3047</v>
      </c>
      <c r="BM168" t="s">
        <v>3048</v>
      </c>
      <c r="BN168" t="s">
        <v>74</v>
      </c>
      <c r="BO168" t="s">
        <v>74</v>
      </c>
      <c r="BP168" t="s">
        <v>74</v>
      </c>
      <c r="BQ168" t="s">
        <v>74</v>
      </c>
      <c r="BR168" t="s">
        <v>104</v>
      </c>
      <c r="BS168" t="s">
        <v>3171</v>
      </c>
      <c r="BT168" t="str">
        <f>HYPERLINK("https%3A%2F%2Fwww.webofscience.com%2Fwos%2Fwoscc%2Ffull-record%2FWOS:000468822300010","View Full Record in Web of Science")</f>
        <v>View Full Record in Web of Science</v>
      </c>
    </row>
    <row r="169" spans="1:72" x14ac:dyDescent="0.15">
      <c r="A169" t="s">
        <v>133</v>
      </c>
      <c r="B169" t="s">
        <v>3172</v>
      </c>
      <c r="C169" t="s">
        <v>74</v>
      </c>
      <c r="D169" t="s">
        <v>3040</v>
      </c>
      <c r="E169" t="s">
        <v>74</v>
      </c>
      <c r="F169" t="s">
        <v>3173</v>
      </c>
      <c r="G169" t="s">
        <v>74</v>
      </c>
      <c r="H169" t="s">
        <v>74</v>
      </c>
      <c r="I169" t="s">
        <v>3174</v>
      </c>
      <c r="J169" t="s">
        <v>3042</v>
      </c>
      <c r="K169" t="s">
        <v>2721</v>
      </c>
      <c r="L169" t="s">
        <v>74</v>
      </c>
      <c r="M169" t="s">
        <v>78</v>
      </c>
      <c r="N169" t="s">
        <v>140</v>
      </c>
      <c r="O169" t="s">
        <v>74</v>
      </c>
      <c r="P169" t="s">
        <v>74</v>
      </c>
      <c r="Q169" t="s">
        <v>74</v>
      </c>
      <c r="R169" t="s">
        <v>74</v>
      </c>
      <c r="S169" t="s">
        <v>74</v>
      </c>
      <c r="T169" t="s">
        <v>3175</v>
      </c>
      <c r="U169" t="s">
        <v>3176</v>
      </c>
      <c r="V169" t="s">
        <v>3177</v>
      </c>
      <c r="W169" t="s">
        <v>3178</v>
      </c>
      <c r="X169" t="s">
        <v>3113</v>
      </c>
      <c r="Y169" t="s">
        <v>3179</v>
      </c>
      <c r="Z169" t="s">
        <v>3180</v>
      </c>
      <c r="AA169" t="s">
        <v>3181</v>
      </c>
      <c r="AB169" t="s">
        <v>3182</v>
      </c>
      <c r="AC169" t="s">
        <v>74</v>
      </c>
      <c r="AD169" t="s">
        <v>74</v>
      </c>
      <c r="AE169" t="s">
        <v>74</v>
      </c>
      <c r="AF169" t="s">
        <v>74</v>
      </c>
      <c r="AG169">
        <v>52</v>
      </c>
      <c r="AH169">
        <v>9</v>
      </c>
      <c r="AI169">
        <v>9</v>
      </c>
      <c r="AJ169">
        <v>1</v>
      </c>
      <c r="AK169">
        <v>5</v>
      </c>
      <c r="AL169" t="s">
        <v>1203</v>
      </c>
      <c r="AM169" t="s">
        <v>1204</v>
      </c>
      <c r="AN169" t="s">
        <v>1205</v>
      </c>
      <c r="AO169" t="s">
        <v>2726</v>
      </c>
      <c r="AP169" t="s">
        <v>2727</v>
      </c>
      <c r="AQ169" t="s">
        <v>3044</v>
      </c>
      <c r="AR169" t="s">
        <v>2729</v>
      </c>
      <c r="AS169" t="s">
        <v>74</v>
      </c>
      <c r="AT169" t="s">
        <v>74</v>
      </c>
      <c r="AU169">
        <v>2019</v>
      </c>
      <c r="AV169" t="s">
        <v>74</v>
      </c>
      <c r="AW169" t="s">
        <v>74</v>
      </c>
      <c r="AX169" t="s">
        <v>74</v>
      </c>
      <c r="AY169" t="s">
        <v>74</v>
      </c>
      <c r="AZ169" t="s">
        <v>74</v>
      </c>
      <c r="BA169" t="s">
        <v>74</v>
      </c>
      <c r="BB169">
        <v>221</v>
      </c>
      <c r="BC169">
        <v>237</v>
      </c>
      <c r="BD169" t="s">
        <v>74</v>
      </c>
      <c r="BE169" t="s">
        <v>3183</v>
      </c>
      <c r="BF169" t="str">
        <f>HYPERLINK("http://dx.doi.org/10.1007/978-3-030-02786-5_10","http://dx.doi.org/10.1007/978-3-030-02786-5_10")</f>
        <v>http://dx.doi.org/10.1007/978-3-030-02786-5_10</v>
      </c>
      <c r="BG169" t="s">
        <v>3045</v>
      </c>
      <c r="BH169" t="s">
        <v>74</v>
      </c>
      <c r="BI169">
        <v>17</v>
      </c>
      <c r="BJ169" t="s">
        <v>3046</v>
      </c>
      <c r="BK169" t="s">
        <v>159</v>
      </c>
      <c r="BL169" t="s">
        <v>3047</v>
      </c>
      <c r="BM169" t="s">
        <v>3048</v>
      </c>
      <c r="BN169" t="s">
        <v>74</v>
      </c>
      <c r="BO169" t="s">
        <v>74</v>
      </c>
      <c r="BP169" t="s">
        <v>74</v>
      </c>
      <c r="BQ169" t="s">
        <v>74</v>
      </c>
      <c r="BR169" t="s">
        <v>104</v>
      </c>
      <c r="BS169" t="s">
        <v>3184</v>
      </c>
      <c r="BT169" t="str">
        <f>HYPERLINK("https%3A%2F%2Fwww.webofscience.com%2Fwos%2Fwoscc%2Ffull-record%2FWOS:000468822300011","View Full Record in Web of Science")</f>
        <v>View Full Record in Web of Science</v>
      </c>
    </row>
    <row r="170" spans="1:72" x14ac:dyDescent="0.15">
      <c r="A170" t="s">
        <v>133</v>
      </c>
      <c r="B170" t="s">
        <v>3185</v>
      </c>
      <c r="C170" t="s">
        <v>74</v>
      </c>
      <c r="D170" t="s">
        <v>3040</v>
      </c>
      <c r="E170" t="s">
        <v>74</v>
      </c>
      <c r="F170" t="s">
        <v>3186</v>
      </c>
      <c r="G170" t="s">
        <v>74</v>
      </c>
      <c r="H170" t="s">
        <v>74</v>
      </c>
      <c r="I170" t="s">
        <v>3187</v>
      </c>
      <c r="J170" t="s">
        <v>3042</v>
      </c>
      <c r="K170" t="s">
        <v>2721</v>
      </c>
      <c r="L170" t="s">
        <v>74</v>
      </c>
      <c r="M170" t="s">
        <v>78</v>
      </c>
      <c r="N170" t="s">
        <v>140</v>
      </c>
      <c r="O170" t="s">
        <v>74</v>
      </c>
      <c r="P170" t="s">
        <v>74</v>
      </c>
      <c r="Q170" t="s">
        <v>74</v>
      </c>
      <c r="R170" t="s">
        <v>74</v>
      </c>
      <c r="S170" t="s">
        <v>74</v>
      </c>
      <c r="T170" t="s">
        <v>3188</v>
      </c>
      <c r="U170" t="s">
        <v>3189</v>
      </c>
      <c r="V170" t="s">
        <v>3190</v>
      </c>
      <c r="W170" t="s">
        <v>3191</v>
      </c>
      <c r="X170" t="s">
        <v>3192</v>
      </c>
      <c r="Y170" t="s">
        <v>3193</v>
      </c>
      <c r="Z170" t="s">
        <v>3194</v>
      </c>
      <c r="AA170" t="s">
        <v>3195</v>
      </c>
      <c r="AB170" t="s">
        <v>3196</v>
      </c>
      <c r="AC170" t="s">
        <v>74</v>
      </c>
      <c r="AD170" t="s">
        <v>74</v>
      </c>
      <c r="AE170" t="s">
        <v>74</v>
      </c>
      <c r="AF170" t="s">
        <v>74</v>
      </c>
      <c r="AG170">
        <v>54</v>
      </c>
      <c r="AH170">
        <v>14</v>
      </c>
      <c r="AI170">
        <v>15</v>
      </c>
      <c r="AJ170">
        <v>2</v>
      </c>
      <c r="AK170">
        <v>10</v>
      </c>
      <c r="AL170" t="s">
        <v>1203</v>
      </c>
      <c r="AM170" t="s">
        <v>1204</v>
      </c>
      <c r="AN170" t="s">
        <v>1205</v>
      </c>
      <c r="AO170" t="s">
        <v>2726</v>
      </c>
      <c r="AP170" t="s">
        <v>2727</v>
      </c>
      <c r="AQ170" t="s">
        <v>3044</v>
      </c>
      <c r="AR170" t="s">
        <v>2729</v>
      </c>
      <c r="AS170" t="s">
        <v>74</v>
      </c>
      <c r="AT170" t="s">
        <v>74</v>
      </c>
      <c r="AU170">
        <v>2019</v>
      </c>
      <c r="AV170" t="s">
        <v>74</v>
      </c>
      <c r="AW170" t="s">
        <v>74</v>
      </c>
      <c r="AX170" t="s">
        <v>74</v>
      </c>
      <c r="AY170" t="s">
        <v>74</v>
      </c>
      <c r="AZ170" t="s">
        <v>74</v>
      </c>
      <c r="BA170" t="s">
        <v>74</v>
      </c>
      <c r="BB170">
        <v>239</v>
      </c>
      <c r="BC170">
        <v>255</v>
      </c>
      <c r="BD170" t="s">
        <v>74</v>
      </c>
      <c r="BE170" t="s">
        <v>3197</v>
      </c>
      <c r="BF170" t="str">
        <f>HYPERLINK("http://dx.doi.org/10.1007/978-3-030-02786-5_11","http://dx.doi.org/10.1007/978-3-030-02786-5_11")</f>
        <v>http://dx.doi.org/10.1007/978-3-030-02786-5_11</v>
      </c>
      <c r="BG170" t="s">
        <v>3045</v>
      </c>
      <c r="BH170" t="s">
        <v>74</v>
      </c>
      <c r="BI170">
        <v>17</v>
      </c>
      <c r="BJ170" t="s">
        <v>3046</v>
      </c>
      <c r="BK170" t="s">
        <v>159</v>
      </c>
      <c r="BL170" t="s">
        <v>3047</v>
      </c>
      <c r="BM170" t="s">
        <v>3048</v>
      </c>
      <c r="BN170" t="s">
        <v>74</v>
      </c>
      <c r="BO170" t="s">
        <v>74</v>
      </c>
      <c r="BP170" t="s">
        <v>74</v>
      </c>
      <c r="BQ170" t="s">
        <v>74</v>
      </c>
      <c r="BR170" t="s">
        <v>104</v>
      </c>
      <c r="BS170" t="s">
        <v>3198</v>
      </c>
      <c r="BT170" t="str">
        <f>HYPERLINK("https%3A%2F%2Fwww.webofscience.com%2Fwos%2Fwoscc%2Ffull-record%2FWOS:000468822300012","View Full Record in Web of Science")</f>
        <v>View Full Record in Web of Science</v>
      </c>
    </row>
    <row r="171" spans="1:72" x14ac:dyDescent="0.15">
      <c r="A171" t="s">
        <v>133</v>
      </c>
      <c r="B171" t="s">
        <v>3199</v>
      </c>
      <c r="C171" t="s">
        <v>74</v>
      </c>
      <c r="D171" t="s">
        <v>3040</v>
      </c>
      <c r="E171" t="s">
        <v>74</v>
      </c>
      <c r="F171" t="s">
        <v>3200</v>
      </c>
      <c r="G171" t="s">
        <v>74</v>
      </c>
      <c r="H171" t="s">
        <v>74</v>
      </c>
      <c r="I171" t="s">
        <v>3201</v>
      </c>
      <c r="J171" t="s">
        <v>3042</v>
      </c>
      <c r="K171" t="s">
        <v>2721</v>
      </c>
      <c r="L171" t="s">
        <v>74</v>
      </c>
      <c r="M171" t="s">
        <v>78</v>
      </c>
      <c r="N171" t="s">
        <v>140</v>
      </c>
      <c r="O171" t="s">
        <v>74</v>
      </c>
      <c r="P171" t="s">
        <v>74</v>
      </c>
      <c r="Q171" t="s">
        <v>74</v>
      </c>
      <c r="R171" t="s">
        <v>74</v>
      </c>
      <c r="S171" t="s">
        <v>74</v>
      </c>
      <c r="T171" t="s">
        <v>3202</v>
      </c>
      <c r="U171" t="s">
        <v>3203</v>
      </c>
      <c r="V171" t="s">
        <v>3204</v>
      </c>
      <c r="W171" t="s">
        <v>3205</v>
      </c>
      <c r="X171" t="s">
        <v>3206</v>
      </c>
      <c r="Y171" t="s">
        <v>3207</v>
      </c>
      <c r="Z171" t="s">
        <v>3208</v>
      </c>
      <c r="AA171" t="s">
        <v>3209</v>
      </c>
      <c r="AB171" t="s">
        <v>3210</v>
      </c>
      <c r="AC171" t="s">
        <v>74</v>
      </c>
      <c r="AD171" t="s">
        <v>74</v>
      </c>
      <c r="AE171" t="s">
        <v>74</v>
      </c>
      <c r="AF171" t="s">
        <v>74</v>
      </c>
      <c r="AG171">
        <v>99</v>
      </c>
      <c r="AH171">
        <v>2</v>
      </c>
      <c r="AI171">
        <v>4</v>
      </c>
      <c r="AJ171">
        <v>4</v>
      </c>
      <c r="AK171">
        <v>11</v>
      </c>
      <c r="AL171" t="s">
        <v>1203</v>
      </c>
      <c r="AM171" t="s">
        <v>1204</v>
      </c>
      <c r="AN171" t="s">
        <v>1205</v>
      </c>
      <c r="AO171" t="s">
        <v>2726</v>
      </c>
      <c r="AP171" t="s">
        <v>2727</v>
      </c>
      <c r="AQ171" t="s">
        <v>3044</v>
      </c>
      <c r="AR171" t="s">
        <v>2729</v>
      </c>
      <c r="AS171" t="s">
        <v>74</v>
      </c>
      <c r="AT171" t="s">
        <v>74</v>
      </c>
      <c r="AU171">
        <v>2019</v>
      </c>
      <c r="AV171" t="s">
        <v>74</v>
      </c>
      <c r="AW171" t="s">
        <v>74</v>
      </c>
      <c r="AX171" t="s">
        <v>74</v>
      </c>
      <c r="AY171" t="s">
        <v>74</v>
      </c>
      <c r="AZ171" t="s">
        <v>74</v>
      </c>
      <c r="BA171" t="s">
        <v>74</v>
      </c>
      <c r="BB171">
        <v>257</v>
      </c>
      <c r="BC171">
        <v>275</v>
      </c>
      <c r="BD171" t="s">
        <v>74</v>
      </c>
      <c r="BE171" t="s">
        <v>3211</v>
      </c>
      <c r="BF171" t="str">
        <f>HYPERLINK("http://dx.doi.org/10.1007/978-3-030-02786-5_12","http://dx.doi.org/10.1007/978-3-030-02786-5_12")</f>
        <v>http://dx.doi.org/10.1007/978-3-030-02786-5_12</v>
      </c>
      <c r="BG171" t="s">
        <v>3045</v>
      </c>
      <c r="BH171" t="s">
        <v>74</v>
      </c>
      <c r="BI171">
        <v>19</v>
      </c>
      <c r="BJ171" t="s">
        <v>3046</v>
      </c>
      <c r="BK171" t="s">
        <v>159</v>
      </c>
      <c r="BL171" t="s">
        <v>3047</v>
      </c>
      <c r="BM171" t="s">
        <v>3048</v>
      </c>
      <c r="BN171" t="s">
        <v>74</v>
      </c>
      <c r="BO171" t="s">
        <v>74</v>
      </c>
      <c r="BP171" t="s">
        <v>74</v>
      </c>
      <c r="BQ171" t="s">
        <v>74</v>
      </c>
      <c r="BR171" t="s">
        <v>104</v>
      </c>
      <c r="BS171" t="s">
        <v>3212</v>
      </c>
      <c r="BT171" t="str">
        <f>HYPERLINK("https%3A%2F%2Fwww.webofscience.com%2Fwos%2Fwoscc%2Ffull-record%2FWOS:000468822300013","View Full Record in Web of Science")</f>
        <v>View Full Record in Web of Science</v>
      </c>
    </row>
    <row r="172" spans="1:72" x14ac:dyDescent="0.15">
      <c r="A172" t="s">
        <v>133</v>
      </c>
      <c r="B172" t="s">
        <v>3213</v>
      </c>
      <c r="C172" t="s">
        <v>74</v>
      </c>
      <c r="D172" t="s">
        <v>3040</v>
      </c>
      <c r="E172" t="s">
        <v>74</v>
      </c>
      <c r="F172" t="s">
        <v>3214</v>
      </c>
      <c r="G172" t="s">
        <v>74</v>
      </c>
      <c r="H172" t="s">
        <v>74</v>
      </c>
      <c r="I172" t="s">
        <v>3215</v>
      </c>
      <c r="J172" t="s">
        <v>3042</v>
      </c>
      <c r="K172" t="s">
        <v>2721</v>
      </c>
      <c r="L172" t="s">
        <v>74</v>
      </c>
      <c r="M172" t="s">
        <v>78</v>
      </c>
      <c r="N172" t="s">
        <v>140</v>
      </c>
      <c r="O172" t="s">
        <v>74</v>
      </c>
      <c r="P172" t="s">
        <v>74</v>
      </c>
      <c r="Q172" t="s">
        <v>74</v>
      </c>
      <c r="R172" t="s">
        <v>74</v>
      </c>
      <c r="S172" t="s">
        <v>74</v>
      </c>
      <c r="T172" t="s">
        <v>3216</v>
      </c>
      <c r="U172" t="s">
        <v>3217</v>
      </c>
      <c r="V172" t="s">
        <v>3218</v>
      </c>
      <c r="W172" t="s">
        <v>3219</v>
      </c>
      <c r="X172" t="s">
        <v>3220</v>
      </c>
      <c r="Y172" t="s">
        <v>3128</v>
      </c>
      <c r="Z172" t="s">
        <v>3129</v>
      </c>
      <c r="AA172" t="s">
        <v>3130</v>
      </c>
      <c r="AB172" t="s">
        <v>3131</v>
      </c>
      <c r="AC172" t="s">
        <v>74</v>
      </c>
      <c r="AD172" t="s">
        <v>74</v>
      </c>
      <c r="AE172" t="s">
        <v>74</v>
      </c>
      <c r="AF172" t="s">
        <v>74</v>
      </c>
      <c r="AG172">
        <v>48</v>
      </c>
      <c r="AH172">
        <v>13</v>
      </c>
      <c r="AI172">
        <v>13</v>
      </c>
      <c r="AJ172">
        <v>0</v>
      </c>
      <c r="AK172">
        <v>2</v>
      </c>
      <c r="AL172" t="s">
        <v>1203</v>
      </c>
      <c r="AM172" t="s">
        <v>1204</v>
      </c>
      <c r="AN172" t="s">
        <v>1205</v>
      </c>
      <c r="AO172" t="s">
        <v>2726</v>
      </c>
      <c r="AP172" t="s">
        <v>2727</v>
      </c>
      <c r="AQ172" t="s">
        <v>3044</v>
      </c>
      <c r="AR172" t="s">
        <v>2729</v>
      </c>
      <c r="AS172" t="s">
        <v>74</v>
      </c>
      <c r="AT172" t="s">
        <v>74</v>
      </c>
      <c r="AU172">
        <v>2019</v>
      </c>
      <c r="AV172" t="s">
        <v>74</v>
      </c>
      <c r="AW172" t="s">
        <v>74</v>
      </c>
      <c r="AX172" t="s">
        <v>74</v>
      </c>
      <c r="AY172" t="s">
        <v>74</v>
      </c>
      <c r="AZ172" t="s">
        <v>74</v>
      </c>
      <c r="BA172" t="s">
        <v>74</v>
      </c>
      <c r="BB172">
        <v>277</v>
      </c>
      <c r="BC172">
        <v>296</v>
      </c>
      <c r="BD172" t="s">
        <v>74</v>
      </c>
      <c r="BE172" t="s">
        <v>3221</v>
      </c>
      <c r="BF172" t="str">
        <f>HYPERLINK("http://dx.doi.org/10.1007/978-3-030-02786-5_13","http://dx.doi.org/10.1007/978-3-030-02786-5_13")</f>
        <v>http://dx.doi.org/10.1007/978-3-030-02786-5_13</v>
      </c>
      <c r="BG172" t="s">
        <v>3045</v>
      </c>
      <c r="BH172" t="s">
        <v>74</v>
      </c>
      <c r="BI172">
        <v>20</v>
      </c>
      <c r="BJ172" t="s">
        <v>3046</v>
      </c>
      <c r="BK172" t="s">
        <v>159</v>
      </c>
      <c r="BL172" t="s">
        <v>3047</v>
      </c>
      <c r="BM172" t="s">
        <v>3048</v>
      </c>
      <c r="BN172" t="s">
        <v>74</v>
      </c>
      <c r="BO172" t="s">
        <v>162</v>
      </c>
      <c r="BP172" t="s">
        <v>74</v>
      </c>
      <c r="BQ172" t="s">
        <v>74</v>
      </c>
      <c r="BR172" t="s">
        <v>104</v>
      </c>
      <c r="BS172" t="s">
        <v>3222</v>
      </c>
      <c r="BT172" t="str">
        <f>HYPERLINK("https%3A%2F%2Fwww.webofscience.com%2Fwos%2Fwoscc%2Ffull-record%2FWOS:000468822300014","View Full Record in Web of Science")</f>
        <v>View Full Record in Web of Science</v>
      </c>
    </row>
    <row r="173" spans="1:72" x14ac:dyDescent="0.15">
      <c r="A173" t="s">
        <v>72</v>
      </c>
      <c r="B173" t="s">
        <v>3223</v>
      </c>
      <c r="C173" t="s">
        <v>74</v>
      </c>
      <c r="D173" t="s">
        <v>74</v>
      </c>
      <c r="E173" t="s">
        <v>74</v>
      </c>
      <c r="F173" t="s">
        <v>3224</v>
      </c>
      <c r="G173" t="s">
        <v>74</v>
      </c>
      <c r="H173" t="s">
        <v>74</v>
      </c>
      <c r="I173" t="s">
        <v>3225</v>
      </c>
      <c r="J173" t="s">
        <v>3226</v>
      </c>
      <c r="K173" t="s">
        <v>74</v>
      </c>
      <c r="L173" t="s">
        <v>74</v>
      </c>
      <c r="M173" t="s">
        <v>78</v>
      </c>
      <c r="N173" t="s">
        <v>79</v>
      </c>
      <c r="O173" t="s">
        <v>74</v>
      </c>
      <c r="P173" t="s">
        <v>74</v>
      </c>
      <c r="Q173" t="s">
        <v>74</v>
      </c>
      <c r="R173" t="s">
        <v>74</v>
      </c>
      <c r="S173" t="s">
        <v>74</v>
      </c>
      <c r="T173" t="s">
        <v>3227</v>
      </c>
      <c r="U173" t="s">
        <v>3228</v>
      </c>
      <c r="V173" t="s">
        <v>3229</v>
      </c>
      <c r="W173" t="s">
        <v>3230</v>
      </c>
      <c r="X173" t="s">
        <v>3231</v>
      </c>
      <c r="Y173" t="s">
        <v>3232</v>
      </c>
      <c r="Z173" t="s">
        <v>3233</v>
      </c>
      <c r="AA173" t="s">
        <v>3234</v>
      </c>
      <c r="AB173" t="s">
        <v>3235</v>
      </c>
      <c r="AC173" t="s">
        <v>3236</v>
      </c>
      <c r="AD173" t="s">
        <v>3237</v>
      </c>
      <c r="AE173" t="s">
        <v>3238</v>
      </c>
      <c r="AF173" t="s">
        <v>74</v>
      </c>
      <c r="AG173">
        <v>37</v>
      </c>
      <c r="AH173">
        <v>6</v>
      </c>
      <c r="AI173">
        <v>6</v>
      </c>
      <c r="AJ173">
        <v>0</v>
      </c>
      <c r="AK173">
        <v>5</v>
      </c>
      <c r="AL173" t="s">
        <v>3239</v>
      </c>
      <c r="AM173" t="s">
        <v>877</v>
      </c>
      <c r="AN173" t="s">
        <v>3240</v>
      </c>
      <c r="AO173" t="s">
        <v>3241</v>
      </c>
      <c r="AP173" t="s">
        <v>3242</v>
      </c>
      <c r="AQ173" t="s">
        <v>74</v>
      </c>
      <c r="AR173" t="s">
        <v>3243</v>
      </c>
      <c r="AS173" t="s">
        <v>3244</v>
      </c>
      <c r="AT173" t="s">
        <v>718</v>
      </c>
      <c r="AU173">
        <v>2019</v>
      </c>
      <c r="AV173">
        <v>32</v>
      </c>
      <c r="AW173">
        <v>1</v>
      </c>
      <c r="AX173" t="s">
        <v>74</v>
      </c>
      <c r="AY173" t="s">
        <v>74</v>
      </c>
      <c r="AZ173" t="s">
        <v>74</v>
      </c>
      <c r="BA173" t="s">
        <v>74</v>
      </c>
      <c r="BB173">
        <v>33</v>
      </c>
      <c r="BC173">
        <v>40</v>
      </c>
      <c r="BD173" t="s">
        <v>74</v>
      </c>
      <c r="BE173" t="s">
        <v>3245</v>
      </c>
      <c r="BF173" t="str">
        <f>HYPERLINK("http://dx.doi.org/10.1134/S1024856019010147","http://dx.doi.org/10.1134/S1024856019010147")</f>
        <v>http://dx.doi.org/10.1134/S1024856019010147</v>
      </c>
      <c r="BG173" t="s">
        <v>74</v>
      </c>
      <c r="BH173" t="s">
        <v>74</v>
      </c>
      <c r="BI173">
        <v>8</v>
      </c>
      <c r="BJ173" t="s">
        <v>3246</v>
      </c>
      <c r="BK173" t="s">
        <v>349</v>
      </c>
      <c r="BL173" t="s">
        <v>3246</v>
      </c>
      <c r="BM173" t="s">
        <v>3247</v>
      </c>
      <c r="BN173" t="s">
        <v>74</v>
      </c>
      <c r="BO173" t="s">
        <v>74</v>
      </c>
      <c r="BP173" t="s">
        <v>74</v>
      </c>
      <c r="BQ173" t="s">
        <v>74</v>
      </c>
      <c r="BR173" t="s">
        <v>104</v>
      </c>
      <c r="BS173" t="s">
        <v>3248</v>
      </c>
      <c r="BT173" t="str">
        <f>HYPERLINK("https%3A%2F%2Fwww.webofscience.com%2Fwos%2Fwoscc%2Ffull-record%2FWOS:000468031400005","View Full Record in Web of Science")</f>
        <v>View Full Record in Web of Science</v>
      </c>
    </row>
    <row r="174" spans="1:72" x14ac:dyDescent="0.15">
      <c r="A174" t="s">
        <v>72</v>
      </c>
      <c r="B174" t="s">
        <v>3249</v>
      </c>
      <c r="C174" t="s">
        <v>74</v>
      </c>
      <c r="D174" t="s">
        <v>74</v>
      </c>
      <c r="E174" t="s">
        <v>74</v>
      </c>
      <c r="F174" t="s">
        <v>3250</v>
      </c>
      <c r="G174" t="s">
        <v>74</v>
      </c>
      <c r="H174" t="s">
        <v>74</v>
      </c>
      <c r="I174" t="s">
        <v>3251</v>
      </c>
      <c r="J174" t="s">
        <v>3252</v>
      </c>
      <c r="K174" t="s">
        <v>74</v>
      </c>
      <c r="L174" t="s">
        <v>74</v>
      </c>
      <c r="M174" t="s">
        <v>78</v>
      </c>
      <c r="N174" t="s">
        <v>79</v>
      </c>
      <c r="O174" t="s">
        <v>74</v>
      </c>
      <c r="P174" t="s">
        <v>74</v>
      </c>
      <c r="Q174" t="s">
        <v>74</v>
      </c>
      <c r="R174" t="s">
        <v>74</v>
      </c>
      <c r="S174" t="s">
        <v>74</v>
      </c>
      <c r="T174" t="s">
        <v>3253</v>
      </c>
      <c r="U174" t="s">
        <v>3254</v>
      </c>
      <c r="V174" t="s">
        <v>3255</v>
      </c>
      <c r="W174" t="s">
        <v>3256</v>
      </c>
      <c r="X174" t="s">
        <v>3257</v>
      </c>
      <c r="Y174" t="s">
        <v>3258</v>
      </c>
      <c r="Z174" t="s">
        <v>3259</v>
      </c>
      <c r="AA174" t="s">
        <v>3260</v>
      </c>
      <c r="AB174" t="s">
        <v>3261</v>
      </c>
      <c r="AC174" t="s">
        <v>3262</v>
      </c>
      <c r="AD174" t="s">
        <v>3263</v>
      </c>
      <c r="AE174" t="s">
        <v>3264</v>
      </c>
      <c r="AF174" t="s">
        <v>74</v>
      </c>
      <c r="AG174">
        <v>37</v>
      </c>
      <c r="AH174">
        <v>3</v>
      </c>
      <c r="AI174">
        <v>5</v>
      </c>
      <c r="AJ174">
        <v>0</v>
      </c>
      <c r="AK174">
        <v>8</v>
      </c>
      <c r="AL174" t="s">
        <v>210</v>
      </c>
      <c r="AM174" t="s">
        <v>211</v>
      </c>
      <c r="AN174" t="s">
        <v>212</v>
      </c>
      <c r="AO174" t="s">
        <v>3265</v>
      </c>
      <c r="AP174" t="s">
        <v>3266</v>
      </c>
      <c r="AQ174" t="s">
        <v>74</v>
      </c>
      <c r="AR174" t="s">
        <v>3267</v>
      </c>
      <c r="AS174" t="s">
        <v>3268</v>
      </c>
      <c r="AT174" t="s">
        <v>3269</v>
      </c>
      <c r="AU174">
        <v>2019</v>
      </c>
      <c r="AV174">
        <v>33</v>
      </c>
      <c r="AW174">
        <v>1</v>
      </c>
      <c r="AX174" t="s">
        <v>74</v>
      </c>
      <c r="AY174" t="s">
        <v>74</v>
      </c>
      <c r="AZ174" t="s">
        <v>74</v>
      </c>
      <c r="BA174" t="s">
        <v>74</v>
      </c>
      <c r="BB174">
        <v>12</v>
      </c>
      <c r="BC174">
        <v>19</v>
      </c>
      <c r="BD174" t="s">
        <v>74</v>
      </c>
      <c r="BE174" t="s">
        <v>3270</v>
      </c>
      <c r="BF174" t="str">
        <f>HYPERLINK("http://dx.doi.org/10.1080/13102818.2018.1490201","http://dx.doi.org/10.1080/13102818.2018.1490201")</f>
        <v>http://dx.doi.org/10.1080/13102818.2018.1490201</v>
      </c>
      <c r="BG174" t="s">
        <v>74</v>
      </c>
      <c r="BH174" t="s">
        <v>74</v>
      </c>
      <c r="BI174">
        <v>8</v>
      </c>
      <c r="BJ174" t="s">
        <v>3271</v>
      </c>
      <c r="BK174" t="s">
        <v>101</v>
      </c>
      <c r="BL174" t="s">
        <v>3271</v>
      </c>
      <c r="BM174" t="s">
        <v>3272</v>
      </c>
      <c r="BN174" t="s">
        <v>74</v>
      </c>
      <c r="BO174" t="s">
        <v>131</v>
      </c>
      <c r="BP174" t="s">
        <v>74</v>
      </c>
      <c r="BQ174" t="s">
        <v>74</v>
      </c>
      <c r="BR174" t="s">
        <v>104</v>
      </c>
      <c r="BS174" t="s">
        <v>3273</v>
      </c>
      <c r="BT174" t="str">
        <f>HYPERLINK("https%3A%2F%2Fwww.webofscience.com%2Fwos%2Fwoscc%2Ffull-record%2FWOS:000467813900001","View Full Record in Web of Science")</f>
        <v>View Full Record in Web of Science</v>
      </c>
    </row>
    <row r="175" spans="1:72" x14ac:dyDescent="0.15">
      <c r="A175" t="s">
        <v>72</v>
      </c>
      <c r="B175" t="s">
        <v>3274</v>
      </c>
      <c r="C175" t="s">
        <v>74</v>
      </c>
      <c r="D175" t="s">
        <v>74</v>
      </c>
      <c r="E175" t="s">
        <v>74</v>
      </c>
      <c r="F175" t="s">
        <v>3275</v>
      </c>
      <c r="G175" t="s">
        <v>74</v>
      </c>
      <c r="H175" t="s">
        <v>74</v>
      </c>
      <c r="I175" t="s">
        <v>3276</v>
      </c>
      <c r="J175" t="s">
        <v>3277</v>
      </c>
      <c r="K175" t="s">
        <v>74</v>
      </c>
      <c r="L175" t="s">
        <v>74</v>
      </c>
      <c r="M175" t="s">
        <v>78</v>
      </c>
      <c r="N175" t="s">
        <v>79</v>
      </c>
      <c r="O175" t="s">
        <v>74</v>
      </c>
      <c r="P175" t="s">
        <v>74</v>
      </c>
      <c r="Q175" t="s">
        <v>74</v>
      </c>
      <c r="R175" t="s">
        <v>74</v>
      </c>
      <c r="S175" t="s">
        <v>74</v>
      </c>
      <c r="T175" t="s">
        <v>3278</v>
      </c>
      <c r="U175" t="s">
        <v>3279</v>
      </c>
      <c r="V175" t="s">
        <v>3280</v>
      </c>
      <c r="W175" t="s">
        <v>3281</v>
      </c>
      <c r="X175" t="s">
        <v>3282</v>
      </c>
      <c r="Y175" t="s">
        <v>3283</v>
      </c>
      <c r="Z175" t="s">
        <v>3284</v>
      </c>
      <c r="AA175" t="s">
        <v>3285</v>
      </c>
      <c r="AB175" t="s">
        <v>3286</v>
      </c>
      <c r="AC175" t="s">
        <v>3287</v>
      </c>
      <c r="AD175" t="s">
        <v>3288</v>
      </c>
      <c r="AE175" t="s">
        <v>3289</v>
      </c>
      <c r="AF175" t="s">
        <v>74</v>
      </c>
      <c r="AG175">
        <v>85</v>
      </c>
      <c r="AH175">
        <v>9</v>
      </c>
      <c r="AI175">
        <v>9</v>
      </c>
      <c r="AJ175">
        <v>1</v>
      </c>
      <c r="AK175">
        <v>12</v>
      </c>
      <c r="AL175" t="s">
        <v>3290</v>
      </c>
      <c r="AM175" t="s">
        <v>2520</v>
      </c>
      <c r="AN175" t="s">
        <v>3291</v>
      </c>
      <c r="AO175" t="s">
        <v>3292</v>
      </c>
      <c r="AP175" t="s">
        <v>74</v>
      </c>
      <c r="AQ175" t="s">
        <v>74</v>
      </c>
      <c r="AR175" t="s">
        <v>3293</v>
      </c>
      <c r="AS175" t="s">
        <v>3294</v>
      </c>
      <c r="AT175" t="s">
        <v>718</v>
      </c>
      <c r="AU175">
        <v>2019</v>
      </c>
      <c r="AV175">
        <v>17</v>
      </c>
      <c r="AW175" t="s">
        <v>74</v>
      </c>
      <c r="AX175" t="s">
        <v>74</v>
      </c>
      <c r="AY175" t="s">
        <v>74</v>
      </c>
      <c r="AZ175" t="s">
        <v>74</v>
      </c>
      <c r="BA175" t="s">
        <v>74</v>
      </c>
      <c r="BB175" t="s">
        <v>74</v>
      </c>
      <c r="BC175" t="s">
        <v>74</v>
      </c>
      <c r="BD175" t="s">
        <v>3295</v>
      </c>
      <c r="BE175" t="s">
        <v>3296</v>
      </c>
      <c r="BF175" t="str">
        <f>HYPERLINK("http://dx.doi.org/10.1016/j.gecco.2019.e00554","http://dx.doi.org/10.1016/j.gecco.2019.e00554")</f>
        <v>http://dx.doi.org/10.1016/j.gecco.2019.e00554</v>
      </c>
      <c r="BG175" t="s">
        <v>74</v>
      </c>
      <c r="BH175" t="s">
        <v>74</v>
      </c>
      <c r="BI175">
        <v>15</v>
      </c>
      <c r="BJ175" t="s">
        <v>1087</v>
      </c>
      <c r="BK175" t="s">
        <v>101</v>
      </c>
      <c r="BL175" t="s">
        <v>102</v>
      </c>
      <c r="BM175" t="s">
        <v>3297</v>
      </c>
      <c r="BN175" t="s">
        <v>74</v>
      </c>
      <c r="BO175" t="s">
        <v>530</v>
      </c>
      <c r="BP175" t="s">
        <v>74</v>
      </c>
      <c r="BQ175" t="s">
        <v>74</v>
      </c>
      <c r="BR175" t="s">
        <v>104</v>
      </c>
      <c r="BS175" t="s">
        <v>3298</v>
      </c>
      <c r="BT175" t="str">
        <f>HYPERLINK("https%3A%2F%2Fwww.webofscience.com%2Fwos%2Fwoscc%2Ffull-record%2FWOS:000465448800046","View Full Record in Web of Science")</f>
        <v>View Full Record in Web of Science</v>
      </c>
    </row>
    <row r="176" spans="1:72" x14ac:dyDescent="0.15">
      <c r="A176" t="s">
        <v>72</v>
      </c>
      <c r="B176" t="s">
        <v>3299</v>
      </c>
      <c r="C176" t="s">
        <v>74</v>
      </c>
      <c r="D176" t="s">
        <v>74</v>
      </c>
      <c r="E176" t="s">
        <v>74</v>
      </c>
      <c r="F176" t="s">
        <v>3300</v>
      </c>
      <c r="G176" t="s">
        <v>74</v>
      </c>
      <c r="H176" t="s">
        <v>74</v>
      </c>
      <c r="I176" t="s">
        <v>3301</v>
      </c>
      <c r="J176" t="s">
        <v>3277</v>
      </c>
      <c r="K176" t="s">
        <v>74</v>
      </c>
      <c r="L176" t="s">
        <v>74</v>
      </c>
      <c r="M176" t="s">
        <v>78</v>
      </c>
      <c r="N176" t="s">
        <v>79</v>
      </c>
      <c r="O176" t="s">
        <v>74</v>
      </c>
      <c r="P176" t="s">
        <v>74</v>
      </c>
      <c r="Q176" t="s">
        <v>74</v>
      </c>
      <c r="R176" t="s">
        <v>74</v>
      </c>
      <c r="S176" t="s">
        <v>74</v>
      </c>
      <c r="T176" t="s">
        <v>3302</v>
      </c>
      <c r="U176" t="s">
        <v>3303</v>
      </c>
      <c r="V176" t="s">
        <v>3304</v>
      </c>
      <c r="W176" t="s">
        <v>3305</v>
      </c>
      <c r="X176" t="s">
        <v>3306</v>
      </c>
      <c r="Y176" t="s">
        <v>3307</v>
      </c>
      <c r="Z176" t="s">
        <v>3308</v>
      </c>
      <c r="AA176" t="s">
        <v>3309</v>
      </c>
      <c r="AB176" t="s">
        <v>3310</v>
      </c>
      <c r="AC176" t="s">
        <v>3311</v>
      </c>
      <c r="AD176" t="s">
        <v>3311</v>
      </c>
      <c r="AE176" t="s">
        <v>3312</v>
      </c>
      <c r="AF176" t="s">
        <v>74</v>
      </c>
      <c r="AG176">
        <v>49</v>
      </c>
      <c r="AH176">
        <v>14</v>
      </c>
      <c r="AI176">
        <v>14</v>
      </c>
      <c r="AJ176">
        <v>0</v>
      </c>
      <c r="AK176">
        <v>7</v>
      </c>
      <c r="AL176" t="s">
        <v>2519</v>
      </c>
      <c r="AM176" t="s">
        <v>2520</v>
      </c>
      <c r="AN176" t="s">
        <v>3313</v>
      </c>
      <c r="AO176" t="s">
        <v>3292</v>
      </c>
      <c r="AP176" t="s">
        <v>74</v>
      </c>
      <c r="AQ176" t="s">
        <v>74</v>
      </c>
      <c r="AR176" t="s">
        <v>3293</v>
      </c>
      <c r="AS176" t="s">
        <v>3294</v>
      </c>
      <c r="AT176" t="s">
        <v>718</v>
      </c>
      <c r="AU176">
        <v>2019</v>
      </c>
      <c r="AV176">
        <v>17</v>
      </c>
      <c r="AW176" t="s">
        <v>74</v>
      </c>
      <c r="AX176" t="s">
        <v>74</v>
      </c>
      <c r="AY176" t="s">
        <v>74</v>
      </c>
      <c r="AZ176" t="s">
        <v>74</v>
      </c>
      <c r="BA176" t="s">
        <v>74</v>
      </c>
      <c r="BB176" t="s">
        <v>74</v>
      </c>
      <c r="BC176" t="s">
        <v>74</v>
      </c>
      <c r="BD176" t="s">
        <v>3314</v>
      </c>
      <c r="BE176" t="s">
        <v>3315</v>
      </c>
      <c r="BF176" t="str">
        <f>HYPERLINK("http://dx.doi.org/10.1016/j.gecco.2019.e00579","http://dx.doi.org/10.1016/j.gecco.2019.e00579")</f>
        <v>http://dx.doi.org/10.1016/j.gecco.2019.e00579</v>
      </c>
      <c r="BG176" t="s">
        <v>74</v>
      </c>
      <c r="BH176" t="s">
        <v>74</v>
      </c>
      <c r="BI176">
        <v>8</v>
      </c>
      <c r="BJ176" t="s">
        <v>1087</v>
      </c>
      <c r="BK176" t="s">
        <v>101</v>
      </c>
      <c r="BL176" t="s">
        <v>102</v>
      </c>
      <c r="BM176" t="s">
        <v>3297</v>
      </c>
      <c r="BN176" t="s">
        <v>74</v>
      </c>
      <c r="BO176" t="s">
        <v>221</v>
      </c>
      <c r="BP176" t="s">
        <v>74</v>
      </c>
      <c r="BQ176" t="s">
        <v>74</v>
      </c>
      <c r="BR176" t="s">
        <v>104</v>
      </c>
      <c r="BS176" t="s">
        <v>3316</v>
      </c>
      <c r="BT176" t="str">
        <f>HYPERLINK("https%3A%2F%2Fwww.webofscience.com%2Fwos%2Fwoscc%2Ffull-record%2FWOS:000465448800012","View Full Record in Web of Science")</f>
        <v>View Full Record in Web of Science</v>
      </c>
    </row>
    <row r="177" spans="1:72" x14ac:dyDescent="0.15">
      <c r="A177" t="s">
        <v>72</v>
      </c>
      <c r="B177" t="s">
        <v>3317</v>
      </c>
      <c r="C177" t="s">
        <v>74</v>
      </c>
      <c r="D177" t="s">
        <v>74</v>
      </c>
      <c r="E177" t="s">
        <v>74</v>
      </c>
      <c r="F177" t="s">
        <v>3318</v>
      </c>
      <c r="G177" t="s">
        <v>74</v>
      </c>
      <c r="H177" t="s">
        <v>74</v>
      </c>
      <c r="I177" t="s">
        <v>3319</v>
      </c>
      <c r="J177" t="s">
        <v>3320</v>
      </c>
      <c r="K177" t="s">
        <v>74</v>
      </c>
      <c r="L177" t="s">
        <v>74</v>
      </c>
      <c r="M177" t="s">
        <v>78</v>
      </c>
      <c r="N177" t="s">
        <v>79</v>
      </c>
      <c r="O177" t="s">
        <v>74</v>
      </c>
      <c r="P177" t="s">
        <v>74</v>
      </c>
      <c r="Q177" t="s">
        <v>74</v>
      </c>
      <c r="R177" t="s">
        <v>74</v>
      </c>
      <c r="S177" t="s">
        <v>74</v>
      </c>
      <c r="T177" t="s">
        <v>3321</v>
      </c>
      <c r="U177" t="s">
        <v>3322</v>
      </c>
      <c r="V177" t="s">
        <v>3323</v>
      </c>
      <c r="W177" t="s">
        <v>3324</v>
      </c>
      <c r="X177" t="s">
        <v>3325</v>
      </c>
      <c r="Y177" t="s">
        <v>3326</v>
      </c>
      <c r="Z177" t="s">
        <v>3327</v>
      </c>
      <c r="AA177" t="s">
        <v>3328</v>
      </c>
      <c r="AB177" t="s">
        <v>3329</v>
      </c>
      <c r="AC177" t="s">
        <v>3330</v>
      </c>
      <c r="AD177" t="s">
        <v>3331</v>
      </c>
      <c r="AE177" t="s">
        <v>3332</v>
      </c>
      <c r="AF177" t="s">
        <v>74</v>
      </c>
      <c r="AG177">
        <v>68</v>
      </c>
      <c r="AH177">
        <v>46</v>
      </c>
      <c r="AI177">
        <v>49</v>
      </c>
      <c r="AJ177">
        <v>2</v>
      </c>
      <c r="AK177">
        <v>15</v>
      </c>
      <c r="AL177" t="s">
        <v>3290</v>
      </c>
      <c r="AM177" t="s">
        <v>2520</v>
      </c>
      <c r="AN177" t="s">
        <v>3291</v>
      </c>
      <c r="AO177" t="s">
        <v>3333</v>
      </c>
      <c r="AP177" t="s">
        <v>3334</v>
      </c>
      <c r="AQ177" t="s">
        <v>74</v>
      </c>
      <c r="AR177" t="s">
        <v>3335</v>
      </c>
      <c r="AS177" t="s">
        <v>3336</v>
      </c>
      <c r="AT177" t="s">
        <v>718</v>
      </c>
      <c r="AU177">
        <v>2019</v>
      </c>
      <c r="AV177">
        <v>65</v>
      </c>
      <c r="AW177" t="s">
        <v>74</v>
      </c>
      <c r="AX177" t="s">
        <v>74</v>
      </c>
      <c r="AY177" t="s">
        <v>74</v>
      </c>
      <c r="AZ177" t="s">
        <v>74</v>
      </c>
      <c r="BA177" t="s">
        <v>74</v>
      </c>
      <c r="BB177">
        <v>31</v>
      </c>
      <c r="BC177">
        <v>42</v>
      </c>
      <c r="BD177" t="s">
        <v>74</v>
      </c>
      <c r="BE177" t="s">
        <v>3337</v>
      </c>
      <c r="BF177" t="str">
        <f>HYPERLINK("http://dx.doi.org/10.1016/j.gr.2018.07.010","http://dx.doi.org/10.1016/j.gr.2018.07.010")</f>
        <v>http://dx.doi.org/10.1016/j.gr.2018.07.010</v>
      </c>
      <c r="BG177" t="s">
        <v>74</v>
      </c>
      <c r="BH177" t="s">
        <v>74</v>
      </c>
      <c r="BI177">
        <v>12</v>
      </c>
      <c r="BJ177" t="s">
        <v>884</v>
      </c>
      <c r="BK177" t="s">
        <v>101</v>
      </c>
      <c r="BL177" t="s">
        <v>528</v>
      </c>
      <c r="BM177" t="s">
        <v>3338</v>
      </c>
      <c r="BN177" t="s">
        <v>74</v>
      </c>
      <c r="BO177" t="s">
        <v>74</v>
      </c>
      <c r="BP177" t="s">
        <v>74</v>
      </c>
      <c r="BQ177" t="s">
        <v>74</v>
      </c>
      <c r="BR177" t="s">
        <v>104</v>
      </c>
      <c r="BS177" t="s">
        <v>3339</v>
      </c>
      <c r="BT177" t="str">
        <f>HYPERLINK("https%3A%2F%2Fwww.webofscience.com%2Fwos%2Fwoscc%2Ffull-record%2FWOS:000468246700003","View Full Record in Web of Science")</f>
        <v>View Full Record in Web of Science</v>
      </c>
    </row>
    <row r="178" spans="1:72" x14ac:dyDescent="0.15">
      <c r="A178" t="s">
        <v>72</v>
      </c>
      <c r="B178" t="s">
        <v>3340</v>
      </c>
      <c r="C178" t="s">
        <v>74</v>
      </c>
      <c r="D178" t="s">
        <v>74</v>
      </c>
      <c r="E178" t="s">
        <v>74</v>
      </c>
      <c r="F178" t="s">
        <v>3341</v>
      </c>
      <c r="G178" t="s">
        <v>74</v>
      </c>
      <c r="H178" t="s">
        <v>74</v>
      </c>
      <c r="I178" t="s">
        <v>3342</v>
      </c>
      <c r="J178" t="s">
        <v>3343</v>
      </c>
      <c r="K178" t="s">
        <v>74</v>
      </c>
      <c r="L178" t="s">
        <v>74</v>
      </c>
      <c r="M178" t="s">
        <v>78</v>
      </c>
      <c r="N178" t="s">
        <v>79</v>
      </c>
      <c r="O178" t="s">
        <v>74</v>
      </c>
      <c r="P178" t="s">
        <v>74</v>
      </c>
      <c r="Q178" t="s">
        <v>74</v>
      </c>
      <c r="R178" t="s">
        <v>74</v>
      </c>
      <c r="S178" t="s">
        <v>74</v>
      </c>
      <c r="T178" t="s">
        <v>3344</v>
      </c>
      <c r="U178" t="s">
        <v>3345</v>
      </c>
      <c r="V178" t="s">
        <v>3346</v>
      </c>
      <c r="W178" t="s">
        <v>3347</v>
      </c>
      <c r="X178" t="s">
        <v>3348</v>
      </c>
      <c r="Y178" t="s">
        <v>3349</v>
      </c>
      <c r="Z178" t="s">
        <v>3350</v>
      </c>
      <c r="AA178" t="s">
        <v>74</v>
      </c>
      <c r="AB178" t="s">
        <v>3351</v>
      </c>
      <c r="AC178" t="s">
        <v>74</v>
      </c>
      <c r="AD178" t="s">
        <v>74</v>
      </c>
      <c r="AE178" t="s">
        <v>74</v>
      </c>
      <c r="AF178" t="s">
        <v>74</v>
      </c>
      <c r="AG178">
        <v>43</v>
      </c>
      <c r="AH178">
        <v>13</v>
      </c>
      <c r="AI178">
        <v>14</v>
      </c>
      <c r="AJ178">
        <v>6</v>
      </c>
      <c r="AK178">
        <v>48</v>
      </c>
      <c r="AL178" t="s">
        <v>3352</v>
      </c>
      <c r="AM178" t="s">
        <v>3353</v>
      </c>
      <c r="AN178" t="s">
        <v>3354</v>
      </c>
      <c r="AO178" t="s">
        <v>3355</v>
      </c>
      <c r="AP178" t="s">
        <v>3356</v>
      </c>
      <c r="AQ178" t="s">
        <v>74</v>
      </c>
      <c r="AR178" t="s">
        <v>3357</v>
      </c>
      <c r="AS178" t="s">
        <v>3358</v>
      </c>
      <c r="AT178" t="s">
        <v>718</v>
      </c>
      <c r="AU178">
        <v>2019</v>
      </c>
      <c r="AV178">
        <v>138</v>
      </c>
      <c r="AW178" t="s">
        <v>74</v>
      </c>
      <c r="AX178" t="s">
        <v>74</v>
      </c>
      <c r="AY178" t="s">
        <v>74</v>
      </c>
      <c r="AZ178" t="s">
        <v>74</v>
      </c>
      <c r="BA178" t="s">
        <v>74</v>
      </c>
      <c r="BB178">
        <v>545</v>
      </c>
      <c r="BC178">
        <v>548</v>
      </c>
      <c r="BD178" t="s">
        <v>74</v>
      </c>
      <c r="BE178" t="s">
        <v>3359</v>
      </c>
      <c r="BF178" t="str">
        <f>HYPERLINK("http://dx.doi.org/10.1016/j.marpolbul.2018.12.017","http://dx.doi.org/10.1016/j.marpolbul.2018.12.017")</f>
        <v>http://dx.doi.org/10.1016/j.marpolbul.2018.12.017</v>
      </c>
      <c r="BG178" t="s">
        <v>74</v>
      </c>
      <c r="BH178" t="s">
        <v>74</v>
      </c>
      <c r="BI178">
        <v>4</v>
      </c>
      <c r="BJ178" t="s">
        <v>3360</v>
      </c>
      <c r="BK178" t="s">
        <v>101</v>
      </c>
      <c r="BL178" t="s">
        <v>3361</v>
      </c>
      <c r="BM178" t="s">
        <v>3362</v>
      </c>
      <c r="BN178">
        <v>30660305</v>
      </c>
      <c r="BO178" t="s">
        <v>74</v>
      </c>
      <c r="BP178" t="s">
        <v>74</v>
      </c>
      <c r="BQ178" t="s">
        <v>74</v>
      </c>
      <c r="BR178" t="s">
        <v>104</v>
      </c>
      <c r="BS178" t="s">
        <v>3363</v>
      </c>
      <c r="BT178" t="str">
        <f>HYPERLINK("https%3A%2F%2Fwww.webofscience.com%2Fwos%2Fwoscc%2Ffull-record%2FWOS:000457512500063","View Full Record in Web of Science")</f>
        <v>View Full Record in Web of Science</v>
      </c>
    </row>
    <row r="179" spans="1:72" x14ac:dyDescent="0.15">
      <c r="A179" t="s">
        <v>72</v>
      </c>
      <c r="B179" t="s">
        <v>3364</v>
      </c>
      <c r="C179" t="s">
        <v>74</v>
      </c>
      <c r="D179" t="s">
        <v>74</v>
      </c>
      <c r="E179" t="s">
        <v>74</v>
      </c>
      <c r="F179" t="s">
        <v>3365</v>
      </c>
      <c r="G179" t="s">
        <v>74</v>
      </c>
      <c r="H179" t="s">
        <v>74</v>
      </c>
      <c r="I179" t="s">
        <v>3366</v>
      </c>
      <c r="J179" t="s">
        <v>3367</v>
      </c>
      <c r="K179" t="s">
        <v>74</v>
      </c>
      <c r="L179" t="s">
        <v>74</v>
      </c>
      <c r="M179" t="s">
        <v>78</v>
      </c>
      <c r="N179" t="s">
        <v>79</v>
      </c>
      <c r="O179" t="s">
        <v>74</v>
      </c>
      <c r="P179" t="s">
        <v>74</v>
      </c>
      <c r="Q179" t="s">
        <v>74</v>
      </c>
      <c r="R179" t="s">
        <v>74</v>
      </c>
      <c r="S179" t="s">
        <v>74</v>
      </c>
      <c r="T179" t="s">
        <v>3368</v>
      </c>
      <c r="U179" t="s">
        <v>3369</v>
      </c>
      <c r="V179" t="s">
        <v>3370</v>
      </c>
      <c r="W179" t="s">
        <v>3371</v>
      </c>
      <c r="X179" t="s">
        <v>3372</v>
      </c>
      <c r="Y179" t="s">
        <v>3373</v>
      </c>
      <c r="Z179" t="s">
        <v>3374</v>
      </c>
      <c r="AA179" t="s">
        <v>3375</v>
      </c>
      <c r="AB179" t="s">
        <v>3376</v>
      </c>
      <c r="AC179" t="s">
        <v>3377</v>
      </c>
      <c r="AD179" t="s">
        <v>3378</v>
      </c>
      <c r="AE179" t="s">
        <v>3379</v>
      </c>
      <c r="AF179" t="s">
        <v>74</v>
      </c>
      <c r="AG179">
        <v>40</v>
      </c>
      <c r="AH179">
        <v>2</v>
      </c>
      <c r="AI179">
        <v>2</v>
      </c>
      <c r="AJ179">
        <v>0</v>
      </c>
      <c r="AK179">
        <v>4</v>
      </c>
      <c r="AL179" t="s">
        <v>3239</v>
      </c>
      <c r="AM179" t="s">
        <v>1080</v>
      </c>
      <c r="AN179" t="s">
        <v>3380</v>
      </c>
      <c r="AO179" t="s">
        <v>3381</v>
      </c>
      <c r="AP179" t="s">
        <v>3382</v>
      </c>
      <c r="AQ179" t="s">
        <v>74</v>
      </c>
      <c r="AR179" t="s">
        <v>3383</v>
      </c>
      <c r="AS179" t="s">
        <v>3384</v>
      </c>
      <c r="AT179" t="s">
        <v>718</v>
      </c>
      <c r="AU179">
        <v>2019</v>
      </c>
      <c r="AV179">
        <v>53</v>
      </c>
      <c r="AW179">
        <v>1</v>
      </c>
      <c r="AX179" t="s">
        <v>74</v>
      </c>
      <c r="AY179" t="s">
        <v>74</v>
      </c>
      <c r="AZ179" t="s">
        <v>74</v>
      </c>
      <c r="BA179" t="s">
        <v>74</v>
      </c>
      <c r="BB179">
        <v>10</v>
      </c>
      <c r="BC179">
        <v>19</v>
      </c>
      <c r="BD179" t="s">
        <v>74</v>
      </c>
      <c r="BE179" t="s">
        <v>3385</v>
      </c>
      <c r="BF179" t="str">
        <f>HYPERLINK("http://dx.doi.org/10.1134/S0031030119010064","http://dx.doi.org/10.1134/S0031030119010064")</f>
        <v>http://dx.doi.org/10.1134/S0031030119010064</v>
      </c>
      <c r="BG179" t="s">
        <v>74</v>
      </c>
      <c r="BH179" t="s">
        <v>74</v>
      </c>
      <c r="BI179">
        <v>10</v>
      </c>
      <c r="BJ179" t="s">
        <v>375</v>
      </c>
      <c r="BK179" t="s">
        <v>101</v>
      </c>
      <c r="BL179" t="s">
        <v>375</v>
      </c>
      <c r="BM179" t="s">
        <v>3386</v>
      </c>
      <c r="BN179" t="s">
        <v>74</v>
      </c>
      <c r="BO179" t="s">
        <v>74</v>
      </c>
      <c r="BP179" t="s">
        <v>74</v>
      </c>
      <c r="BQ179" t="s">
        <v>74</v>
      </c>
      <c r="BR179" t="s">
        <v>104</v>
      </c>
      <c r="BS179" t="s">
        <v>3387</v>
      </c>
      <c r="BT179" t="str">
        <f>HYPERLINK("https%3A%2F%2Fwww.webofscience.com%2Fwos%2Fwoscc%2Ffull-record%2FWOS:000468479900002","View Full Record in Web of Science")</f>
        <v>View Full Record in Web of Science</v>
      </c>
    </row>
    <row r="180" spans="1:72" x14ac:dyDescent="0.15">
      <c r="A180" t="s">
        <v>72</v>
      </c>
      <c r="B180" t="s">
        <v>3388</v>
      </c>
      <c r="C180" t="s">
        <v>74</v>
      </c>
      <c r="D180" t="s">
        <v>74</v>
      </c>
      <c r="E180" t="s">
        <v>74</v>
      </c>
      <c r="F180" t="s">
        <v>3389</v>
      </c>
      <c r="G180" t="s">
        <v>74</v>
      </c>
      <c r="H180" t="s">
        <v>74</v>
      </c>
      <c r="I180" t="s">
        <v>3390</v>
      </c>
      <c r="J180" t="s">
        <v>3391</v>
      </c>
      <c r="K180" t="s">
        <v>74</v>
      </c>
      <c r="L180" t="s">
        <v>74</v>
      </c>
      <c r="M180" t="s">
        <v>78</v>
      </c>
      <c r="N180" t="s">
        <v>79</v>
      </c>
      <c r="O180" t="s">
        <v>74</v>
      </c>
      <c r="P180" t="s">
        <v>74</v>
      </c>
      <c r="Q180" t="s">
        <v>74</v>
      </c>
      <c r="R180" t="s">
        <v>74</v>
      </c>
      <c r="S180" t="s">
        <v>74</v>
      </c>
      <c r="T180" t="s">
        <v>3392</v>
      </c>
      <c r="U180" t="s">
        <v>3393</v>
      </c>
      <c r="V180" t="s">
        <v>3394</v>
      </c>
      <c r="W180" t="s">
        <v>3395</v>
      </c>
      <c r="X180" t="s">
        <v>3396</v>
      </c>
      <c r="Y180" t="s">
        <v>3397</v>
      </c>
      <c r="Z180" t="s">
        <v>3398</v>
      </c>
      <c r="AA180" t="s">
        <v>3399</v>
      </c>
      <c r="AB180" t="s">
        <v>74</v>
      </c>
      <c r="AC180" t="s">
        <v>3400</v>
      </c>
      <c r="AD180" t="s">
        <v>3401</v>
      </c>
      <c r="AE180" t="s">
        <v>3402</v>
      </c>
      <c r="AF180" t="s">
        <v>74</v>
      </c>
      <c r="AG180">
        <v>78</v>
      </c>
      <c r="AH180">
        <v>22</v>
      </c>
      <c r="AI180">
        <v>25</v>
      </c>
      <c r="AJ180">
        <v>0</v>
      </c>
      <c r="AK180">
        <v>7</v>
      </c>
      <c r="AL180" t="s">
        <v>3239</v>
      </c>
      <c r="AM180" t="s">
        <v>1080</v>
      </c>
      <c r="AN180" t="s">
        <v>3380</v>
      </c>
      <c r="AO180" t="s">
        <v>3403</v>
      </c>
      <c r="AP180" t="s">
        <v>3404</v>
      </c>
      <c r="AQ180" t="s">
        <v>74</v>
      </c>
      <c r="AR180" t="s">
        <v>3405</v>
      </c>
      <c r="AS180" t="s">
        <v>3406</v>
      </c>
      <c r="AT180" t="s">
        <v>718</v>
      </c>
      <c r="AU180">
        <v>2019</v>
      </c>
      <c r="AV180">
        <v>52</v>
      </c>
      <c r="AW180">
        <v>1</v>
      </c>
      <c r="AX180" t="s">
        <v>74</v>
      </c>
      <c r="AY180" t="s">
        <v>74</v>
      </c>
      <c r="AZ180" t="s">
        <v>74</v>
      </c>
      <c r="BA180" t="s">
        <v>74</v>
      </c>
      <c r="BB180">
        <v>1</v>
      </c>
      <c r="BC180">
        <v>13</v>
      </c>
      <c r="BD180" t="s">
        <v>74</v>
      </c>
      <c r="BE180" t="s">
        <v>3407</v>
      </c>
      <c r="BF180" t="str">
        <f>HYPERLINK("http://dx.doi.org/10.1134/S1064229319010046","http://dx.doi.org/10.1134/S1064229319010046")</f>
        <v>http://dx.doi.org/10.1134/S1064229319010046</v>
      </c>
      <c r="BG180" t="s">
        <v>74</v>
      </c>
      <c r="BH180" t="s">
        <v>74</v>
      </c>
      <c r="BI180">
        <v>13</v>
      </c>
      <c r="BJ180" t="s">
        <v>3408</v>
      </c>
      <c r="BK180" t="s">
        <v>101</v>
      </c>
      <c r="BL180" t="s">
        <v>3409</v>
      </c>
      <c r="BM180" t="s">
        <v>3410</v>
      </c>
      <c r="BN180" t="s">
        <v>74</v>
      </c>
      <c r="BO180" t="s">
        <v>74</v>
      </c>
      <c r="BP180" t="s">
        <v>74</v>
      </c>
      <c r="BQ180" t="s">
        <v>74</v>
      </c>
      <c r="BR180" t="s">
        <v>104</v>
      </c>
      <c r="BS180" t="s">
        <v>3411</v>
      </c>
      <c r="BT180" t="str">
        <f>HYPERLINK("https%3A%2F%2Fwww.webofscience.com%2Fwos%2Fwoscc%2Ffull-record%2FWOS:000467465800001","View Full Record in Web of Science")</f>
        <v>View Full Record in Web of Science</v>
      </c>
    </row>
    <row r="181" spans="1:72" x14ac:dyDescent="0.15">
      <c r="A181" t="s">
        <v>72</v>
      </c>
      <c r="B181" t="s">
        <v>3412</v>
      </c>
      <c r="C181" t="s">
        <v>74</v>
      </c>
      <c r="D181" t="s">
        <v>74</v>
      </c>
      <c r="E181" t="s">
        <v>74</v>
      </c>
      <c r="F181" t="s">
        <v>3413</v>
      </c>
      <c r="G181" t="s">
        <v>74</v>
      </c>
      <c r="H181" t="s">
        <v>74</v>
      </c>
      <c r="I181" t="s">
        <v>3414</v>
      </c>
      <c r="J181" t="s">
        <v>3415</v>
      </c>
      <c r="K181" t="s">
        <v>74</v>
      </c>
      <c r="L181" t="s">
        <v>74</v>
      </c>
      <c r="M181" t="s">
        <v>78</v>
      </c>
      <c r="N181" t="s">
        <v>79</v>
      </c>
      <c r="O181" t="s">
        <v>74</v>
      </c>
      <c r="P181" t="s">
        <v>74</v>
      </c>
      <c r="Q181" t="s">
        <v>74</v>
      </c>
      <c r="R181" t="s">
        <v>74</v>
      </c>
      <c r="S181" t="s">
        <v>74</v>
      </c>
      <c r="T181" t="s">
        <v>74</v>
      </c>
      <c r="U181" t="s">
        <v>3416</v>
      </c>
      <c r="V181" t="s">
        <v>3417</v>
      </c>
      <c r="W181" t="s">
        <v>3418</v>
      </c>
      <c r="X181" t="s">
        <v>3419</v>
      </c>
      <c r="Y181" t="s">
        <v>3420</v>
      </c>
      <c r="Z181" t="s">
        <v>3421</v>
      </c>
      <c r="AA181" t="s">
        <v>3422</v>
      </c>
      <c r="AB181" t="s">
        <v>74</v>
      </c>
      <c r="AC181" t="s">
        <v>74</v>
      </c>
      <c r="AD181" t="s">
        <v>74</v>
      </c>
      <c r="AE181" t="s">
        <v>74</v>
      </c>
      <c r="AF181" t="s">
        <v>74</v>
      </c>
      <c r="AG181">
        <v>52</v>
      </c>
      <c r="AH181">
        <v>2</v>
      </c>
      <c r="AI181">
        <v>2</v>
      </c>
      <c r="AJ181">
        <v>0</v>
      </c>
      <c r="AK181">
        <v>6</v>
      </c>
      <c r="AL181" t="s">
        <v>3423</v>
      </c>
      <c r="AM181" t="s">
        <v>1080</v>
      </c>
      <c r="AN181" t="s">
        <v>3424</v>
      </c>
      <c r="AO181" t="s">
        <v>3425</v>
      </c>
      <c r="AP181" t="s">
        <v>3426</v>
      </c>
      <c r="AQ181" t="s">
        <v>74</v>
      </c>
      <c r="AR181" t="s">
        <v>3427</v>
      </c>
      <c r="AS181" t="s">
        <v>3428</v>
      </c>
      <c r="AT181" t="s">
        <v>718</v>
      </c>
      <c r="AU181">
        <v>2019</v>
      </c>
      <c r="AV181">
        <v>59</v>
      </c>
      <c r="AW181">
        <v>1</v>
      </c>
      <c r="AX181" t="s">
        <v>74</v>
      </c>
      <c r="AY181" t="s">
        <v>74</v>
      </c>
      <c r="AZ181" t="s">
        <v>74</v>
      </c>
      <c r="BA181" t="s">
        <v>74</v>
      </c>
      <c r="BB181">
        <v>123</v>
      </c>
      <c r="BC181">
        <v>132</v>
      </c>
      <c r="BD181" t="s">
        <v>74</v>
      </c>
      <c r="BE181" t="s">
        <v>3429</v>
      </c>
      <c r="BF181" t="str">
        <f>HYPERLINK("http://dx.doi.org/10.1134/S0001437019010132","http://dx.doi.org/10.1134/S0001437019010132")</f>
        <v>http://dx.doi.org/10.1134/S0001437019010132</v>
      </c>
      <c r="BG181" t="s">
        <v>74</v>
      </c>
      <c r="BH181" t="s">
        <v>74</v>
      </c>
      <c r="BI181">
        <v>10</v>
      </c>
      <c r="BJ181" t="s">
        <v>773</v>
      </c>
      <c r="BK181" t="s">
        <v>101</v>
      </c>
      <c r="BL181" t="s">
        <v>773</v>
      </c>
      <c r="BM181" t="s">
        <v>3430</v>
      </c>
      <c r="BN181" t="s">
        <v>74</v>
      </c>
      <c r="BO181" t="s">
        <v>74</v>
      </c>
      <c r="BP181" t="s">
        <v>74</v>
      </c>
      <c r="BQ181" t="s">
        <v>74</v>
      </c>
      <c r="BR181" t="s">
        <v>104</v>
      </c>
      <c r="BS181" t="s">
        <v>3431</v>
      </c>
      <c r="BT181" t="str">
        <f>HYPERLINK("https%3A%2F%2Fwww.webofscience.com%2Fwos%2Fwoscc%2Ffull-record%2FWOS:000467499600013","View Full Record in Web of Science")</f>
        <v>View Full Record in Web of Science</v>
      </c>
    </row>
    <row r="182" spans="1:72" x14ac:dyDescent="0.15">
      <c r="A182" t="s">
        <v>164</v>
      </c>
      <c r="B182" t="s">
        <v>3432</v>
      </c>
      <c r="C182" t="s">
        <v>74</v>
      </c>
      <c r="D182" t="s">
        <v>3433</v>
      </c>
      <c r="E182" t="s">
        <v>74</v>
      </c>
      <c r="F182" t="s">
        <v>3434</v>
      </c>
      <c r="G182" t="s">
        <v>74</v>
      </c>
      <c r="H182" t="s">
        <v>74</v>
      </c>
      <c r="I182" t="s">
        <v>3435</v>
      </c>
      <c r="J182" t="s">
        <v>3436</v>
      </c>
      <c r="K182" t="s">
        <v>3437</v>
      </c>
      <c r="L182" t="s">
        <v>74</v>
      </c>
      <c r="M182" t="s">
        <v>78</v>
      </c>
      <c r="N182" t="s">
        <v>172</v>
      </c>
      <c r="O182" t="s">
        <v>3438</v>
      </c>
      <c r="P182" t="s">
        <v>1189</v>
      </c>
      <c r="Q182" t="s">
        <v>3439</v>
      </c>
      <c r="R182" t="s">
        <v>74</v>
      </c>
      <c r="S182" t="s">
        <v>3440</v>
      </c>
      <c r="T182" t="s">
        <v>74</v>
      </c>
      <c r="U182" t="s">
        <v>74</v>
      </c>
      <c r="V182" t="s">
        <v>3441</v>
      </c>
      <c r="W182" t="s">
        <v>3442</v>
      </c>
      <c r="X182" t="s">
        <v>3443</v>
      </c>
      <c r="Y182" t="s">
        <v>3444</v>
      </c>
      <c r="Z182" t="s">
        <v>3445</v>
      </c>
      <c r="AA182" t="s">
        <v>3446</v>
      </c>
      <c r="AB182" t="s">
        <v>3447</v>
      </c>
      <c r="AC182" t="s">
        <v>74</v>
      </c>
      <c r="AD182" t="s">
        <v>74</v>
      </c>
      <c r="AE182" t="s">
        <v>74</v>
      </c>
      <c r="AF182" t="s">
        <v>74</v>
      </c>
      <c r="AG182">
        <v>7</v>
      </c>
      <c r="AH182">
        <v>0</v>
      </c>
      <c r="AI182">
        <v>0</v>
      </c>
      <c r="AJ182">
        <v>0</v>
      </c>
      <c r="AK182">
        <v>5</v>
      </c>
      <c r="AL182" t="s">
        <v>182</v>
      </c>
      <c r="AM182" t="s">
        <v>183</v>
      </c>
      <c r="AN182" t="s">
        <v>184</v>
      </c>
      <c r="AO182" t="s">
        <v>3448</v>
      </c>
      <c r="AP182" t="s">
        <v>74</v>
      </c>
      <c r="AQ182" t="s">
        <v>74</v>
      </c>
      <c r="AR182" t="s">
        <v>3449</v>
      </c>
      <c r="AS182" t="s">
        <v>74</v>
      </c>
      <c r="AT182" t="s">
        <v>74</v>
      </c>
      <c r="AU182">
        <v>2019</v>
      </c>
      <c r="AV182">
        <v>75</v>
      </c>
      <c r="AW182" t="s">
        <v>74</v>
      </c>
      <c r="AX182" t="s">
        <v>74</v>
      </c>
      <c r="AY182" t="s">
        <v>74</v>
      </c>
      <c r="AZ182" t="s">
        <v>74</v>
      </c>
      <c r="BA182" t="s">
        <v>74</v>
      </c>
      <c r="BB182" t="s">
        <v>74</v>
      </c>
      <c r="BC182" t="s">
        <v>74</v>
      </c>
      <c r="BD182">
        <v>2008</v>
      </c>
      <c r="BE182" t="s">
        <v>3450</v>
      </c>
      <c r="BF182" t="str">
        <f>HYPERLINK("http://dx.doi.org/10.1051/e3sconf/20197502008","http://dx.doi.org/10.1051/e3sconf/20197502008")</f>
        <v>http://dx.doi.org/10.1051/e3sconf/20197502008</v>
      </c>
      <c r="BG182" t="s">
        <v>74</v>
      </c>
      <c r="BH182" t="s">
        <v>74</v>
      </c>
      <c r="BI182">
        <v>6</v>
      </c>
      <c r="BJ182" t="s">
        <v>3451</v>
      </c>
      <c r="BK182" t="s">
        <v>190</v>
      </c>
      <c r="BL182" t="s">
        <v>3452</v>
      </c>
      <c r="BM182" t="s">
        <v>3453</v>
      </c>
      <c r="BN182" t="s">
        <v>74</v>
      </c>
      <c r="BO182" t="s">
        <v>3454</v>
      </c>
      <c r="BP182" t="s">
        <v>74</v>
      </c>
      <c r="BQ182" t="s">
        <v>74</v>
      </c>
      <c r="BR182" t="s">
        <v>104</v>
      </c>
      <c r="BS182" t="s">
        <v>3455</v>
      </c>
      <c r="BT182" t="str">
        <f>HYPERLINK("https%3A%2F%2Fwww.webofscience.com%2Fwos%2Fwoscc%2Ffull-record%2FWOS:000467728500023","View Full Record in Web of Science")</f>
        <v>View Full Record in Web of Science</v>
      </c>
    </row>
    <row r="183" spans="1:72" x14ac:dyDescent="0.15">
      <c r="A183" t="s">
        <v>72</v>
      </c>
      <c r="B183" t="s">
        <v>3456</v>
      </c>
      <c r="C183" t="s">
        <v>74</v>
      </c>
      <c r="D183" t="s">
        <v>74</v>
      </c>
      <c r="E183" t="s">
        <v>74</v>
      </c>
      <c r="F183" t="s">
        <v>3457</v>
      </c>
      <c r="G183" t="s">
        <v>74</v>
      </c>
      <c r="H183" t="s">
        <v>74</v>
      </c>
      <c r="I183" t="s">
        <v>3458</v>
      </c>
      <c r="J183" t="s">
        <v>3459</v>
      </c>
      <c r="K183" t="s">
        <v>74</v>
      </c>
      <c r="L183" t="s">
        <v>74</v>
      </c>
      <c r="M183" t="s">
        <v>78</v>
      </c>
      <c r="N183" t="s">
        <v>79</v>
      </c>
      <c r="O183" t="s">
        <v>74</v>
      </c>
      <c r="P183" t="s">
        <v>74</v>
      </c>
      <c r="Q183" t="s">
        <v>74</v>
      </c>
      <c r="R183" t="s">
        <v>74</v>
      </c>
      <c r="S183" t="s">
        <v>74</v>
      </c>
      <c r="T183" t="s">
        <v>3460</v>
      </c>
      <c r="U183" t="s">
        <v>74</v>
      </c>
      <c r="V183" t="s">
        <v>3461</v>
      </c>
      <c r="W183" t="s">
        <v>3462</v>
      </c>
      <c r="X183" t="s">
        <v>893</v>
      </c>
      <c r="Y183" t="s">
        <v>3463</v>
      </c>
      <c r="Z183" t="s">
        <v>3464</v>
      </c>
      <c r="AA183" t="s">
        <v>3465</v>
      </c>
      <c r="AB183" t="s">
        <v>74</v>
      </c>
      <c r="AC183" t="s">
        <v>74</v>
      </c>
      <c r="AD183" t="s">
        <v>74</v>
      </c>
      <c r="AE183" t="s">
        <v>74</v>
      </c>
      <c r="AF183" t="s">
        <v>74</v>
      </c>
      <c r="AG183">
        <v>18</v>
      </c>
      <c r="AH183">
        <v>3</v>
      </c>
      <c r="AI183">
        <v>3</v>
      </c>
      <c r="AJ183">
        <v>0</v>
      </c>
      <c r="AK183">
        <v>2</v>
      </c>
      <c r="AL183" t="s">
        <v>3239</v>
      </c>
      <c r="AM183" t="s">
        <v>877</v>
      </c>
      <c r="AN183" t="s">
        <v>3240</v>
      </c>
      <c r="AO183" t="s">
        <v>3466</v>
      </c>
      <c r="AP183" t="s">
        <v>3467</v>
      </c>
      <c r="AQ183" t="s">
        <v>74</v>
      </c>
      <c r="AR183" t="s">
        <v>3468</v>
      </c>
      <c r="AS183" t="s">
        <v>3469</v>
      </c>
      <c r="AT183" t="s">
        <v>718</v>
      </c>
      <c r="AU183">
        <v>2019</v>
      </c>
      <c r="AV183">
        <v>61</v>
      </c>
      <c r="AW183">
        <v>1</v>
      </c>
      <c r="AX183" t="s">
        <v>74</v>
      </c>
      <c r="AY183" t="s">
        <v>74</v>
      </c>
      <c r="AZ183" t="s">
        <v>74</v>
      </c>
      <c r="BA183" t="s">
        <v>74</v>
      </c>
      <c r="BB183">
        <v>122</v>
      </c>
      <c r="BC183">
        <v>128</v>
      </c>
      <c r="BD183" t="s">
        <v>74</v>
      </c>
      <c r="BE183" t="s">
        <v>3470</v>
      </c>
      <c r="BF183" t="str">
        <f>HYPERLINK("http://dx.doi.org/10.1134/S1066362219010181","http://dx.doi.org/10.1134/S1066362219010181")</f>
        <v>http://dx.doi.org/10.1134/S1066362219010181</v>
      </c>
      <c r="BG183" t="s">
        <v>74</v>
      </c>
      <c r="BH183" t="s">
        <v>74</v>
      </c>
      <c r="BI183">
        <v>7</v>
      </c>
      <c r="BJ183" t="s">
        <v>3471</v>
      </c>
      <c r="BK183" t="s">
        <v>349</v>
      </c>
      <c r="BL183" t="s">
        <v>2526</v>
      </c>
      <c r="BM183" t="s">
        <v>3472</v>
      </c>
      <c r="BN183" t="s">
        <v>74</v>
      </c>
      <c r="BO183" t="s">
        <v>74</v>
      </c>
      <c r="BP183" t="s">
        <v>74</v>
      </c>
      <c r="BQ183" t="s">
        <v>74</v>
      </c>
      <c r="BR183" t="s">
        <v>104</v>
      </c>
      <c r="BS183" t="s">
        <v>3473</v>
      </c>
      <c r="BT183" t="str">
        <f>HYPERLINK("https%3A%2F%2Fwww.webofscience.com%2Fwos%2Fwoscc%2Ffull-record%2FWOS:000466729500018","View Full Record in Web of Science")</f>
        <v>View Full Record in Web of Science</v>
      </c>
    </row>
    <row r="184" spans="1:72" x14ac:dyDescent="0.15">
      <c r="A184" t="s">
        <v>72</v>
      </c>
      <c r="B184" t="s">
        <v>3474</v>
      </c>
      <c r="C184" t="s">
        <v>74</v>
      </c>
      <c r="D184" t="s">
        <v>74</v>
      </c>
      <c r="E184" t="s">
        <v>74</v>
      </c>
      <c r="F184" t="s">
        <v>3475</v>
      </c>
      <c r="G184" t="s">
        <v>74</v>
      </c>
      <c r="H184" t="s">
        <v>74</v>
      </c>
      <c r="I184" t="s">
        <v>3476</v>
      </c>
      <c r="J184" t="s">
        <v>3477</v>
      </c>
      <c r="K184" t="s">
        <v>74</v>
      </c>
      <c r="L184" t="s">
        <v>74</v>
      </c>
      <c r="M184" t="s">
        <v>78</v>
      </c>
      <c r="N184" t="s">
        <v>79</v>
      </c>
      <c r="O184" t="s">
        <v>74</v>
      </c>
      <c r="P184" t="s">
        <v>74</v>
      </c>
      <c r="Q184" t="s">
        <v>74</v>
      </c>
      <c r="R184" t="s">
        <v>74</v>
      </c>
      <c r="S184" t="s">
        <v>74</v>
      </c>
      <c r="T184" t="s">
        <v>3478</v>
      </c>
      <c r="U184" t="s">
        <v>74</v>
      </c>
      <c r="V184" t="s">
        <v>3479</v>
      </c>
      <c r="W184" t="s">
        <v>3480</v>
      </c>
      <c r="X184" t="s">
        <v>3481</v>
      </c>
      <c r="Y184" t="s">
        <v>3482</v>
      </c>
      <c r="Z184" t="s">
        <v>3483</v>
      </c>
      <c r="AA184" t="s">
        <v>3484</v>
      </c>
      <c r="AB184" t="s">
        <v>3485</v>
      </c>
      <c r="AC184" t="s">
        <v>3486</v>
      </c>
      <c r="AD184" t="s">
        <v>3486</v>
      </c>
      <c r="AE184" t="s">
        <v>3487</v>
      </c>
      <c r="AF184" t="s">
        <v>74</v>
      </c>
      <c r="AG184">
        <v>8</v>
      </c>
      <c r="AH184">
        <v>9</v>
      </c>
      <c r="AI184">
        <v>10</v>
      </c>
      <c r="AJ184">
        <v>2</v>
      </c>
      <c r="AK184">
        <v>6</v>
      </c>
      <c r="AL184" t="s">
        <v>210</v>
      </c>
      <c r="AM184" t="s">
        <v>211</v>
      </c>
      <c r="AN184" t="s">
        <v>212</v>
      </c>
      <c r="AO184" t="s">
        <v>3488</v>
      </c>
      <c r="AP184" t="s">
        <v>3489</v>
      </c>
      <c r="AQ184" t="s">
        <v>74</v>
      </c>
      <c r="AR184" t="s">
        <v>3490</v>
      </c>
      <c r="AS184" t="s">
        <v>3491</v>
      </c>
      <c r="AT184" t="s">
        <v>3269</v>
      </c>
      <c r="AU184">
        <v>2019</v>
      </c>
      <c r="AV184">
        <v>78</v>
      </c>
      <c r="AW184">
        <v>1</v>
      </c>
      <c r="AX184" t="s">
        <v>74</v>
      </c>
      <c r="AY184" t="s">
        <v>74</v>
      </c>
      <c r="AZ184" t="s">
        <v>74</v>
      </c>
      <c r="BA184" t="s">
        <v>74</v>
      </c>
      <c r="BB184" t="s">
        <v>74</v>
      </c>
      <c r="BC184" t="s">
        <v>74</v>
      </c>
      <c r="BD184">
        <v>1611327</v>
      </c>
      <c r="BE184" t="s">
        <v>3492</v>
      </c>
      <c r="BF184" t="str">
        <f>HYPERLINK("http://dx.doi.org/10.1080/22423982.2019.1611327","http://dx.doi.org/10.1080/22423982.2019.1611327")</f>
        <v>http://dx.doi.org/10.1080/22423982.2019.1611327</v>
      </c>
      <c r="BG184" t="s">
        <v>74</v>
      </c>
      <c r="BH184" t="s">
        <v>74</v>
      </c>
      <c r="BI184">
        <v>8</v>
      </c>
      <c r="BJ184" t="s">
        <v>476</v>
      </c>
      <c r="BK184" t="s">
        <v>3493</v>
      </c>
      <c r="BL184" t="s">
        <v>476</v>
      </c>
      <c r="BM184" t="s">
        <v>3494</v>
      </c>
      <c r="BN184">
        <v>31038401</v>
      </c>
      <c r="BO184" t="s">
        <v>221</v>
      </c>
      <c r="BP184" t="s">
        <v>74</v>
      </c>
      <c r="BQ184" t="s">
        <v>74</v>
      </c>
      <c r="BR184" t="s">
        <v>104</v>
      </c>
      <c r="BS184" t="s">
        <v>3495</v>
      </c>
      <c r="BT184" t="str">
        <f>HYPERLINK("https%3A%2F%2Fwww.webofscience.com%2Fwos%2Fwoscc%2Ffull-record%2FWOS:000466341600001","View Full Record in Web of Science")</f>
        <v>View Full Record in Web of Science</v>
      </c>
    </row>
    <row r="185" spans="1:72" x14ac:dyDescent="0.15">
      <c r="A185" t="s">
        <v>72</v>
      </c>
      <c r="B185" t="s">
        <v>3496</v>
      </c>
      <c r="C185" t="s">
        <v>74</v>
      </c>
      <c r="D185" t="s">
        <v>74</v>
      </c>
      <c r="E185" t="s">
        <v>74</v>
      </c>
      <c r="F185" t="s">
        <v>3497</v>
      </c>
      <c r="G185" t="s">
        <v>74</v>
      </c>
      <c r="H185" t="s">
        <v>74</v>
      </c>
      <c r="I185" t="s">
        <v>3498</v>
      </c>
      <c r="J185" t="s">
        <v>3499</v>
      </c>
      <c r="K185" t="s">
        <v>74</v>
      </c>
      <c r="L185" t="s">
        <v>74</v>
      </c>
      <c r="M185" t="s">
        <v>78</v>
      </c>
      <c r="N185" t="s">
        <v>79</v>
      </c>
      <c r="O185" t="s">
        <v>74</v>
      </c>
      <c r="P185" t="s">
        <v>74</v>
      </c>
      <c r="Q185" t="s">
        <v>74</v>
      </c>
      <c r="R185" t="s">
        <v>74</v>
      </c>
      <c r="S185" t="s">
        <v>74</v>
      </c>
      <c r="T185" t="s">
        <v>3500</v>
      </c>
      <c r="U185" t="s">
        <v>3501</v>
      </c>
      <c r="V185" t="s">
        <v>3502</v>
      </c>
      <c r="W185" t="s">
        <v>3503</v>
      </c>
      <c r="X185" t="s">
        <v>3504</v>
      </c>
      <c r="Y185" t="s">
        <v>3505</v>
      </c>
      <c r="Z185" t="s">
        <v>3506</v>
      </c>
      <c r="AA185" t="s">
        <v>74</v>
      </c>
      <c r="AB185" t="s">
        <v>3507</v>
      </c>
      <c r="AC185" t="s">
        <v>3508</v>
      </c>
      <c r="AD185" t="s">
        <v>3509</v>
      </c>
      <c r="AE185" t="s">
        <v>3510</v>
      </c>
      <c r="AF185" t="s">
        <v>74</v>
      </c>
      <c r="AG185">
        <v>57</v>
      </c>
      <c r="AH185">
        <v>3</v>
      </c>
      <c r="AI185">
        <v>3</v>
      </c>
      <c r="AJ185">
        <v>1</v>
      </c>
      <c r="AK185">
        <v>6</v>
      </c>
      <c r="AL185" t="s">
        <v>3511</v>
      </c>
      <c r="AM185" t="s">
        <v>547</v>
      </c>
      <c r="AN185" t="s">
        <v>3512</v>
      </c>
      <c r="AO185" t="s">
        <v>3513</v>
      </c>
      <c r="AP185" t="s">
        <v>74</v>
      </c>
      <c r="AQ185" t="s">
        <v>74</v>
      </c>
      <c r="AR185" t="s">
        <v>3499</v>
      </c>
      <c r="AS185" t="s">
        <v>3514</v>
      </c>
      <c r="AT185" t="s">
        <v>718</v>
      </c>
      <c r="AU185">
        <v>2019</v>
      </c>
      <c r="AV185">
        <v>21</v>
      </c>
      <c r="AW185">
        <v>4</v>
      </c>
      <c r="AX185" t="s">
        <v>74</v>
      </c>
      <c r="AY185" t="s">
        <v>74</v>
      </c>
      <c r="AZ185" t="s">
        <v>74</v>
      </c>
      <c r="BA185" t="s">
        <v>74</v>
      </c>
      <c r="BB185">
        <v>389</v>
      </c>
      <c r="BC185" t="s">
        <v>642</v>
      </c>
      <c r="BD185" t="s">
        <v>74</v>
      </c>
      <c r="BE185" t="s">
        <v>3515</v>
      </c>
      <c r="BF185" t="str">
        <f>HYPERLINK("http://dx.doi.org/10.1163/15685411-00003221","http://dx.doi.org/10.1163/15685411-00003221")</f>
        <v>http://dx.doi.org/10.1163/15685411-00003221</v>
      </c>
      <c r="BG185" t="s">
        <v>74</v>
      </c>
      <c r="BH185" t="s">
        <v>74</v>
      </c>
      <c r="BI185">
        <v>17</v>
      </c>
      <c r="BJ185" t="s">
        <v>3516</v>
      </c>
      <c r="BK185" t="s">
        <v>101</v>
      </c>
      <c r="BL185" t="s">
        <v>3516</v>
      </c>
      <c r="BM185" t="s">
        <v>3517</v>
      </c>
      <c r="BN185" t="s">
        <v>74</v>
      </c>
      <c r="BO185" t="s">
        <v>74</v>
      </c>
      <c r="BP185" t="s">
        <v>74</v>
      </c>
      <c r="BQ185" t="s">
        <v>74</v>
      </c>
      <c r="BR185" t="s">
        <v>104</v>
      </c>
      <c r="BS185" t="s">
        <v>3518</v>
      </c>
      <c r="BT185" t="str">
        <f>HYPERLINK("https%3A%2F%2Fwww.webofscience.com%2Fwos%2Fwoscc%2Ffull-record%2FWOS:000466152800004","View Full Record in Web of Science")</f>
        <v>View Full Record in Web of Science</v>
      </c>
    </row>
    <row r="186" spans="1:72" x14ac:dyDescent="0.15">
      <c r="A186" t="s">
        <v>72</v>
      </c>
      <c r="B186" t="s">
        <v>3519</v>
      </c>
      <c r="C186" t="s">
        <v>74</v>
      </c>
      <c r="D186" t="s">
        <v>74</v>
      </c>
      <c r="E186" t="s">
        <v>74</v>
      </c>
      <c r="F186" t="s">
        <v>3520</v>
      </c>
      <c r="G186" t="s">
        <v>74</v>
      </c>
      <c r="H186" t="s">
        <v>74</v>
      </c>
      <c r="I186" t="s">
        <v>3521</v>
      </c>
      <c r="J186" t="s">
        <v>3522</v>
      </c>
      <c r="K186" t="s">
        <v>74</v>
      </c>
      <c r="L186" t="s">
        <v>74</v>
      </c>
      <c r="M186" t="s">
        <v>78</v>
      </c>
      <c r="N186" t="s">
        <v>79</v>
      </c>
      <c r="O186" t="s">
        <v>74</v>
      </c>
      <c r="P186" t="s">
        <v>74</v>
      </c>
      <c r="Q186" t="s">
        <v>74</v>
      </c>
      <c r="R186" t="s">
        <v>74</v>
      </c>
      <c r="S186" t="s">
        <v>74</v>
      </c>
      <c r="T186" t="s">
        <v>74</v>
      </c>
      <c r="U186" t="s">
        <v>3523</v>
      </c>
      <c r="V186" t="s">
        <v>3524</v>
      </c>
      <c r="W186" t="s">
        <v>3525</v>
      </c>
      <c r="X186" t="s">
        <v>3526</v>
      </c>
      <c r="Y186" t="s">
        <v>3527</v>
      </c>
      <c r="Z186" t="s">
        <v>3528</v>
      </c>
      <c r="AA186" t="s">
        <v>3529</v>
      </c>
      <c r="AB186" t="s">
        <v>74</v>
      </c>
      <c r="AC186" t="s">
        <v>3530</v>
      </c>
      <c r="AD186" t="s">
        <v>3531</v>
      </c>
      <c r="AE186" t="s">
        <v>3532</v>
      </c>
      <c r="AF186" t="s">
        <v>74</v>
      </c>
      <c r="AG186">
        <v>40</v>
      </c>
      <c r="AH186">
        <v>33</v>
      </c>
      <c r="AI186">
        <v>33</v>
      </c>
      <c r="AJ186">
        <v>3</v>
      </c>
      <c r="AK186">
        <v>20</v>
      </c>
      <c r="AL186" t="s">
        <v>210</v>
      </c>
      <c r="AM186" t="s">
        <v>211</v>
      </c>
      <c r="AN186" t="s">
        <v>212</v>
      </c>
      <c r="AO186" t="s">
        <v>3533</v>
      </c>
      <c r="AP186" t="s">
        <v>3534</v>
      </c>
      <c r="AQ186" t="s">
        <v>74</v>
      </c>
      <c r="AR186" t="s">
        <v>3535</v>
      </c>
      <c r="AS186" t="s">
        <v>3536</v>
      </c>
      <c r="AT186" t="s">
        <v>74</v>
      </c>
      <c r="AU186">
        <v>2019</v>
      </c>
      <c r="AV186">
        <v>40</v>
      </c>
      <c r="AW186">
        <v>11</v>
      </c>
      <c r="AX186" t="s">
        <v>74</v>
      </c>
      <c r="AY186" t="s">
        <v>74</v>
      </c>
      <c r="AZ186" t="s">
        <v>74</v>
      </c>
      <c r="BA186" t="s">
        <v>74</v>
      </c>
      <c r="BB186">
        <v>4104</v>
      </c>
      <c r="BC186">
        <v>4142</v>
      </c>
      <c r="BD186" t="s">
        <v>74</v>
      </c>
      <c r="BE186" t="s">
        <v>3537</v>
      </c>
      <c r="BF186" t="str">
        <f>HYPERLINK("http://dx.doi.org/10.1080/01431161.2018.1558377","http://dx.doi.org/10.1080/01431161.2018.1558377")</f>
        <v>http://dx.doi.org/10.1080/01431161.2018.1558377</v>
      </c>
      <c r="BG186" t="s">
        <v>74</v>
      </c>
      <c r="BH186" t="s">
        <v>74</v>
      </c>
      <c r="BI186">
        <v>39</v>
      </c>
      <c r="BJ186" t="s">
        <v>3538</v>
      </c>
      <c r="BK186" t="s">
        <v>101</v>
      </c>
      <c r="BL186" t="s">
        <v>3538</v>
      </c>
      <c r="BM186" t="s">
        <v>3539</v>
      </c>
      <c r="BN186" t="s">
        <v>74</v>
      </c>
      <c r="BO186" t="s">
        <v>3540</v>
      </c>
      <c r="BP186" t="s">
        <v>74</v>
      </c>
      <c r="BQ186" t="s">
        <v>74</v>
      </c>
      <c r="BR186" t="s">
        <v>104</v>
      </c>
      <c r="BS186" t="s">
        <v>3541</v>
      </c>
      <c r="BT186" t="str">
        <f>HYPERLINK("https%3A%2F%2Fwww.webofscience.com%2Fwos%2Fwoscc%2Ffull-record%2FWOS:000465245700003","View Full Record in Web of Science")</f>
        <v>View Full Record in Web of Science</v>
      </c>
    </row>
    <row r="187" spans="1:72" x14ac:dyDescent="0.15">
      <c r="A187" t="s">
        <v>72</v>
      </c>
      <c r="B187" t="s">
        <v>3542</v>
      </c>
      <c r="C187" t="s">
        <v>74</v>
      </c>
      <c r="D187" t="s">
        <v>74</v>
      </c>
      <c r="E187" t="s">
        <v>74</v>
      </c>
      <c r="F187" t="s">
        <v>3543</v>
      </c>
      <c r="G187" t="s">
        <v>74</v>
      </c>
      <c r="H187" t="s">
        <v>74</v>
      </c>
      <c r="I187" t="s">
        <v>3544</v>
      </c>
      <c r="J187" t="s">
        <v>3545</v>
      </c>
      <c r="K187" t="s">
        <v>74</v>
      </c>
      <c r="L187" t="s">
        <v>74</v>
      </c>
      <c r="M187" t="s">
        <v>78</v>
      </c>
      <c r="N187" t="s">
        <v>79</v>
      </c>
      <c r="O187" t="s">
        <v>74</v>
      </c>
      <c r="P187" t="s">
        <v>74</v>
      </c>
      <c r="Q187" t="s">
        <v>74</v>
      </c>
      <c r="R187" t="s">
        <v>74</v>
      </c>
      <c r="S187" t="s">
        <v>74</v>
      </c>
      <c r="T187" t="s">
        <v>3546</v>
      </c>
      <c r="U187" t="s">
        <v>3547</v>
      </c>
      <c r="V187" t="s">
        <v>3548</v>
      </c>
      <c r="W187" t="s">
        <v>3549</v>
      </c>
      <c r="X187" t="s">
        <v>3550</v>
      </c>
      <c r="Y187" t="s">
        <v>3551</v>
      </c>
      <c r="Z187" t="s">
        <v>3552</v>
      </c>
      <c r="AA187" t="s">
        <v>3553</v>
      </c>
      <c r="AB187" t="s">
        <v>3554</v>
      </c>
      <c r="AC187" t="s">
        <v>3555</v>
      </c>
      <c r="AD187" t="s">
        <v>3556</v>
      </c>
      <c r="AE187" t="s">
        <v>3557</v>
      </c>
      <c r="AF187" t="s">
        <v>74</v>
      </c>
      <c r="AG187">
        <v>101</v>
      </c>
      <c r="AH187">
        <v>20</v>
      </c>
      <c r="AI187">
        <v>21</v>
      </c>
      <c r="AJ187">
        <v>0</v>
      </c>
      <c r="AK187">
        <v>30</v>
      </c>
      <c r="AL187" t="s">
        <v>3290</v>
      </c>
      <c r="AM187" t="s">
        <v>2520</v>
      </c>
      <c r="AN187" t="s">
        <v>3291</v>
      </c>
      <c r="AO187" t="s">
        <v>3558</v>
      </c>
      <c r="AP187" t="s">
        <v>3559</v>
      </c>
      <c r="AQ187" t="s">
        <v>74</v>
      </c>
      <c r="AR187" t="s">
        <v>3560</v>
      </c>
      <c r="AS187" t="s">
        <v>3561</v>
      </c>
      <c r="AT187" t="s">
        <v>718</v>
      </c>
      <c r="AU187">
        <v>2019</v>
      </c>
      <c r="AV187">
        <v>96</v>
      </c>
      <c r="AW187" t="s">
        <v>74</v>
      </c>
      <c r="AX187">
        <v>1</v>
      </c>
      <c r="AY187" t="s">
        <v>74</v>
      </c>
      <c r="AZ187" t="s">
        <v>74</v>
      </c>
      <c r="BA187" t="s">
        <v>74</v>
      </c>
      <c r="BB187">
        <v>40</v>
      </c>
      <c r="BC187">
        <v>51</v>
      </c>
      <c r="BD187" t="s">
        <v>74</v>
      </c>
      <c r="BE187" t="s">
        <v>3562</v>
      </c>
      <c r="BF187" t="str">
        <f>HYPERLINK("http://dx.doi.org/10.1016/j.ecolind.2018.08.063","http://dx.doi.org/10.1016/j.ecolind.2018.08.063")</f>
        <v>http://dx.doi.org/10.1016/j.ecolind.2018.08.063</v>
      </c>
      <c r="BG187" t="s">
        <v>74</v>
      </c>
      <c r="BH187" t="s">
        <v>74</v>
      </c>
      <c r="BI187">
        <v>12</v>
      </c>
      <c r="BJ187" t="s">
        <v>100</v>
      </c>
      <c r="BK187" t="s">
        <v>101</v>
      </c>
      <c r="BL187" t="s">
        <v>102</v>
      </c>
      <c r="BM187" t="s">
        <v>3563</v>
      </c>
      <c r="BN187" t="s">
        <v>74</v>
      </c>
      <c r="BO187" t="s">
        <v>74</v>
      </c>
      <c r="BP187" t="s">
        <v>74</v>
      </c>
      <c r="BQ187" t="s">
        <v>74</v>
      </c>
      <c r="BR187" t="s">
        <v>104</v>
      </c>
      <c r="BS187" t="s">
        <v>3564</v>
      </c>
      <c r="BT187" t="str">
        <f>HYPERLINK("https%3A%2F%2Fwww.webofscience.com%2Fwos%2Fwoscc%2Ffull-record%2FWOS:000464889600004","View Full Record in Web of Science")</f>
        <v>View Full Record in Web of Science</v>
      </c>
    </row>
    <row r="188" spans="1:72" x14ac:dyDescent="0.15">
      <c r="A188" t="s">
        <v>72</v>
      </c>
      <c r="B188" t="s">
        <v>3565</v>
      </c>
      <c r="C188" t="s">
        <v>74</v>
      </c>
      <c r="D188" t="s">
        <v>74</v>
      </c>
      <c r="E188" t="s">
        <v>74</v>
      </c>
      <c r="F188" t="s">
        <v>3566</v>
      </c>
      <c r="G188" t="s">
        <v>74</v>
      </c>
      <c r="H188" t="s">
        <v>74</v>
      </c>
      <c r="I188" t="s">
        <v>3567</v>
      </c>
      <c r="J188" t="s">
        <v>3545</v>
      </c>
      <c r="K188" t="s">
        <v>74</v>
      </c>
      <c r="L188" t="s">
        <v>74</v>
      </c>
      <c r="M188" t="s">
        <v>78</v>
      </c>
      <c r="N188" t="s">
        <v>79</v>
      </c>
      <c r="O188" t="s">
        <v>74</v>
      </c>
      <c r="P188" t="s">
        <v>74</v>
      </c>
      <c r="Q188" t="s">
        <v>74</v>
      </c>
      <c r="R188" t="s">
        <v>74</v>
      </c>
      <c r="S188" t="s">
        <v>74</v>
      </c>
      <c r="T188" t="s">
        <v>3568</v>
      </c>
      <c r="U188" t="s">
        <v>3569</v>
      </c>
      <c r="V188" t="s">
        <v>3570</v>
      </c>
      <c r="W188" t="s">
        <v>3571</v>
      </c>
      <c r="X188" t="s">
        <v>3572</v>
      </c>
      <c r="Y188" t="s">
        <v>3573</v>
      </c>
      <c r="Z188" t="s">
        <v>3574</v>
      </c>
      <c r="AA188" t="s">
        <v>3575</v>
      </c>
      <c r="AB188" t="s">
        <v>3576</v>
      </c>
      <c r="AC188" t="s">
        <v>3577</v>
      </c>
      <c r="AD188" t="s">
        <v>3577</v>
      </c>
      <c r="AE188" t="s">
        <v>3578</v>
      </c>
      <c r="AF188" t="s">
        <v>74</v>
      </c>
      <c r="AG188">
        <v>63</v>
      </c>
      <c r="AH188">
        <v>31</v>
      </c>
      <c r="AI188">
        <v>33</v>
      </c>
      <c r="AJ188">
        <v>4</v>
      </c>
      <c r="AK188">
        <v>60</v>
      </c>
      <c r="AL188" t="s">
        <v>2519</v>
      </c>
      <c r="AM188" t="s">
        <v>2520</v>
      </c>
      <c r="AN188" t="s">
        <v>3313</v>
      </c>
      <c r="AO188" t="s">
        <v>3558</v>
      </c>
      <c r="AP188" t="s">
        <v>3559</v>
      </c>
      <c r="AQ188" t="s">
        <v>74</v>
      </c>
      <c r="AR188" t="s">
        <v>3560</v>
      </c>
      <c r="AS188" t="s">
        <v>3561</v>
      </c>
      <c r="AT188" t="s">
        <v>718</v>
      </c>
      <c r="AU188">
        <v>2019</v>
      </c>
      <c r="AV188">
        <v>96</v>
      </c>
      <c r="AW188" t="s">
        <v>74</v>
      </c>
      <c r="AX188">
        <v>1</v>
      </c>
      <c r="AY188" t="s">
        <v>74</v>
      </c>
      <c r="AZ188" t="s">
        <v>74</v>
      </c>
      <c r="BA188" t="s">
        <v>74</v>
      </c>
      <c r="BB188">
        <v>174</v>
      </c>
      <c r="BC188">
        <v>191</v>
      </c>
      <c r="BD188" t="s">
        <v>74</v>
      </c>
      <c r="BE188" t="s">
        <v>3579</v>
      </c>
      <c r="BF188" t="str">
        <f>HYPERLINK("http://dx.doi.org/10.1016/j.ecolind.2018.08.052","http://dx.doi.org/10.1016/j.ecolind.2018.08.052")</f>
        <v>http://dx.doi.org/10.1016/j.ecolind.2018.08.052</v>
      </c>
      <c r="BG188" t="s">
        <v>74</v>
      </c>
      <c r="BH188" t="s">
        <v>74</v>
      </c>
      <c r="BI188">
        <v>18</v>
      </c>
      <c r="BJ188" t="s">
        <v>100</v>
      </c>
      <c r="BK188" t="s">
        <v>101</v>
      </c>
      <c r="BL188" t="s">
        <v>102</v>
      </c>
      <c r="BM188" t="s">
        <v>3563</v>
      </c>
      <c r="BN188" t="s">
        <v>74</v>
      </c>
      <c r="BO188" t="s">
        <v>74</v>
      </c>
      <c r="BP188" t="s">
        <v>74</v>
      </c>
      <c r="BQ188" t="s">
        <v>74</v>
      </c>
      <c r="BR188" t="s">
        <v>104</v>
      </c>
      <c r="BS188" t="s">
        <v>3580</v>
      </c>
      <c r="BT188" t="str">
        <f>HYPERLINK("https%3A%2F%2Fwww.webofscience.com%2Fwos%2Fwoscc%2Ffull-record%2FWOS:000464889600018","View Full Record in Web of Science")</f>
        <v>View Full Record in Web of Science</v>
      </c>
    </row>
    <row r="189" spans="1:72" x14ac:dyDescent="0.15">
      <c r="A189" t="s">
        <v>72</v>
      </c>
      <c r="B189" t="s">
        <v>3581</v>
      </c>
      <c r="C189" t="s">
        <v>74</v>
      </c>
      <c r="D189" t="s">
        <v>74</v>
      </c>
      <c r="E189" t="s">
        <v>74</v>
      </c>
      <c r="F189" t="s">
        <v>3582</v>
      </c>
      <c r="G189" t="s">
        <v>74</v>
      </c>
      <c r="H189" t="s">
        <v>74</v>
      </c>
      <c r="I189" t="s">
        <v>3583</v>
      </c>
      <c r="J189" t="s">
        <v>3584</v>
      </c>
      <c r="K189" t="s">
        <v>74</v>
      </c>
      <c r="L189" t="s">
        <v>74</v>
      </c>
      <c r="M189" t="s">
        <v>3585</v>
      </c>
      <c r="N189" t="s">
        <v>3586</v>
      </c>
      <c r="O189" t="s">
        <v>74</v>
      </c>
      <c r="P189" t="s">
        <v>74</v>
      </c>
      <c r="Q189" t="s">
        <v>74</v>
      </c>
      <c r="R189" t="s">
        <v>74</v>
      </c>
      <c r="S189" t="s">
        <v>74</v>
      </c>
      <c r="T189" t="s">
        <v>74</v>
      </c>
      <c r="U189" t="s">
        <v>74</v>
      </c>
      <c r="V189" t="s">
        <v>74</v>
      </c>
      <c r="W189" t="s">
        <v>3587</v>
      </c>
      <c r="X189" t="s">
        <v>3588</v>
      </c>
      <c r="Y189" t="s">
        <v>3589</v>
      </c>
      <c r="Z189" t="s">
        <v>3590</v>
      </c>
      <c r="AA189" t="s">
        <v>74</v>
      </c>
      <c r="AB189" t="s">
        <v>74</v>
      </c>
      <c r="AC189" t="s">
        <v>74</v>
      </c>
      <c r="AD189" t="s">
        <v>74</v>
      </c>
      <c r="AE189" t="s">
        <v>74</v>
      </c>
      <c r="AF189" t="s">
        <v>74</v>
      </c>
      <c r="AG189">
        <v>3</v>
      </c>
      <c r="AH189">
        <v>0</v>
      </c>
      <c r="AI189">
        <v>0</v>
      </c>
      <c r="AJ189">
        <v>0</v>
      </c>
      <c r="AK189">
        <v>0</v>
      </c>
      <c r="AL189" t="s">
        <v>3591</v>
      </c>
      <c r="AM189" t="s">
        <v>3592</v>
      </c>
      <c r="AN189" t="s">
        <v>3593</v>
      </c>
      <c r="AO189" t="s">
        <v>3594</v>
      </c>
      <c r="AP189" t="s">
        <v>74</v>
      </c>
      <c r="AQ189" t="s">
        <v>74</v>
      </c>
      <c r="AR189" t="s">
        <v>3595</v>
      </c>
      <c r="AS189" t="s">
        <v>3596</v>
      </c>
      <c r="AT189" t="s">
        <v>3597</v>
      </c>
      <c r="AU189">
        <v>2019</v>
      </c>
      <c r="AV189">
        <v>11</v>
      </c>
      <c r="AW189">
        <v>26</v>
      </c>
      <c r="AX189" t="s">
        <v>74</v>
      </c>
      <c r="AY189" t="s">
        <v>74</v>
      </c>
      <c r="AZ189" t="s">
        <v>74</v>
      </c>
      <c r="BA189" t="s">
        <v>74</v>
      </c>
      <c r="BB189">
        <v>616</v>
      </c>
      <c r="BC189">
        <v>622</v>
      </c>
      <c r="BD189" t="s">
        <v>74</v>
      </c>
      <c r="BE189" t="s">
        <v>3598</v>
      </c>
      <c r="BF189" t="str">
        <f>HYPERLINK("http://dx.doi.org/10.5965/2175180310262019616","http://dx.doi.org/10.5965/2175180310262019616")</f>
        <v>http://dx.doi.org/10.5965/2175180310262019616</v>
      </c>
      <c r="BG189" t="s">
        <v>74</v>
      </c>
      <c r="BH189" t="s">
        <v>74</v>
      </c>
      <c r="BI189">
        <v>7</v>
      </c>
      <c r="BJ189" t="s">
        <v>348</v>
      </c>
      <c r="BK189" t="s">
        <v>349</v>
      </c>
      <c r="BL189" t="s">
        <v>348</v>
      </c>
      <c r="BM189" t="s">
        <v>3599</v>
      </c>
      <c r="BN189" t="s">
        <v>74</v>
      </c>
      <c r="BO189" t="s">
        <v>949</v>
      </c>
      <c r="BP189" t="s">
        <v>74</v>
      </c>
      <c r="BQ189" t="s">
        <v>74</v>
      </c>
      <c r="BR189" t="s">
        <v>104</v>
      </c>
      <c r="BS189" t="s">
        <v>3600</v>
      </c>
      <c r="BT189" t="str">
        <f>HYPERLINK("https%3A%2F%2Fwww.webofscience.com%2Fwos%2Fwoscc%2Ffull-record%2FWOS:000464670300027","View Full Record in Web of Science")</f>
        <v>View Full Record in Web of Science</v>
      </c>
    </row>
    <row r="190" spans="1:72" x14ac:dyDescent="0.15">
      <c r="A190" t="s">
        <v>72</v>
      </c>
      <c r="B190" t="s">
        <v>3601</v>
      </c>
      <c r="C190" t="s">
        <v>74</v>
      </c>
      <c r="D190" t="s">
        <v>74</v>
      </c>
      <c r="E190" t="s">
        <v>74</v>
      </c>
      <c r="F190" t="s">
        <v>3602</v>
      </c>
      <c r="G190" t="s">
        <v>74</v>
      </c>
      <c r="H190" t="s">
        <v>74</v>
      </c>
      <c r="I190" t="s">
        <v>3603</v>
      </c>
      <c r="J190" t="s">
        <v>3604</v>
      </c>
      <c r="K190" t="s">
        <v>74</v>
      </c>
      <c r="L190" t="s">
        <v>74</v>
      </c>
      <c r="M190" t="s">
        <v>78</v>
      </c>
      <c r="N190" t="s">
        <v>79</v>
      </c>
      <c r="O190" t="s">
        <v>74</v>
      </c>
      <c r="P190" t="s">
        <v>74</v>
      </c>
      <c r="Q190" t="s">
        <v>74</v>
      </c>
      <c r="R190" t="s">
        <v>74</v>
      </c>
      <c r="S190" t="s">
        <v>74</v>
      </c>
      <c r="T190" t="s">
        <v>3605</v>
      </c>
      <c r="U190" t="s">
        <v>74</v>
      </c>
      <c r="V190" t="s">
        <v>3606</v>
      </c>
      <c r="W190" t="s">
        <v>3607</v>
      </c>
      <c r="X190" t="s">
        <v>3608</v>
      </c>
      <c r="Y190" t="s">
        <v>3609</v>
      </c>
      <c r="Z190" t="s">
        <v>3610</v>
      </c>
      <c r="AA190" t="s">
        <v>74</v>
      </c>
      <c r="AB190" t="s">
        <v>74</v>
      </c>
      <c r="AC190" t="s">
        <v>74</v>
      </c>
      <c r="AD190" t="s">
        <v>74</v>
      </c>
      <c r="AE190" t="s">
        <v>74</v>
      </c>
      <c r="AF190" t="s">
        <v>74</v>
      </c>
      <c r="AG190">
        <v>19</v>
      </c>
      <c r="AH190">
        <v>0</v>
      </c>
      <c r="AI190">
        <v>0</v>
      </c>
      <c r="AJ190">
        <v>0</v>
      </c>
      <c r="AK190">
        <v>1</v>
      </c>
      <c r="AL190" t="s">
        <v>3611</v>
      </c>
      <c r="AM190" t="s">
        <v>3612</v>
      </c>
      <c r="AN190" t="s">
        <v>3613</v>
      </c>
      <c r="AO190" t="s">
        <v>3614</v>
      </c>
      <c r="AP190" t="s">
        <v>3615</v>
      </c>
      <c r="AQ190" t="s">
        <v>74</v>
      </c>
      <c r="AR190" t="s">
        <v>3616</v>
      </c>
      <c r="AS190" t="s">
        <v>3617</v>
      </c>
      <c r="AT190" t="s">
        <v>74</v>
      </c>
      <c r="AU190">
        <v>2019</v>
      </c>
      <c r="AV190">
        <v>38</v>
      </c>
      <c r="AW190">
        <v>1</v>
      </c>
      <c r="AX190" t="s">
        <v>74</v>
      </c>
      <c r="AY190" t="s">
        <v>74</v>
      </c>
      <c r="AZ190" t="s">
        <v>74</v>
      </c>
      <c r="BA190" t="s">
        <v>74</v>
      </c>
      <c r="BB190">
        <v>28</v>
      </c>
      <c r="BC190">
        <v>42</v>
      </c>
      <c r="BD190" t="s">
        <v>74</v>
      </c>
      <c r="BE190" t="s">
        <v>3618</v>
      </c>
      <c r="BF190" t="str">
        <f>HYPERLINK("http://dx.doi.org/10.17704/1944-6178-38.1.28","http://dx.doi.org/10.17704/1944-6178-38.1.28")</f>
        <v>http://dx.doi.org/10.17704/1944-6178-38.1.28</v>
      </c>
      <c r="BG190" t="s">
        <v>74</v>
      </c>
      <c r="BH190" t="s">
        <v>74</v>
      </c>
      <c r="BI190">
        <v>15</v>
      </c>
      <c r="BJ190" t="s">
        <v>3619</v>
      </c>
      <c r="BK190" t="s">
        <v>3493</v>
      </c>
      <c r="BL190" t="s">
        <v>3620</v>
      </c>
      <c r="BM190" t="s">
        <v>3621</v>
      </c>
      <c r="BN190" t="s">
        <v>74</v>
      </c>
      <c r="BO190" t="s">
        <v>74</v>
      </c>
      <c r="BP190" t="s">
        <v>74</v>
      </c>
      <c r="BQ190" t="s">
        <v>74</v>
      </c>
      <c r="BR190" t="s">
        <v>104</v>
      </c>
      <c r="BS190" t="s">
        <v>3622</v>
      </c>
      <c r="BT190" t="str">
        <f>HYPERLINK("https%3A%2F%2Fwww.webofscience.com%2Fwos%2Fwoscc%2Ffull-record%2FWOS:000464613400004","View Full Record in Web of Science")</f>
        <v>View Full Record in Web of Science</v>
      </c>
    </row>
    <row r="191" spans="1:72" x14ac:dyDescent="0.15">
      <c r="A191" t="s">
        <v>72</v>
      </c>
      <c r="B191" t="s">
        <v>3623</v>
      </c>
      <c r="C191" t="s">
        <v>74</v>
      </c>
      <c r="D191" t="s">
        <v>74</v>
      </c>
      <c r="E191" t="s">
        <v>74</v>
      </c>
      <c r="F191" t="s">
        <v>3624</v>
      </c>
      <c r="G191" t="s">
        <v>74</v>
      </c>
      <c r="H191" t="s">
        <v>74</v>
      </c>
      <c r="I191" t="s">
        <v>3625</v>
      </c>
      <c r="J191" t="s">
        <v>3604</v>
      </c>
      <c r="K191" t="s">
        <v>74</v>
      </c>
      <c r="L191" t="s">
        <v>74</v>
      </c>
      <c r="M191" t="s">
        <v>78</v>
      </c>
      <c r="N191" t="s">
        <v>79</v>
      </c>
      <c r="O191" t="s">
        <v>74</v>
      </c>
      <c r="P191" t="s">
        <v>74</v>
      </c>
      <c r="Q191" t="s">
        <v>74</v>
      </c>
      <c r="R191" t="s">
        <v>74</v>
      </c>
      <c r="S191" t="s">
        <v>74</v>
      </c>
      <c r="T191" t="s">
        <v>3626</v>
      </c>
      <c r="U191" t="s">
        <v>3627</v>
      </c>
      <c r="V191" t="s">
        <v>3628</v>
      </c>
      <c r="W191" t="s">
        <v>3629</v>
      </c>
      <c r="X191" t="s">
        <v>3630</v>
      </c>
      <c r="Y191" t="s">
        <v>3631</v>
      </c>
      <c r="Z191" t="s">
        <v>3632</v>
      </c>
      <c r="AA191" t="s">
        <v>74</v>
      </c>
      <c r="AB191" t="s">
        <v>74</v>
      </c>
      <c r="AC191" t="s">
        <v>74</v>
      </c>
      <c r="AD191" t="s">
        <v>74</v>
      </c>
      <c r="AE191" t="s">
        <v>74</v>
      </c>
      <c r="AF191" t="s">
        <v>74</v>
      </c>
      <c r="AG191">
        <v>95</v>
      </c>
      <c r="AH191">
        <v>0</v>
      </c>
      <c r="AI191">
        <v>0</v>
      </c>
      <c r="AJ191">
        <v>0</v>
      </c>
      <c r="AK191">
        <v>3</v>
      </c>
      <c r="AL191" t="s">
        <v>3611</v>
      </c>
      <c r="AM191" t="s">
        <v>3612</v>
      </c>
      <c r="AN191" t="s">
        <v>3613</v>
      </c>
      <c r="AO191" t="s">
        <v>3614</v>
      </c>
      <c r="AP191" t="s">
        <v>3615</v>
      </c>
      <c r="AQ191" t="s">
        <v>74</v>
      </c>
      <c r="AR191" t="s">
        <v>3616</v>
      </c>
      <c r="AS191" t="s">
        <v>3617</v>
      </c>
      <c r="AT191" t="s">
        <v>74</v>
      </c>
      <c r="AU191">
        <v>2019</v>
      </c>
      <c r="AV191">
        <v>38</v>
      </c>
      <c r="AW191">
        <v>1</v>
      </c>
      <c r="AX191" t="s">
        <v>74</v>
      </c>
      <c r="AY191" t="s">
        <v>74</v>
      </c>
      <c r="AZ191" t="s">
        <v>74</v>
      </c>
      <c r="BA191" t="s">
        <v>74</v>
      </c>
      <c r="BB191">
        <v>43</v>
      </c>
      <c r="BC191">
        <v>58</v>
      </c>
      <c r="BD191" t="s">
        <v>74</v>
      </c>
      <c r="BE191" t="s">
        <v>3633</v>
      </c>
      <c r="BF191" t="str">
        <f>HYPERLINK("http://dx.doi.org/10.17704/1944-6178-38.1.43","http://dx.doi.org/10.17704/1944-6178-38.1.43")</f>
        <v>http://dx.doi.org/10.17704/1944-6178-38.1.43</v>
      </c>
      <c r="BG191" t="s">
        <v>74</v>
      </c>
      <c r="BH191" t="s">
        <v>74</v>
      </c>
      <c r="BI191">
        <v>16</v>
      </c>
      <c r="BJ191" t="s">
        <v>3619</v>
      </c>
      <c r="BK191" t="s">
        <v>3493</v>
      </c>
      <c r="BL191" t="s">
        <v>3620</v>
      </c>
      <c r="BM191" t="s">
        <v>3621</v>
      </c>
      <c r="BN191" t="s">
        <v>74</v>
      </c>
      <c r="BO191" t="s">
        <v>74</v>
      </c>
      <c r="BP191" t="s">
        <v>74</v>
      </c>
      <c r="BQ191" t="s">
        <v>74</v>
      </c>
      <c r="BR191" t="s">
        <v>104</v>
      </c>
      <c r="BS191" t="s">
        <v>3634</v>
      </c>
      <c r="BT191" t="str">
        <f>HYPERLINK("https%3A%2F%2Fwww.webofscience.com%2Fwos%2Fwoscc%2Ffull-record%2FWOS:000464613400005","View Full Record in Web of Science")</f>
        <v>View Full Record in Web of Science</v>
      </c>
    </row>
    <row r="192" spans="1:72" x14ac:dyDescent="0.15">
      <c r="A192" t="s">
        <v>72</v>
      </c>
      <c r="B192" t="s">
        <v>3635</v>
      </c>
      <c r="C192" t="s">
        <v>74</v>
      </c>
      <c r="D192" t="s">
        <v>74</v>
      </c>
      <c r="E192" t="s">
        <v>74</v>
      </c>
      <c r="F192" t="s">
        <v>3636</v>
      </c>
      <c r="G192" t="s">
        <v>74</v>
      </c>
      <c r="H192" t="s">
        <v>74</v>
      </c>
      <c r="I192" t="s">
        <v>3637</v>
      </c>
      <c r="J192" t="s">
        <v>3638</v>
      </c>
      <c r="K192" t="s">
        <v>74</v>
      </c>
      <c r="L192" t="s">
        <v>74</v>
      </c>
      <c r="M192" t="s">
        <v>78</v>
      </c>
      <c r="N192" t="s">
        <v>79</v>
      </c>
      <c r="O192" t="s">
        <v>74</v>
      </c>
      <c r="P192" t="s">
        <v>74</v>
      </c>
      <c r="Q192" t="s">
        <v>74</v>
      </c>
      <c r="R192" t="s">
        <v>74</v>
      </c>
      <c r="S192" t="s">
        <v>74</v>
      </c>
      <c r="T192" t="s">
        <v>3639</v>
      </c>
      <c r="U192" t="s">
        <v>3640</v>
      </c>
      <c r="V192" t="s">
        <v>3641</v>
      </c>
      <c r="W192" t="s">
        <v>3642</v>
      </c>
      <c r="X192" t="s">
        <v>3643</v>
      </c>
      <c r="Y192" t="s">
        <v>3644</v>
      </c>
      <c r="Z192" t="s">
        <v>3645</v>
      </c>
      <c r="AA192" t="s">
        <v>3646</v>
      </c>
      <c r="AB192" t="s">
        <v>3647</v>
      </c>
      <c r="AC192" t="s">
        <v>74</v>
      </c>
      <c r="AD192" t="s">
        <v>74</v>
      </c>
      <c r="AE192" t="s">
        <v>74</v>
      </c>
      <c r="AF192" t="s">
        <v>74</v>
      </c>
      <c r="AG192">
        <v>39</v>
      </c>
      <c r="AH192">
        <v>0</v>
      </c>
      <c r="AI192">
        <v>0</v>
      </c>
      <c r="AJ192">
        <v>2</v>
      </c>
      <c r="AK192">
        <v>6</v>
      </c>
      <c r="AL192" t="s">
        <v>3648</v>
      </c>
      <c r="AM192" t="s">
        <v>3649</v>
      </c>
      <c r="AN192" t="s">
        <v>3650</v>
      </c>
      <c r="AO192" t="s">
        <v>3651</v>
      </c>
      <c r="AP192" t="s">
        <v>74</v>
      </c>
      <c r="AQ192" t="s">
        <v>74</v>
      </c>
      <c r="AR192" t="s">
        <v>3652</v>
      </c>
      <c r="AS192" t="s">
        <v>3653</v>
      </c>
      <c r="AT192" t="s">
        <v>3654</v>
      </c>
      <c r="AU192">
        <v>2019</v>
      </c>
      <c r="AV192">
        <v>4</v>
      </c>
      <c r="AW192">
        <v>1</v>
      </c>
      <c r="AX192" t="s">
        <v>74</v>
      </c>
      <c r="AY192" t="s">
        <v>74</v>
      </c>
      <c r="AZ192" t="s">
        <v>74</v>
      </c>
      <c r="BA192" t="s">
        <v>74</v>
      </c>
      <c r="BB192">
        <v>124</v>
      </c>
      <c r="BC192">
        <v>142</v>
      </c>
      <c r="BD192" t="s">
        <v>74</v>
      </c>
      <c r="BE192" t="s">
        <v>3655</v>
      </c>
      <c r="BF192" t="str">
        <f>HYPERLINK("http://dx.doi.org/10.12957/jse.2019.41788","http://dx.doi.org/10.12957/jse.2019.41788")</f>
        <v>http://dx.doi.org/10.12957/jse.2019.41788</v>
      </c>
      <c r="BG192" t="s">
        <v>74</v>
      </c>
      <c r="BH192" t="s">
        <v>74</v>
      </c>
      <c r="BI192">
        <v>19</v>
      </c>
      <c r="BJ192" t="s">
        <v>798</v>
      </c>
      <c r="BK192" t="s">
        <v>349</v>
      </c>
      <c r="BL192" t="s">
        <v>799</v>
      </c>
      <c r="BM192" t="s">
        <v>3656</v>
      </c>
      <c r="BN192" t="s">
        <v>74</v>
      </c>
      <c r="BO192" t="s">
        <v>162</v>
      </c>
      <c r="BP192" t="s">
        <v>74</v>
      </c>
      <c r="BQ192" t="s">
        <v>74</v>
      </c>
      <c r="BR192" t="s">
        <v>104</v>
      </c>
      <c r="BS192" t="s">
        <v>3657</v>
      </c>
      <c r="BT192" t="str">
        <f>HYPERLINK("https%3A%2F%2Fwww.webofscience.com%2Fwos%2Fwoscc%2Ffull-record%2FWOS:000463840900007","View Full Record in Web of Science")</f>
        <v>View Full Record in Web of Science</v>
      </c>
    </row>
    <row r="193" spans="1:72" x14ac:dyDescent="0.15">
      <c r="A193" t="s">
        <v>72</v>
      </c>
      <c r="B193" t="s">
        <v>3658</v>
      </c>
      <c r="C193" t="s">
        <v>74</v>
      </c>
      <c r="D193" t="s">
        <v>74</v>
      </c>
      <c r="E193" t="s">
        <v>74</v>
      </c>
      <c r="F193" t="s">
        <v>3659</v>
      </c>
      <c r="G193" t="s">
        <v>74</v>
      </c>
      <c r="H193" t="s">
        <v>74</v>
      </c>
      <c r="I193" t="s">
        <v>3660</v>
      </c>
      <c r="J193" t="s">
        <v>3661</v>
      </c>
      <c r="K193" t="s">
        <v>74</v>
      </c>
      <c r="L193" t="s">
        <v>74</v>
      </c>
      <c r="M193" t="s">
        <v>78</v>
      </c>
      <c r="N193" t="s">
        <v>79</v>
      </c>
      <c r="O193" t="s">
        <v>74</v>
      </c>
      <c r="P193" t="s">
        <v>74</v>
      </c>
      <c r="Q193" t="s">
        <v>74</v>
      </c>
      <c r="R193" t="s">
        <v>74</v>
      </c>
      <c r="S193" t="s">
        <v>74</v>
      </c>
      <c r="T193" t="s">
        <v>3662</v>
      </c>
      <c r="U193" t="s">
        <v>3663</v>
      </c>
      <c r="V193" t="s">
        <v>3664</v>
      </c>
      <c r="W193" t="s">
        <v>3665</v>
      </c>
      <c r="X193" t="s">
        <v>74</v>
      </c>
      <c r="Y193" t="s">
        <v>3666</v>
      </c>
      <c r="Z193" t="s">
        <v>3667</v>
      </c>
      <c r="AA193" t="s">
        <v>74</v>
      </c>
      <c r="AB193" t="s">
        <v>74</v>
      </c>
      <c r="AC193" t="s">
        <v>3668</v>
      </c>
      <c r="AD193" t="s">
        <v>3668</v>
      </c>
      <c r="AE193" t="s">
        <v>3669</v>
      </c>
      <c r="AF193" t="s">
        <v>74</v>
      </c>
      <c r="AG193">
        <v>51</v>
      </c>
      <c r="AH193">
        <v>4</v>
      </c>
      <c r="AI193">
        <v>6</v>
      </c>
      <c r="AJ193">
        <v>0</v>
      </c>
      <c r="AK193">
        <v>1</v>
      </c>
      <c r="AL193" t="s">
        <v>3670</v>
      </c>
      <c r="AM193" t="s">
        <v>3671</v>
      </c>
      <c r="AN193" t="s">
        <v>3672</v>
      </c>
      <c r="AO193" t="s">
        <v>3673</v>
      </c>
      <c r="AP193" t="s">
        <v>3674</v>
      </c>
      <c r="AQ193" t="s">
        <v>74</v>
      </c>
      <c r="AR193" t="s">
        <v>3675</v>
      </c>
      <c r="AS193" t="s">
        <v>3676</v>
      </c>
      <c r="AT193" t="s">
        <v>718</v>
      </c>
      <c r="AU193">
        <v>2019</v>
      </c>
      <c r="AV193">
        <v>145</v>
      </c>
      <c r="AW193">
        <v>719</v>
      </c>
      <c r="AX193" t="s">
        <v>390</v>
      </c>
      <c r="AY193" t="s">
        <v>74</v>
      </c>
      <c r="AZ193" t="s">
        <v>74</v>
      </c>
      <c r="BA193" t="s">
        <v>74</v>
      </c>
      <c r="BB193">
        <v>434</v>
      </c>
      <c r="BC193">
        <v>449</v>
      </c>
      <c r="BD193" t="s">
        <v>74</v>
      </c>
      <c r="BE193" t="s">
        <v>3677</v>
      </c>
      <c r="BF193" t="str">
        <f>HYPERLINK("http://dx.doi.org/10.1002/qj.3440","http://dx.doi.org/10.1002/qj.3440")</f>
        <v>http://dx.doi.org/10.1002/qj.3440</v>
      </c>
      <c r="BG193" t="s">
        <v>74</v>
      </c>
      <c r="BH193" t="s">
        <v>74</v>
      </c>
      <c r="BI193">
        <v>16</v>
      </c>
      <c r="BJ193" t="s">
        <v>3037</v>
      </c>
      <c r="BK193" t="s">
        <v>101</v>
      </c>
      <c r="BL193" t="s">
        <v>3037</v>
      </c>
      <c r="BM193" t="s">
        <v>3678</v>
      </c>
      <c r="BN193" t="s">
        <v>74</v>
      </c>
      <c r="BO193" t="s">
        <v>74</v>
      </c>
      <c r="BP193" t="s">
        <v>74</v>
      </c>
      <c r="BQ193" t="s">
        <v>74</v>
      </c>
      <c r="BR193" t="s">
        <v>104</v>
      </c>
      <c r="BS193" t="s">
        <v>3679</v>
      </c>
      <c r="BT193" t="str">
        <f>HYPERLINK("https%3A%2F%2Fwww.webofscience.com%2Fwos%2Fwoscc%2Ffull-record%2FWOS:000463971800003","View Full Record in Web of Science")</f>
        <v>View Full Record in Web of Science</v>
      </c>
    </row>
    <row r="194" spans="1:72" x14ac:dyDescent="0.15">
      <c r="A194" t="s">
        <v>72</v>
      </c>
      <c r="B194" t="s">
        <v>3680</v>
      </c>
      <c r="C194" t="s">
        <v>74</v>
      </c>
      <c r="D194" t="s">
        <v>74</v>
      </c>
      <c r="E194" t="s">
        <v>74</v>
      </c>
      <c r="F194" t="s">
        <v>3681</v>
      </c>
      <c r="G194" t="s">
        <v>74</v>
      </c>
      <c r="H194" t="s">
        <v>74</v>
      </c>
      <c r="I194" t="s">
        <v>3682</v>
      </c>
      <c r="J194" t="s">
        <v>3661</v>
      </c>
      <c r="K194" t="s">
        <v>74</v>
      </c>
      <c r="L194" t="s">
        <v>74</v>
      </c>
      <c r="M194" t="s">
        <v>78</v>
      </c>
      <c r="N194" t="s">
        <v>79</v>
      </c>
      <c r="O194" t="s">
        <v>74</v>
      </c>
      <c r="P194" t="s">
        <v>74</v>
      </c>
      <c r="Q194" t="s">
        <v>74</v>
      </c>
      <c r="R194" t="s">
        <v>74</v>
      </c>
      <c r="S194" t="s">
        <v>74</v>
      </c>
      <c r="T194" t="s">
        <v>3683</v>
      </c>
      <c r="U194" t="s">
        <v>3684</v>
      </c>
      <c r="V194" t="s">
        <v>3685</v>
      </c>
      <c r="W194" t="s">
        <v>3686</v>
      </c>
      <c r="X194" t="s">
        <v>3687</v>
      </c>
      <c r="Y194" t="s">
        <v>3688</v>
      </c>
      <c r="Z194" t="s">
        <v>3689</v>
      </c>
      <c r="AA194" t="s">
        <v>74</v>
      </c>
      <c r="AB194" t="s">
        <v>3690</v>
      </c>
      <c r="AC194" t="s">
        <v>3691</v>
      </c>
      <c r="AD194" t="s">
        <v>3692</v>
      </c>
      <c r="AE194" t="s">
        <v>3693</v>
      </c>
      <c r="AF194" t="s">
        <v>74</v>
      </c>
      <c r="AG194">
        <v>34</v>
      </c>
      <c r="AH194">
        <v>6</v>
      </c>
      <c r="AI194">
        <v>8</v>
      </c>
      <c r="AJ194">
        <v>0</v>
      </c>
      <c r="AK194">
        <v>5</v>
      </c>
      <c r="AL194" t="s">
        <v>3670</v>
      </c>
      <c r="AM194" t="s">
        <v>3671</v>
      </c>
      <c r="AN194" t="s">
        <v>3672</v>
      </c>
      <c r="AO194" t="s">
        <v>3673</v>
      </c>
      <c r="AP194" t="s">
        <v>3674</v>
      </c>
      <c r="AQ194" t="s">
        <v>74</v>
      </c>
      <c r="AR194" t="s">
        <v>3675</v>
      </c>
      <c r="AS194" t="s">
        <v>3676</v>
      </c>
      <c r="AT194" t="s">
        <v>718</v>
      </c>
      <c r="AU194">
        <v>2019</v>
      </c>
      <c r="AV194">
        <v>145</v>
      </c>
      <c r="AW194">
        <v>719</v>
      </c>
      <c r="AX194" t="s">
        <v>390</v>
      </c>
      <c r="AY194" t="s">
        <v>74</v>
      </c>
      <c r="AZ194" t="s">
        <v>74</v>
      </c>
      <c r="BA194" t="s">
        <v>74</v>
      </c>
      <c r="BB194">
        <v>476</v>
      </c>
      <c r="BC194">
        <v>494</v>
      </c>
      <c r="BD194" t="s">
        <v>74</v>
      </c>
      <c r="BE194" t="s">
        <v>3694</v>
      </c>
      <c r="BF194" t="str">
        <f>HYPERLINK("http://dx.doi.org/10.1002/qj.3443","http://dx.doi.org/10.1002/qj.3443")</f>
        <v>http://dx.doi.org/10.1002/qj.3443</v>
      </c>
      <c r="BG194" t="s">
        <v>74</v>
      </c>
      <c r="BH194" t="s">
        <v>74</v>
      </c>
      <c r="BI194">
        <v>19</v>
      </c>
      <c r="BJ194" t="s">
        <v>3037</v>
      </c>
      <c r="BK194" t="s">
        <v>101</v>
      </c>
      <c r="BL194" t="s">
        <v>3037</v>
      </c>
      <c r="BM194" t="s">
        <v>3678</v>
      </c>
      <c r="BN194" t="s">
        <v>74</v>
      </c>
      <c r="BO194" t="s">
        <v>1089</v>
      </c>
      <c r="BP194" t="s">
        <v>74</v>
      </c>
      <c r="BQ194" t="s">
        <v>74</v>
      </c>
      <c r="BR194" t="s">
        <v>104</v>
      </c>
      <c r="BS194" t="s">
        <v>3695</v>
      </c>
      <c r="BT194" t="str">
        <f>HYPERLINK("https%3A%2F%2Fwww.webofscience.com%2Fwos%2Fwoscc%2Ffull-record%2FWOS:000463971800006","View Full Record in Web of Science")</f>
        <v>View Full Record in Web of Science</v>
      </c>
    </row>
    <row r="195" spans="1:72" x14ac:dyDescent="0.15">
      <c r="A195" t="s">
        <v>72</v>
      </c>
      <c r="B195" t="s">
        <v>3696</v>
      </c>
      <c r="C195" t="s">
        <v>74</v>
      </c>
      <c r="D195" t="s">
        <v>74</v>
      </c>
      <c r="E195" t="s">
        <v>74</v>
      </c>
      <c r="F195" t="s">
        <v>3697</v>
      </c>
      <c r="G195" t="s">
        <v>74</v>
      </c>
      <c r="H195" t="s">
        <v>74</v>
      </c>
      <c r="I195" t="s">
        <v>3698</v>
      </c>
      <c r="J195" t="s">
        <v>3661</v>
      </c>
      <c r="K195" t="s">
        <v>74</v>
      </c>
      <c r="L195" t="s">
        <v>74</v>
      </c>
      <c r="M195" t="s">
        <v>78</v>
      </c>
      <c r="N195" t="s">
        <v>79</v>
      </c>
      <c r="O195" t="s">
        <v>74</v>
      </c>
      <c r="P195" t="s">
        <v>74</v>
      </c>
      <c r="Q195" t="s">
        <v>74</v>
      </c>
      <c r="R195" t="s">
        <v>74</v>
      </c>
      <c r="S195" t="s">
        <v>74</v>
      </c>
      <c r="T195" t="s">
        <v>3699</v>
      </c>
      <c r="U195" t="s">
        <v>3700</v>
      </c>
      <c r="V195" t="s">
        <v>3701</v>
      </c>
      <c r="W195" t="s">
        <v>3702</v>
      </c>
      <c r="X195" t="s">
        <v>3703</v>
      </c>
      <c r="Y195" t="s">
        <v>3704</v>
      </c>
      <c r="Z195" t="s">
        <v>3705</v>
      </c>
      <c r="AA195" t="s">
        <v>3706</v>
      </c>
      <c r="AB195" t="s">
        <v>3707</v>
      </c>
      <c r="AC195" t="s">
        <v>3708</v>
      </c>
      <c r="AD195" t="s">
        <v>3709</v>
      </c>
      <c r="AE195" t="s">
        <v>3710</v>
      </c>
      <c r="AF195" t="s">
        <v>74</v>
      </c>
      <c r="AG195">
        <v>70</v>
      </c>
      <c r="AH195">
        <v>15</v>
      </c>
      <c r="AI195">
        <v>16</v>
      </c>
      <c r="AJ195">
        <v>3</v>
      </c>
      <c r="AK195">
        <v>19</v>
      </c>
      <c r="AL195" t="s">
        <v>3670</v>
      </c>
      <c r="AM195" t="s">
        <v>3671</v>
      </c>
      <c r="AN195" t="s">
        <v>3672</v>
      </c>
      <c r="AO195" t="s">
        <v>3673</v>
      </c>
      <c r="AP195" t="s">
        <v>3674</v>
      </c>
      <c r="AQ195" t="s">
        <v>74</v>
      </c>
      <c r="AR195" t="s">
        <v>3675</v>
      </c>
      <c r="AS195" t="s">
        <v>3676</v>
      </c>
      <c r="AT195" t="s">
        <v>718</v>
      </c>
      <c r="AU195">
        <v>2019</v>
      </c>
      <c r="AV195">
        <v>145</v>
      </c>
      <c r="AW195">
        <v>719</v>
      </c>
      <c r="AX195" t="s">
        <v>390</v>
      </c>
      <c r="AY195" t="s">
        <v>74</v>
      </c>
      <c r="AZ195" t="s">
        <v>74</v>
      </c>
      <c r="BA195" t="s">
        <v>74</v>
      </c>
      <c r="BB195">
        <v>687</v>
      </c>
      <c r="BC195">
        <v>704</v>
      </c>
      <c r="BD195" t="s">
        <v>74</v>
      </c>
      <c r="BE195" t="s">
        <v>3711</v>
      </c>
      <c r="BF195" t="str">
        <f>HYPERLINK("http://dx.doi.org/10.1002/qj.3460","http://dx.doi.org/10.1002/qj.3460")</f>
        <v>http://dx.doi.org/10.1002/qj.3460</v>
      </c>
      <c r="BG195" t="s">
        <v>74</v>
      </c>
      <c r="BH195" t="s">
        <v>74</v>
      </c>
      <c r="BI195">
        <v>18</v>
      </c>
      <c r="BJ195" t="s">
        <v>3037</v>
      </c>
      <c r="BK195" t="s">
        <v>101</v>
      </c>
      <c r="BL195" t="s">
        <v>3037</v>
      </c>
      <c r="BM195" t="s">
        <v>3678</v>
      </c>
      <c r="BN195" t="s">
        <v>74</v>
      </c>
      <c r="BO195" t="s">
        <v>74</v>
      </c>
      <c r="BP195" t="s">
        <v>74</v>
      </c>
      <c r="BQ195" t="s">
        <v>74</v>
      </c>
      <c r="BR195" t="s">
        <v>104</v>
      </c>
      <c r="BS195" t="s">
        <v>3712</v>
      </c>
      <c r="BT195" t="str">
        <f>HYPERLINK("https%3A%2F%2Fwww.webofscience.com%2Fwos%2Fwoscc%2Ffull-record%2FWOS:000463971800019","View Full Record in Web of Science")</f>
        <v>View Full Record in Web of Science</v>
      </c>
    </row>
    <row r="196" spans="1:72" x14ac:dyDescent="0.15">
      <c r="A196" t="s">
        <v>72</v>
      </c>
      <c r="B196" t="s">
        <v>3713</v>
      </c>
      <c r="C196" t="s">
        <v>74</v>
      </c>
      <c r="D196" t="s">
        <v>74</v>
      </c>
      <c r="E196" t="s">
        <v>74</v>
      </c>
      <c r="F196" t="s">
        <v>3714</v>
      </c>
      <c r="G196" t="s">
        <v>74</v>
      </c>
      <c r="H196" t="s">
        <v>74</v>
      </c>
      <c r="I196" t="s">
        <v>3715</v>
      </c>
      <c r="J196" t="s">
        <v>3716</v>
      </c>
      <c r="K196" t="s">
        <v>74</v>
      </c>
      <c r="L196" t="s">
        <v>74</v>
      </c>
      <c r="M196" t="s">
        <v>78</v>
      </c>
      <c r="N196" t="s">
        <v>79</v>
      </c>
      <c r="O196" t="s">
        <v>74</v>
      </c>
      <c r="P196" t="s">
        <v>74</v>
      </c>
      <c r="Q196" t="s">
        <v>74</v>
      </c>
      <c r="R196" t="s">
        <v>74</v>
      </c>
      <c r="S196" t="s">
        <v>74</v>
      </c>
      <c r="T196" t="s">
        <v>3717</v>
      </c>
      <c r="U196" t="s">
        <v>3718</v>
      </c>
      <c r="V196" t="s">
        <v>3719</v>
      </c>
      <c r="W196" t="s">
        <v>3720</v>
      </c>
      <c r="X196" t="s">
        <v>3721</v>
      </c>
      <c r="Y196" t="s">
        <v>3722</v>
      </c>
      <c r="Z196" t="s">
        <v>3723</v>
      </c>
      <c r="AA196" t="s">
        <v>3724</v>
      </c>
      <c r="AB196" t="s">
        <v>3725</v>
      </c>
      <c r="AC196" t="s">
        <v>3726</v>
      </c>
      <c r="AD196" t="s">
        <v>3727</v>
      </c>
      <c r="AE196" t="s">
        <v>3728</v>
      </c>
      <c r="AF196" t="s">
        <v>74</v>
      </c>
      <c r="AG196">
        <v>83</v>
      </c>
      <c r="AH196">
        <v>21</v>
      </c>
      <c r="AI196">
        <v>21</v>
      </c>
      <c r="AJ196">
        <v>0</v>
      </c>
      <c r="AK196">
        <v>19</v>
      </c>
      <c r="AL196" t="s">
        <v>3729</v>
      </c>
      <c r="AM196" t="s">
        <v>3353</v>
      </c>
      <c r="AN196" t="s">
        <v>3730</v>
      </c>
      <c r="AO196" t="s">
        <v>3731</v>
      </c>
      <c r="AP196" t="s">
        <v>74</v>
      </c>
      <c r="AQ196" t="s">
        <v>74</v>
      </c>
      <c r="AR196" t="s">
        <v>3732</v>
      </c>
      <c r="AS196" t="s">
        <v>3733</v>
      </c>
      <c r="AT196" t="s">
        <v>718</v>
      </c>
      <c r="AU196">
        <v>2019</v>
      </c>
      <c r="AV196">
        <v>11</v>
      </c>
      <c r="AW196">
        <v>1</v>
      </c>
      <c r="AX196" t="s">
        <v>74</v>
      </c>
      <c r="AY196" t="s">
        <v>74</v>
      </c>
      <c r="AZ196" t="s">
        <v>74</v>
      </c>
      <c r="BA196" t="s">
        <v>74</v>
      </c>
      <c r="BB196">
        <v>220</v>
      </c>
      <c r="BC196">
        <v>231</v>
      </c>
      <c r="BD196" t="s">
        <v>74</v>
      </c>
      <c r="BE196" t="s">
        <v>3734</v>
      </c>
      <c r="BF196" t="str">
        <f>HYPERLINK("http://dx.doi.org/10.1093/gbe/evy262","http://dx.doi.org/10.1093/gbe/evy262")</f>
        <v>http://dx.doi.org/10.1093/gbe/evy262</v>
      </c>
      <c r="BG196" t="s">
        <v>74</v>
      </c>
      <c r="BH196" t="s">
        <v>74</v>
      </c>
      <c r="BI196">
        <v>12</v>
      </c>
      <c r="BJ196" t="s">
        <v>3735</v>
      </c>
      <c r="BK196" t="s">
        <v>101</v>
      </c>
      <c r="BL196" t="s">
        <v>3735</v>
      </c>
      <c r="BM196" t="s">
        <v>3736</v>
      </c>
      <c r="BN196">
        <v>30496401</v>
      </c>
      <c r="BO196" t="s">
        <v>3737</v>
      </c>
      <c r="BP196" t="s">
        <v>74</v>
      </c>
      <c r="BQ196" t="s">
        <v>74</v>
      </c>
      <c r="BR196" t="s">
        <v>104</v>
      </c>
      <c r="BS196" t="s">
        <v>3738</v>
      </c>
      <c r="BT196" t="str">
        <f>HYPERLINK("https%3A%2F%2Fwww.webofscience.com%2Fwos%2Fwoscc%2Ffull-record%2FWOS:000462712200016","View Full Record in Web of Science")</f>
        <v>View Full Record in Web of Science</v>
      </c>
    </row>
    <row r="197" spans="1:72" x14ac:dyDescent="0.15">
      <c r="A197" t="s">
        <v>72</v>
      </c>
      <c r="B197" t="s">
        <v>3739</v>
      </c>
      <c r="C197" t="s">
        <v>74</v>
      </c>
      <c r="D197" t="s">
        <v>74</v>
      </c>
      <c r="E197" t="s">
        <v>74</v>
      </c>
      <c r="F197" t="s">
        <v>3740</v>
      </c>
      <c r="G197" t="s">
        <v>74</v>
      </c>
      <c r="H197" t="s">
        <v>74</v>
      </c>
      <c r="I197" t="s">
        <v>3741</v>
      </c>
      <c r="J197" t="s">
        <v>3742</v>
      </c>
      <c r="K197" t="s">
        <v>74</v>
      </c>
      <c r="L197" t="s">
        <v>74</v>
      </c>
      <c r="M197" t="s">
        <v>78</v>
      </c>
      <c r="N197" t="s">
        <v>79</v>
      </c>
      <c r="O197" t="s">
        <v>74</v>
      </c>
      <c r="P197" t="s">
        <v>74</v>
      </c>
      <c r="Q197" t="s">
        <v>74</v>
      </c>
      <c r="R197" t="s">
        <v>74</v>
      </c>
      <c r="S197" t="s">
        <v>74</v>
      </c>
      <c r="T197" t="s">
        <v>3743</v>
      </c>
      <c r="U197" t="s">
        <v>3744</v>
      </c>
      <c r="V197" t="s">
        <v>3745</v>
      </c>
      <c r="W197" t="s">
        <v>3746</v>
      </c>
      <c r="X197" t="s">
        <v>3747</v>
      </c>
      <c r="Y197" t="s">
        <v>3748</v>
      </c>
      <c r="Z197" t="s">
        <v>3749</v>
      </c>
      <c r="AA197" t="s">
        <v>74</v>
      </c>
      <c r="AB197" t="s">
        <v>3750</v>
      </c>
      <c r="AC197" t="s">
        <v>3751</v>
      </c>
      <c r="AD197" t="s">
        <v>3752</v>
      </c>
      <c r="AE197" t="s">
        <v>3753</v>
      </c>
      <c r="AF197" t="s">
        <v>74</v>
      </c>
      <c r="AG197">
        <v>93</v>
      </c>
      <c r="AH197">
        <v>8</v>
      </c>
      <c r="AI197">
        <v>8</v>
      </c>
      <c r="AJ197">
        <v>4</v>
      </c>
      <c r="AK197">
        <v>20</v>
      </c>
      <c r="AL197" t="s">
        <v>3729</v>
      </c>
      <c r="AM197" t="s">
        <v>3353</v>
      </c>
      <c r="AN197" t="s">
        <v>3730</v>
      </c>
      <c r="AO197" t="s">
        <v>3754</v>
      </c>
      <c r="AP197" t="s">
        <v>3755</v>
      </c>
      <c r="AQ197" t="s">
        <v>74</v>
      </c>
      <c r="AR197" t="s">
        <v>3756</v>
      </c>
      <c r="AS197" t="s">
        <v>3757</v>
      </c>
      <c r="AT197" t="s">
        <v>2446</v>
      </c>
      <c r="AU197">
        <v>2019</v>
      </c>
      <c r="AV197">
        <v>76</v>
      </c>
      <c r="AW197">
        <v>1</v>
      </c>
      <c r="AX197" t="s">
        <v>74</v>
      </c>
      <c r="AY197" t="s">
        <v>74</v>
      </c>
      <c r="AZ197" t="s">
        <v>74</v>
      </c>
      <c r="BA197" t="s">
        <v>74</v>
      </c>
      <c r="BB197">
        <v>192</v>
      </c>
      <c r="BC197">
        <v>205</v>
      </c>
      <c r="BD197" t="s">
        <v>74</v>
      </c>
      <c r="BE197" t="s">
        <v>3758</v>
      </c>
      <c r="BF197" t="str">
        <f>HYPERLINK("http://dx.doi.org/10.1093/icesjms/fsy164","http://dx.doi.org/10.1093/icesjms/fsy164")</f>
        <v>http://dx.doi.org/10.1093/icesjms/fsy164</v>
      </c>
      <c r="BG197" t="s">
        <v>74</v>
      </c>
      <c r="BH197" t="s">
        <v>74</v>
      </c>
      <c r="BI197">
        <v>14</v>
      </c>
      <c r="BJ197" t="s">
        <v>3759</v>
      </c>
      <c r="BK197" t="s">
        <v>101</v>
      </c>
      <c r="BL197" t="s">
        <v>3759</v>
      </c>
      <c r="BM197" t="s">
        <v>3760</v>
      </c>
      <c r="BN197" t="s">
        <v>74</v>
      </c>
      <c r="BO197" t="s">
        <v>3540</v>
      </c>
      <c r="BP197" t="s">
        <v>74</v>
      </c>
      <c r="BQ197" t="s">
        <v>74</v>
      </c>
      <c r="BR197" t="s">
        <v>104</v>
      </c>
      <c r="BS197" t="s">
        <v>3761</v>
      </c>
      <c r="BT197" t="str">
        <f>HYPERLINK("https%3A%2F%2Fwww.webofscience.com%2Fwos%2Fwoscc%2Ffull-record%2FWOS:000462735600019","View Full Record in Web of Science")</f>
        <v>View Full Record in Web of Science</v>
      </c>
    </row>
    <row r="198" spans="1:72" x14ac:dyDescent="0.15">
      <c r="A198" t="s">
        <v>72</v>
      </c>
      <c r="B198" t="s">
        <v>3762</v>
      </c>
      <c r="C198" t="s">
        <v>74</v>
      </c>
      <c r="D198" t="s">
        <v>74</v>
      </c>
      <c r="E198" t="s">
        <v>74</v>
      </c>
      <c r="F198" t="s">
        <v>3763</v>
      </c>
      <c r="G198" t="s">
        <v>74</v>
      </c>
      <c r="H198" t="s">
        <v>74</v>
      </c>
      <c r="I198" t="s">
        <v>3764</v>
      </c>
      <c r="J198" t="s">
        <v>3742</v>
      </c>
      <c r="K198" t="s">
        <v>74</v>
      </c>
      <c r="L198" t="s">
        <v>74</v>
      </c>
      <c r="M198" t="s">
        <v>78</v>
      </c>
      <c r="N198" t="s">
        <v>79</v>
      </c>
      <c r="O198" t="s">
        <v>74</v>
      </c>
      <c r="P198" t="s">
        <v>74</v>
      </c>
      <c r="Q198" t="s">
        <v>74</v>
      </c>
      <c r="R198" t="s">
        <v>74</v>
      </c>
      <c r="S198" t="s">
        <v>74</v>
      </c>
      <c r="T198" t="s">
        <v>3765</v>
      </c>
      <c r="U198" t="s">
        <v>3766</v>
      </c>
      <c r="V198" t="s">
        <v>3767</v>
      </c>
      <c r="W198" t="s">
        <v>3768</v>
      </c>
      <c r="X198" t="s">
        <v>3769</v>
      </c>
      <c r="Y198" t="s">
        <v>3770</v>
      </c>
      <c r="Z198" t="s">
        <v>3771</v>
      </c>
      <c r="AA198" t="s">
        <v>3772</v>
      </c>
      <c r="AB198" t="s">
        <v>3773</v>
      </c>
      <c r="AC198" t="s">
        <v>3774</v>
      </c>
      <c r="AD198" t="s">
        <v>3774</v>
      </c>
      <c r="AE198" t="s">
        <v>3775</v>
      </c>
      <c r="AF198" t="s">
        <v>74</v>
      </c>
      <c r="AG198">
        <v>68</v>
      </c>
      <c r="AH198">
        <v>19</v>
      </c>
      <c r="AI198">
        <v>21</v>
      </c>
      <c r="AJ198">
        <v>4</v>
      </c>
      <c r="AK198">
        <v>27</v>
      </c>
      <c r="AL198" t="s">
        <v>3729</v>
      </c>
      <c r="AM198" t="s">
        <v>3353</v>
      </c>
      <c r="AN198" t="s">
        <v>3730</v>
      </c>
      <c r="AO198" t="s">
        <v>3754</v>
      </c>
      <c r="AP198" t="s">
        <v>3755</v>
      </c>
      <c r="AQ198" t="s">
        <v>74</v>
      </c>
      <c r="AR198" t="s">
        <v>3756</v>
      </c>
      <c r="AS198" t="s">
        <v>3757</v>
      </c>
      <c r="AT198" t="s">
        <v>2446</v>
      </c>
      <c r="AU198">
        <v>2019</v>
      </c>
      <c r="AV198">
        <v>76</v>
      </c>
      <c r="AW198">
        <v>1</v>
      </c>
      <c r="AX198" t="s">
        <v>74</v>
      </c>
      <c r="AY198" t="s">
        <v>74</v>
      </c>
      <c r="AZ198" t="s">
        <v>74</v>
      </c>
      <c r="BA198" t="s">
        <v>74</v>
      </c>
      <c r="BB198">
        <v>206</v>
      </c>
      <c r="BC198">
        <v>216</v>
      </c>
      <c r="BD198" t="s">
        <v>74</v>
      </c>
      <c r="BE198" t="s">
        <v>3776</v>
      </c>
      <c r="BF198" t="str">
        <f>HYPERLINK("http://dx.doi.org/10.1093/icesjms/fsy145","http://dx.doi.org/10.1093/icesjms/fsy145")</f>
        <v>http://dx.doi.org/10.1093/icesjms/fsy145</v>
      </c>
      <c r="BG198" t="s">
        <v>74</v>
      </c>
      <c r="BH198" t="s">
        <v>74</v>
      </c>
      <c r="BI198">
        <v>11</v>
      </c>
      <c r="BJ198" t="s">
        <v>3759</v>
      </c>
      <c r="BK198" t="s">
        <v>101</v>
      </c>
      <c r="BL198" t="s">
        <v>3759</v>
      </c>
      <c r="BM198" t="s">
        <v>3760</v>
      </c>
      <c r="BN198" t="s">
        <v>74</v>
      </c>
      <c r="BO198" t="s">
        <v>162</v>
      </c>
      <c r="BP198" t="s">
        <v>74</v>
      </c>
      <c r="BQ198" t="s">
        <v>74</v>
      </c>
      <c r="BR198" t="s">
        <v>104</v>
      </c>
      <c r="BS198" t="s">
        <v>3777</v>
      </c>
      <c r="BT198" t="str">
        <f>HYPERLINK("https%3A%2F%2Fwww.webofscience.com%2Fwos%2Fwoscc%2Ffull-record%2FWOS:000462735600020","View Full Record in Web of Science")</f>
        <v>View Full Record in Web of Science</v>
      </c>
    </row>
    <row r="199" spans="1:72" x14ac:dyDescent="0.15">
      <c r="A199" t="s">
        <v>72</v>
      </c>
      <c r="B199" t="s">
        <v>3778</v>
      </c>
      <c r="C199" t="s">
        <v>74</v>
      </c>
      <c r="D199" t="s">
        <v>74</v>
      </c>
      <c r="E199" t="s">
        <v>74</v>
      </c>
      <c r="F199" t="s">
        <v>3779</v>
      </c>
      <c r="G199" t="s">
        <v>74</v>
      </c>
      <c r="H199" t="s">
        <v>74</v>
      </c>
      <c r="I199" t="s">
        <v>3780</v>
      </c>
      <c r="J199" t="s">
        <v>109</v>
      </c>
      <c r="K199" t="s">
        <v>74</v>
      </c>
      <c r="L199" t="s">
        <v>74</v>
      </c>
      <c r="M199" t="s">
        <v>78</v>
      </c>
      <c r="N199" t="s">
        <v>79</v>
      </c>
      <c r="O199" t="s">
        <v>74</v>
      </c>
      <c r="P199" t="s">
        <v>74</v>
      </c>
      <c r="Q199" t="s">
        <v>74</v>
      </c>
      <c r="R199" t="s">
        <v>74</v>
      </c>
      <c r="S199" t="s">
        <v>74</v>
      </c>
      <c r="T199" t="s">
        <v>3781</v>
      </c>
      <c r="U199" t="s">
        <v>3782</v>
      </c>
      <c r="V199" t="s">
        <v>3783</v>
      </c>
      <c r="W199" t="s">
        <v>3784</v>
      </c>
      <c r="X199" t="s">
        <v>3785</v>
      </c>
      <c r="Y199" t="s">
        <v>3786</v>
      </c>
      <c r="Z199" t="s">
        <v>3787</v>
      </c>
      <c r="AA199" t="s">
        <v>3788</v>
      </c>
      <c r="AB199" t="s">
        <v>3789</v>
      </c>
      <c r="AC199" t="s">
        <v>3790</v>
      </c>
      <c r="AD199" t="s">
        <v>3791</v>
      </c>
      <c r="AE199" t="s">
        <v>3792</v>
      </c>
      <c r="AF199" t="s">
        <v>74</v>
      </c>
      <c r="AG199">
        <v>33</v>
      </c>
      <c r="AH199">
        <v>2</v>
      </c>
      <c r="AI199">
        <v>3</v>
      </c>
      <c r="AJ199">
        <v>1</v>
      </c>
      <c r="AK199">
        <v>12</v>
      </c>
      <c r="AL199" t="s">
        <v>122</v>
      </c>
      <c r="AM199" t="s">
        <v>123</v>
      </c>
      <c r="AN199" t="s">
        <v>124</v>
      </c>
      <c r="AO199" t="s">
        <v>125</v>
      </c>
      <c r="AP199" t="s">
        <v>74</v>
      </c>
      <c r="AQ199" t="s">
        <v>74</v>
      </c>
      <c r="AR199" t="s">
        <v>109</v>
      </c>
      <c r="AS199" t="s">
        <v>126</v>
      </c>
      <c r="AT199" t="s">
        <v>74</v>
      </c>
      <c r="AU199">
        <v>2019</v>
      </c>
      <c r="AV199">
        <v>7</v>
      </c>
      <c r="AW199" t="s">
        <v>74</v>
      </c>
      <c r="AX199" t="s">
        <v>74</v>
      </c>
      <c r="AY199" t="s">
        <v>74</v>
      </c>
      <c r="AZ199" t="s">
        <v>74</v>
      </c>
      <c r="BA199" t="s">
        <v>74</v>
      </c>
      <c r="BB199">
        <v>29709</v>
      </c>
      <c r="BC199">
        <v>29721</v>
      </c>
      <c r="BD199" t="s">
        <v>74</v>
      </c>
      <c r="BE199" t="s">
        <v>3793</v>
      </c>
      <c r="BF199" t="str">
        <f>HYPERLINK("http://dx.doi.org/10.1109/ACCESS.2019.2900578","http://dx.doi.org/10.1109/ACCESS.2019.2900578")</f>
        <v>http://dx.doi.org/10.1109/ACCESS.2019.2900578</v>
      </c>
      <c r="BG199" t="s">
        <v>74</v>
      </c>
      <c r="BH199" t="s">
        <v>74</v>
      </c>
      <c r="BI199">
        <v>13</v>
      </c>
      <c r="BJ199" t="s">
        <v>128</v>
      </c>
      <c r="BK199" t="s">
        <v>101</v>
      </c>
      <c r="BL199" t="s">
        <v>129</v>
      </c>
      <c r="BM199" t="s">
        <v>3794</v>
      </c>
      <c r="BN199" t="s">
        <v>74</v>
      </c>
      <c r="BO199" t="s">
        <v>131</v>
      </c>
      <c r="BP199" t="s">
        <v>74</v>
      </c>
      <c r="BQ199" t="s">
        <v>74</v>
      </c>
      <c r="BR199" t="s">
        <v>104</v>
      </c>
      <c r="BS199" t="s">
        <v>3795</v>
      </c>
      <c r="BT199" t="str">
        <f>HYPERLINK("https%3A%2F%2Fwww.webofscience.com%2Fwos%2Fwoscc%2Ffull-record%2FWOS:000462962500001","View Full Record in Web of Science")</f>
        <v>View Full Record in Web of Science</v>
      </c>
    </row>
    <row r="200" spans="1:72" x14ac:dyDescent="0.15">
      <c r="A200" t="s">
        <v>72</v>
      </c>
      <c r="B200" t="s">
        <v>3796</v>
      </c>
      <c r="C200" t="s">
        <v>74</v>
      </c>
      <c r="D200" t="s">
        <v>74</v>
      </c>
      <c r="E200" t="s">
        <v>74</v>
      </c>
      <c r="F200" t="s">
        <v>3797</v>
      </c>
      <c r="G200" t="s">
        <v>74</v>
      </c>
      <c r="H200" t="s">
        <v>74</v>
      </c>
      <c r="I200" t="s">
        <v>3798</v>
      </c>
      <c r="J200" t="s">
        <v>3799</v>
      </c>
      <c r="K200" t="s">
        <v>74</v>
      </c>
      <c r="L200" t="s">
        <v>74</v>
      </c>
      <c r="M200" t="s">
        <v>78</v>
      </c>
      <c r="N200" t="s">
        <v>3800</v>
      </c>
      <c r="O200" t="s">
        <v>74</v>
      </c>
      <c r="P200" t="s">
        <v>74</v>
      </c>
      <c r="Q200" t="s">
        <v>74</v>
      </c>
      <c r="R200" t="s">
        <v>74</v>
      </c>
      <c r="S200" t="s">
        <v>74</v>
      </c>
      <c r="T200" t="s">
        <v>74</v>
      </c>
      <c r="U200" t="s">
        <v>74</v>
      </c>
      <c r="V200" t="s">
        <v>74</v>
      </c>
      <c r="W200" t="s">
        <v>74</v>
      </c>
      <c r="X200" t="s">
        <v>74</v>
      </c>
      <c r="Y200" t="s">
        <v>74</v>
      </c>
      <c r="Z200" t="s">
        <v>74</v>
      </c>
      <c r="AA200" t="s">
        <v>3801</v>
      </c>
      <c r="AB200" t="s">
        <v>3802</v>
      </c>
      <c r="AC200" t="s">
        <v>74</v>
      </c>
      <c r="AD200" t="s">
        <v>74</v>
      </c>
      <c r="AE200" t="s">
        <v>74</v>
      </c>
      <c r="AF200" t="s">
        <v>74</v>
      </c>
      <c r="AG200">
        <v>1</v>
      </c>
      <c r="AH200">
        <v>0</v>
      </c>
      <c r="AI200">
        <v>0</v>
      </c>
      <c r="AJ200">
        <v>2</v>
      </c>
      <c r="AK200">
        <v>6</v>
      </c>
      <c r="AL200" t="s">
        <v>3729</v>
      </c>
      <c r="AM200" t="s">
        <v>3353</v>
      </c>
      <c r="AN200" t="s">
        <v>3730</v>
      </c>
      <c r="AO200" t="s">
        <v>3803</v>
      </c>
      <c r="AP200" t="s">
        <v>3804</v>
      </c>
      <c r="AQ200" t="s">
        <v>74</v>
      </c>
      <c r="AR200" t="s">
        <v>3805</v>
      </c>
      <c r="AS200" t="s">
        <v>3806</v>
      </c>
      <c r="AT200" t="s">
        <v>718</v>
      </c>
      <c r="AU200">
        <v>2019</v>
      </c>
      <c r="AV200">
        <v>39</v>
      </c>
      <c r="AW200">
        <v>1</v>
      </c>
      <c r="AX200" t="s">
        <v>74</v>
      </c>
      <c r="AY200" t="s">
        <v>74</v>
      </c>
      <c r="AZ200" t="s">
        <v>74</v>
      </c>
      <c r="BA200" t="s">
        <v>74</v>
      </c>
      <c r="BB200">
        <v>90</v>
      </c>
      <c r="BC200">
        <v>90</v>
      </c>
      <c r="BD200" t="s">
        <v>74</v>
      </c>
      <c r="BE200" t="s">
        <v>3807</v>
      </c>
      <c r="BF200" t="str">
        <f>HYPERLINK("http://dx.doi.org/10.1093/jcbiol/ruy112","http://dx.doi.org/10.1093/jcbiol/ruy112")</f>
        <v>http://dx.doi.org/10.1093/jcbiol/ruy112</v>
      </c>
      <c r="BG200" t="s">
        <v>74</v>
      </c>
      <c r="BH200" t="s">
        <v>74</v>
      </c>
      <c r="BI200">
        <v>1</v>
      </c>
      <c r="BJ200" t="s">
        <v>3808</v>
      </c>
      <c r="BK200" t="s">
        <v>101</v>
      </c>
      <c r="BL200" t="s">
        <v>3808</v>
      </c>
      <c r="BM200" t="s">
        <v>3809</v>
      </c>
      <c r="BN200" t="s">
        <v>74</v>
      </c>
      <c r="BO200" t="s">
        <v>3810</v>
      </c>
      <c r="BP200" t="s">
        <v>74</v>
      </c>
      <c r="BQ200" t="s">
        <v>74</v>
      </c>
      <c r="BR200" t="s">
        <v>104</v>
      </c>
      <c r="BS200" t="s">
        <v>3811</v>
      </c>
      <c r="BT200" t="str">
        <f>HYPERLINK("https%3A%2F%2Fwww.webofscience.com%2Fwos%2Fwoscc%2Ffull-record%2FWOS:000462581700011","View Full Record in Web of Science")</f>
        <v>View Full Record in Web of Science</v>
      </c>
    </row>
    <row r="201" spans="1:72" x14ac:dyDescent="0.15">
      <c r="A201" t="s">
        <v>72</v>
      </c>
      <c r="B201" t="s">
        <v>3812</v>
      </c>
      <c r="C201" t="s">
        <v>74</v>
      </c>
      <c r="D201" t="s">
        <v>74</v>
      </c>
      <c r="E201" t="s">
        <v>74</v>
      </c>
      <c r="F201" t="s">
        <v>3813</v>
      </c>
      <c r="G201" t="s">
        <v>74</v>
      </c>
      <c r="H201" t="s">
        <v>74</v>
      </c>
      <c r="I201" t="s">
        <v>3814</v>
      </c>
      <c r="J201" t="s">
        <v>862</v>
      </c>
      <c r="K201" t="s">
        <v>74</v>
      </c>
      <c r="L201" t="s">
        <v>74</v>
      </c>
      <c r="M201" t="s">
        <v>863</v>
      </c>
      <c r="N201" t="s">
        <v>79</v>
      </c>
      <c r="O201" t="s">
        <v>74</v>
      </c>
      <c r="P201" t="s">
        <v>74</v>
      </c>
      <c r="Q201" t="s">
        <v>74</v>
      </c>
      <c r="R201" t="s">
        <v>74</v>
      </c>
      <c r="S201" t="s">
        <v>74</v>
      </c>
      <c r="T201" t="s">
        <v>3815</v>
      </c>
      <c r="U201" t="s">
        <v>3816</v>
      </c>
      <c r="V201" t="s">
        <v>3817</v>
      </c>
      <c r="W201" t="s">
        <v>3818</v>
      </c>
      <c r="X201" t="s">
        <v>935</v>
      </c>
      <c r="Y201" t="s">
        <v>3819</v>
      </c>
      <c r="Z201" t="s">
        <v>3820</v>
      </c>
      <c r="AA201" t="s">
        <v>3821</v>
      </c>
      <c r="AB201" t="s">
        <v>3822</v>
      </c>
      <c r="AC201" t="s">
        <v>3823</v>
      </c>
      <c r="AD201" t="s">
        <v>3824</v>
      </c>
      <c r="AE201" t="s">
        <v>3825</v>
      </c>
      <c r="AF201" t="s">
        <v>74</v>
      </c>
      <c r="AG201">
        <v>19</v>
      </c>
      <c r="AH201">
        <v>8</v>
      </c>
      <c r="AI201">
        <v>10</v>
      </c>
      <c r="AJ201">
        <v>0</v>
      </c>
      <c r="AK201">
        <v>2</v>
      </c>
      <c r="AL201" t="s">
        <v>876</v>
      </c>
      <c r="AM201" t="s">
        <v>877</v>
      </c>
      <c r="AN201" t="s">
        <v>878</v>
      </c>
      <c r="AO201" t="s">
        <v>879</v>
      </c>
      <c r="AP201" t="s">
        <v>880</v>
      </c>
      <c r="AQ201" t="s">
        <v>74</v>
      </c>
      <c r="AR201" t="s">
        <v>881</v>
      </c>
      <c r="AS201" t="s">
        <v>882</v>
      </c>
      <c r="AT201" t="s">
        <v>74</v>
      </c>
      <c r="AU201">
        <v>2019</v>
      </c>
      <c r="AV201">
        <v>59</v>
      </c>
      <c r="AW201">
        <v>1</v>
      </c>
      <c r="AX201" t="s">
        <v>74</v>
      </c>
      <c r="AY201" t="s">
        <v>74</v>
      </c>
      <c r="AZ201" t="s">
        <v>74</v>
      </c>
      <c r="BA201" t="s">
        <v>74</v>
      </c>
      <c r="BB201">
        <v>39</v>
      </c>
      <c r="BC201">
        <v>48</v>
      </c>
      <c r="BD201" t="s">
        <v>74</v>
      </c>
      <c r="BE201" t="s">
        <v>3826</v>
      </c>
      <c r="BF201" t="str">
        <f>HYPERLINK("http://dx.doi.org/10.15356/2076-6734-2019-1-39-48","http://dx.doi.org/10.15356/2076-6734-2019-1-39-48")</f>
        <v>http://dx.doi.org/10.15356/2076-6734-2019-1-39-48</v>
      </c>
      <c r="BG201" t="s">
        <v>74</v>
      </c>
      <c r="BH201" t="s">
        <v>74</v>
      </c>
      <c r="BI201">
        <v>10</v>
      </c>
      <c r="BJ201" t="s">
        <v>884</v>
      </c>
      <c r="BK201" t="s">
        <v>349</v>
      </c>
      <c r="BL201" t="s">
        <v>528</v>
      </c>
      <c r="BM201" t="s">
        <v>3827</v>
      </c>
      <c r="BN201" t="s">
        <v>74</v>
      </c>
      <c r="BO201" t="s">
        <v>131</v>
      </c>
      <c r="BP201" t="s">
        <v>74</v>
      </c>
      <c r="BQ201" t="s">
        <v>74</v>
      </c>
      <c r="BR201" t="s">
        <v>104</v>
      </c>
      <c r="BS201" t="s">
        <v>3828</v>
      </c>
      <c r="BT201" t="str">
        <f>HYPERLINK("https%3A%2F%2Fwww.webofscience.com%2Fwos%2Fwoscc%2Ffull-record%2FWOS:000461805000003","View Full Record in Web of Science")</f>
        <v>View Full Record in Web of Science</v>
      </c>
    </row>
    <row r="202" spans="1:72" x14ac:dyDescent="0.15">
      <c r="A202" t="s">
        <v>72</v>
      </c>
      <c r="B202" t="s">
        <v>3829</v>
      </c>
      <c r="C202" t="s">
        <v>74</v>
      </c>
      <c r="D202" t="s">
        <v>74</v>
      </c>
      <c r="E202" t="s">
        <v>74</v>
      </c>
      <c r="F202" t="s">
        <v>3830</v>
      </c>
      <c r="G202" t="s">
        <v>74</v>
      </c>
      <c r="H202" t="s">
        <v>74</v>
      </c>
      <c r="I202" t="s">
        <v>3831</v>
      </c>
      <c r="J202" t="s">
        <v>3832</v>
      </c>
      <c r="K202" t="s">
        <v>74</v>
      </c>
      <c r="L202" t="s">
        <v>74</v>
      </c>
      <c r="M202" t="s">
        <v>78</v>
      </c>
      <c r="N202" t="s">
        <v>79</v>
      </c>
      <c r="O202" t="s">
        <v>74</v>
      </c>
      <c r="P202" t="s">
        <v>74</v>
      </c>
      <c r="Q202" t="s">
        <v>74</v>
      </c>
      <c r="R202" t="s">
        <v>74</v>
      </c>
      <c r="S202" t="s">
        <v>74</v>
      </c>
      <c r="T202" t="s">
        <v>3833</v>
      </c>
      <c r="U202" t="s">
        <v>3834</v>
      </c>
      <c r="V202" t="s">
        <v>3835</v>
      </c>
      <c r="W202" t="s">
        <v>3836</v>
      </c>
      <c r="X202" t="s">
        <v>3837</v>
      </c>
      <c r="Y202" t="s">
        <v>3838</v>
      </c>
      <c r="Z202" t="s">
        <v>3839</v>
      </c>
      <c r="AA202" t="s">
        <v>3840</v>
      </c>
      <c r="AB202" t="s">
        <v>3841</v>
      </c>
      <c r="AC202" t="s">
        <v>3842</v>
      </c>
      <c r="AD202" t="s">
        <v>3843</v>
      </c>
      <c r="AE202" t="s">
        <v>3844</v>
      </c>
      <c r="AF202" t="s">
        <v>74</v>
      </c>
      <c r="AG202">
        <v>66</v>
      </c>
      <c r="AH202">
        <v>7</v>
      </c>
      <c r="AI202">
        <v>10</v>
      </c>
      <c r="AJ202">
        <v>0</v>
      </c>
      <c r="AK202">
        <v>18</v>
      </c>
      <c r="AL202" t="s">
        <v>210</v>
      </c>
      <c r="AM202" t="s">
        <v>211</v>
      </c>
      <c r="AN202" t="s">
        <v>212</v>
      </c>
      <c r="AO202" t="s">
        <v>3845</v>
      </c>
      <c r="AP202" t="s">
        <v>3846</v>
      </c>
      <c r="AQ202" t="s">
        <v>74</v>
      </c>
      <c r="AR202" t="s">
        <v>3847</v>
      </c>
      <c r="AS202" t="s">
        <v>3848</v>
      </c>
      <c r="AT202" t="s">
        <v>74</v>
      </c>
      <c r="AU202">
        <v>2019</v>
      </c>
      <c r="AV202">
        <v>64</v>
      </c>
      <c r="AW202">
        <v>2</v>
      </c>
      <c r="AX202" t="s">
        <v>74</v>
      </c>
      <c r="AY202" t="s">
        <v>74</v>
      </c>
      <c r="AZ202" t="s">
        <v>74</v>
      </c>
      <c r="BA202" t="s">
        <v>74</v>
      </c>
      <c r="BB202">
        <v>179</v>
      </c>
      <c r="BC202">
        <v>189</v>
      </c>
      <c r="BD202" t="s">
        <v>74</v>
      </c>
      <c r="BE202" t="s">
        <v>3849</v>
      </c>
      <c r="BF202" t="str">
        <f>HYPERLINK("http://dx.doi.org/10.1080/02626667.2019.1572152","http://dx.doi.org/10.1080/02626667.2019.1572152")</f>
        <v>http://dx.doi.org/10.1080/02626667.2019.1572152</v>
      </c>
      <c r="BG202" t="s">
        <v>74</v>
      </c>
      <c r="BH202" t="s">
        <v>74</v>
      </c>
      <c r="BI202">
        <v>11</v>
      </c>
      <c r="BJ202" t="s">
        <v>3850</v>
      </c>
      <c r="BK202" t="s">
        <v>101</v>
      </c>
      <c r="BL202" t="s">
        <v>3850</v>
      </c>
      <c r="BM202" t="s">
        <v>3851</v>
      </c>
      <c r="BN202" t="s">
        <v>74</v>
      </c>
      <c r="BO202" t="s">
        <v>74</v>
      </c>
      <c r="BP202" t="s">
        <v>74</v>
      </c>
      <c r="BQ202" t="s">
        <v>74</v>
      </c>
      <c r="BR202" t="s">
        <v>104</v>
      </c>
      <c r="BS202" t="s">
        <v>3852</v>
      </c>
      <c r="BT202" t="str">
        <f>HYPERLINK("https%3A%2F%2Fwww.webofscience.com%2Fwos%2Fwoscc%2Ffull-record%2FWOS:000461573900004","View Full Record in Web of Science")</f>
        <v>View Full Record in Web of Science</v>
      </c>
    </row>
    <row r="203" spans="1:72" x14ac:dyDescent="0.15">
      <c r="A203" t="s">
        <v>72</v>
      </c>
      <c r="B203" t="s">
        <v>3853</v>
      </c>
      <c r="C203" t="s">
        <v>74</v>
      </c>
      <c r="D203" t="s">
        <v>74</v>
      </c>
      <c r="E203" t="s">
        <v>74</v>
      </c>
      <c r="F203" t="s">
        <v>3854</v>
      </c>
      <c r="G203" t="s">
        <v>74</v>
      </c>
      <c r="H203" t="s">
        <v>74</v>
      </c>
      <c r="I203" t="s">
        <v>3855</v>
      </c>
      <c r="J203" t="s">
        <v>3856</v>
      </c>
      <c r="K203" t="s">
        <v>74</v>
      </c>
      <c r="L203" t="s">
        <v>74</v>
      </c>
      <c r="M203" t="s">
        <v>78</v>
      </c>
      <c r="N203" t="s">
        <v>79</v>
      </c>
      <c r="O203" t="s">
        <v>74</v>
      </c>
      <c r="P203" t="s">
        <v>74</v>
      </c>
      <c r="Q203" t="s">
        <v>74</v>
      </c>
      <c r="R203" t="s">
        <v>74</v>
      </c>
      <c r="S203" t="s">
        <v>74</v>
      </c>
      <c r="T203" t="s">
        <v>74</v>
      </c>
      <c r="U203" t="s">
        <v>74</v>
      </c>
      <c r="V203" t="s">
        <v>74</v>
      </c>
      <c r="W203" t="s">
        <v>3857</v>
      </c>
      <c r="X203" t="s">
        <v>3858</v>
      </c>
      <c r="Y203" t="s">
        <v>3859</v>
      </c>
      <c r="Z203" t="s">
        <v>3860</v>
      </c>
      <c r="AA203" t="s">
        <v>74</v>
      </c>
      <c r="AB203" t="s">
        <v>74</v>
      </c>
      <c r="AC203" t="s">
        <v>74</v>
      </c>
      <c r="AD203" t="s">
        <v>74</v>
      </c>
      <c r="AE203" t="s">
        <v>74</v>
      </c>
      <c r="AF203" t="s">
        <v>74</v>
      </c>
      <c r="AG203">
        <v>6</v>
      </c>
      <c r="AH203">
        <v>2</v>
      </c>
      <c r="AI203">
        <v>2</v>
      </c>
      <c r="AJ203">
        <v>0</v>
      </c>
      <c r="AK203">
        <v>7</v>
      </c>
      <c r="AL203" t="s">
        <v>3861</v>
      </c>
      <c r="AM203" t="s">
        <v>3862</v>
      </c>
      <c r="AN203" t="s">
        <v>3863</v>
      </c>
      <c r="AO203" t="s">
        <v>3864</v>
      </c>
      <c r="AP203" t="s">
        <v>74</v>
      </c>
      <c r="AQ203" t="s">
        <v>74</v>
      </c>
      <c r="AR203" t="s">
        <v>3865</v>
      </c>
      <c r="AS203" t="s">
        <v>3866</v>
      </c>
      <c r="AT203" t="s">
        <v>74</v>
      </c>
      <c r="AU203">
        <v>2019</v>
      </c>
      <c r="AV203">
        <v>45</v>
      </c>
      <c r="AW203">
        <v>2</v>
      </c>
      <c r="AX203" t="s">
        <v>74</v>
      </c>
      <c r="AY203" t="s">
        <v>74</v>
      </c>
      <c r="AZ203" t="s">
        <v>74</v>
      </c>
      <c r="BA203" t="s">
        <v>74</v>
      </c>
      <c r="BB203">
        <v>244</v>
      </c>
      <c r="BC203">
        <v>245</v>
      </c>
      <c r="BD203" t="s">
        <v>74</v>
      </c>
      <c r="BE203" t="s">
        <v>3867</v>
      </c>
      <c r="BF203" t="str">
        <f>HYPERLINK("http://dx.doi.org/10.1578/AM.45.2.2019.244","http://dx.doi.org/10.1578/AM.45.2.2019.244")</f>
        <v>http://dx.doi.org/10.1578/AM.45.2.2019.244</v>
      </c>
      <c r="BG203" t="s">
        <v>74</v>
      </c>
      <c r="BH203" t="s">
        <v>74</v>
      </c>
      <c r="BI203">
        <v>2</v>
      </c>
      <c r="BJ203" t="s">
        <v>3808</v>
      </c>
      <c r="BK203" t="s">
        <v>101</v>
      </c>
      <c r="BL203" t="s">
        <v>3808</v>
      </c>
      <c r="BM203" t="s">
        <v>3868</v>
      </c>
      <c r="BN203" t="s">
        <v>74</v>
      </c>
      <c r="BO203" t="s">
        <v>74</v>
      </c>
      <c r="BP203" t="s">
        <v>74</v>
      </c>
      <c r="BQ203" t="s">
        <v>74</v>
      </c>
      <c r="BR203" t="s">
        <v>104</v>
      </c>
      <c r="BS203" t="s">
        <v>3869</v>
      </c>
      <c r="BT203" t="str">
        <f>HYPERLINK("https%3A%2F%2Fwww.webofscience.com%2Fwos%2Fwoscc%2Ffull-record%2FWOS:000461075600003","View Full Record in Web of Science")</f>
        <v>View Full Record in Web of Science</v>
      </c>
    </row>
    <row r="204" spans="1:72" x14ac:dyDescent="0.15">
      <c r="A204" t="s">
        <v>72</v>
      </c>
      <c r="B204" t="s">
        <v>3870</v>
      </c>
      <c r="C204" t="s">
        <v>74</v>
      </c>
      <c r="D204" t="s">
        <v>74</v>
      </c>
      <c r="E204" t="s">
        <v>74</v>
      </c>
      <c r="F204" t="s">
        <v>3871</v>
      </c>
      <c r="G204" t="s">
        <v>74</v>
      </c>
      <c r="H204" t="s">
        <v>74</v>
      </c>
      <c r="I204" t="s">
        <v>3872</v>
      </c>
      <c r="J204" t="s">
        <v>3873</v>
      </c>
      <c r="K204" t="s">
        <v>74</v>
      </c>
      <c r="L204" t="s">
        <v>74</v>
      </c>
      <c r="M204" t="s">
        <v>78</v>
      </c>
      <c r="N204" t="s">
        <v>79</v>
      </c>
      <c r="O204" t="s">
        <v>74</v>
      </c>
      <c r="P204" t="s">
        <v>74</v>
      </c>
      <c r="Q204" t="s">
        <v>74</v>
      </c>
      <c r="R204" t="s">
        <v>74</v>
      </c>
      <c r="S204" t="s">
        <v>74</v>
      </c>
      <c r="T204" t="s">
        <v>3874</v>
      </c>
      <c r="U204" t="s">
        <v>3875</v>
      </c>
      <c r="V204" t="s">
        <v>3876</v>
      </c>
      <c r="W204" t="s">
        <v>3877</v>
      </c>
      <c r="X204" t="s">
        <v>3878</v>
      </c>
      <c r="Y204" t="s">
        <v>3879</v>
      </c>
      <c r="Z204" t="s">
        <v>3880</v>
      </c>
      <c r="AA204" t="s">
        <v>3881</v>
      </c>
      <c r="AB204" t="s">
        <v>3882</v>
      </c>
      <c r="AC204" t="s">
        <v>3883</v>
      </c>
      <c r="AD204" t="s">
        <v>3884</v>
      </c>
      <c r="AE204" t="s">
        <v>3885</v>
      </c>
      <c r="AF204" t="s">
        <v>74</v>
      </c>
      <c r="AG204">
        <v>157</v>
      </c>
      <c r="AH204">
        <v>64</v>
      </c>
      <c r="AI204">
        <v>68</v>
      </c>
      <c r="AJ204">
        <v>3</v>
      </c>
      <c r="AK204">
        <v>25</v>
      </c>
      <c r="AL204" t="s">
        <v>1079</v>
      </c>
      <c r="AM204" t="s">
        <v>1080</v>
      </c>
      <c r="AN204" t="s">
        <v>1081</v>
      </c>
      <c r="AO204" t="s">
        <v>3886</v>
      </c>
      <c r="AP204" t="s">
        <v>3887</v>
      </c>
      <c r="AQ204" t="s">
        <v>74</v>
      </c>
      <c r="AR204" t="s">
        <v>3888</v>
      </c>
      <c r="AS204" t="s">
        <v>3889</v>
      </c>
      <c r="AT204" t="s">
        <v>718</v>
      </c>
      <c r="AU204">
        <v>2019</v>
      </c>
      <c r="AV204">
        <v>52</v>
      </c>
      <c r="AW204" t="s">
        <v>3890</v>
      </c>
      <c r="AX204" t="s">
        <v>74</v>
      </c>
      <c r="AY204" t="s">
        <v>74</v>
      </c>
      <c r="AZ204" t="s">
        <v>74</v>
      </c>
      <c r="BA204" t="s">
        <v>74</v>
      </c>
      <c r="BB204">
        <v>653</v>
      </c>
      <c r="BC204">
        <v>679</v>
      </c>
      <c r="BD204" t="s">
        <v>74</v>
      </c>
      <c r="BE204" t="s">
        <v>3891</v>
      </c>
      <c r="BF204" t="str">
        <f>HYPERLINK("http://dx.doi.org/10.1007/s00382-018-4157-8","http://dx.doi.org/10.1007/s00382-018-4157-8")</f>
        <v>http://dx.doi.org/10.1007/s00382-018-4157-8</v>
      </c>
      <c r="BG204" t="s">
        <v>74</v>
      </c>
      <c r="BH204" t="s">
        <v>74</v>
      </c>
      <c r="BI204">
        <v>27</v>
      </c>
      <c r="BJ204" t="s">
        <v>3037</v>
      </c>
      <c r="BK204" t="s">
        <v>101</v>
      </c>
      <c r="BL204" t="s">
        <v>3037</v>
      </c>
      <c r="BM204" t="s">
        <v>3892</v>
      </c>
      <c r="BN204" t="s">
        <v>74</v>
      </c>
      <c r="BO204" t="s">
        <v>3893</v>
      </c>
      <c r="BP204" t="s">
        <v>74</v>
      </c>
      <c r="BQ204" t="s">
        <v>74</v>
      </c>
      <c r="BR204" t="s">
        <v>104</v>
      </c>
      <c r="BS204" t="s">
        <v>3894</v>
      </c>
      <c r="BT204" t="str">
        <f>HYPERLINK("https%3A%2F%2Fwww.webofscience.com%2Fwos%2Fwoscc%2Ffull-record%2FWOS:000460619200038","View Full Record in Web of Science")</f>
        <v>View Full Record in Web of Science</v>
      </c>
    </row>
    <row r="205" spans="1:72" x14ac:dyDescent="0.15">
      <c r="A205" t="s">
        <v>72</v>
      </c>
      <c r="B205" t="s">
        <v>3895</v>
      </c>
      <c r="C205" t="s">
        <v>74</v>
      </c>
      <c r="D205" t="s">
        <v>74</v>
      </c>
      <c r="E205" t="s">
        <v>74</v>
      </c>
      <c r="F205" t="s">
        <v>3896</v>
      </c>
      <c r="G205" t="s">
        <v>74</v>
      </c>
      <c r="H205" t="s">
        <v>74</v>
      </c>
      <c r="I205" t="s">
        <v>3897</v>
      </c>
      <c r="J205" t="s">
        <v>3898</v>
      </c>
      <c r="K205" t="s">
        <v>74</v>
      </c>
      <c r="L205" t="s">
        <v>74</v>
      </c>
      <c r="M205" t="s">
        <v>78</v>
      </c>
      <c r="N205" t="s">
        <v>1003</v>
      </c>
      <c r="O205" t="s">
        <v>74</v>
      </c>
      <c r="P205" t="s">
        <v>74</v>
      </c>
      <c r="Q205" t="s">
        <v>74</v>
      </c>
      <c r="R205" t="s">
        <v>74</v>
      </c>
      <c r="S205" t="s">
        <v>74</v>
      </c>
      <c r="T205" t="s">
        <v>3899</v>
      </c>
      <c r="U205" t="s">
        <v>3900</v>
      </c>
      <c r="V205" t="s">
        <v>3901</v>
      </c>
      <c r="W205" t="s">
        <v>3902</v>
      </c>
      <c r="X205" t="s">
        <v>3903</v>
      </c>
      <c r="Y205" t="s">
        <v>3904</v>
      </c>
      <c r="Z205" t="s">
        <v>3905</v>
      </c>
      <c r="AA205" t="s">
        <v>74</v>
      </c>
      <c r="AB205" t="s">
        <v>74</v>
      </c>
      <c r="AC205" t="s">
        <v>3906</v>
      </c>
      <c r="AD205" t="s">
        <v>3907</v>
      </c>
      <c r="AE205" t="s">
        <v>3908</v>
      </c>
      <c r="AF205" t="s">
        <v>74</v>
      </c>
      <c r="AG205">
        <v>55</v>
      </c>
      <c r="AH205">
        <v>22</v>
      </c>
      <c r="AI205">
        <v>24</v>
      </c>
      <c r="AJ205">
        <v>0</v>
      </c>
      <c r="AK205">
        <v>18</v>
      </c>
      <c r="AL205" t="s">
        <v>3729</v>
      </c>
      <c r="AM205" t="s">
        <v>3353</v>
      </c>
      <c r="AN205" t="s">
        <v>3730</v>
      </c>
      <c r="AO205" t="s">
        <v>3909</v>
      </c>
      <c r="AP205" t="s">
        <v>3910</v>
      </c>
      <c r="AQ205" t="s">
        <v>74</v>
      </c>
      <c r="AR205" t="s">
        <v>3911</v>
      </c>
      <c r="AS205" t="s">
        <v>3912</v>
      </c>
      <c r="AT205" t="s">
        <v>2446</v>
      </c>
      <c r="AU205">
        <v>2019</v>
      </c>
      <c r="AV205">
        <v>41</v>
      </c>
      <c r="AW205">
        <v>1</v>
      </c>
      <c r="AX205" t="s">
        <v>74</v>
      </c>
      <c r="AY205" t="s">
        <v>74</v>
      </c>
      <c r="AZ205" t="s">
        <v>74</v>
      </c>
      <c r="BA205" t="s">
        <v>74</v>
      </c>
      <c r="BB205">
        <v>3</v>
      </c>
      <c r="BC205">
        <v>11</v>
      </c>
      <c r="BD205" t="s">
        <v>74</v>
      </c>
      <c r="BE205" t="s">
        <v>3913</v>
      </c>
      <c r="BF205" t="str">
        <f>HYPERLINK("http://dx.doi.org/10.1093/plankt/fby051","http://dx.doi.org/10.1093/plankt/fby051")</f>
        <v>http://dx.doi.org/10.1093/plankt/fby051</v>
      </c>
      <c r="BG205" t="s">
        <v>74</v>
      </c>
      <c r="BH205" t="s">
        <v>74</v>
      </c>
      <c r="BI205">
        <v>9</v>
      </c>
      <c r="BJ205" t="s">
        <v>827</v>
      </c>
      <c r="BK205" t="s">
        <v>101</v>
      </c>
      <c r="BL205" t="s">
        <v>827</v>
      </c>
      <c r="BM205" t="s">
        <v>3914</v>
      </c>
      <c r="BN205" t="s">
        <v>74</v>
      </c>
      <c r="BO205" t="s">
        <v>162</v>
      </c>
      <c r="BP205" t="s">
        <v>74</v>
      </c>
      <c r="BQ205" t="s">
        <v>74</v>
      </c>
      <c r="BR205" t="s">
        <v>104</v>
      </c>
      <c r="BS205" t="s">
        <v>3915</v>
      </c>
      <c r="BT205" t="str">
        <f>HYPERLINK("https%3A%2F%2Fwww.webofscience.com%2Fwos%2Fwoscc%2Ffull-record%2FWOS:000460628700002","View Full Record in Web of Science")</f>
        <v>View Full Record in Web of Science</v>
      </c>
    </row>
    <row r="206" spans="1:72" x14ac:dyDescent="0.15">
      <c r="A206" t="s">
        <v>72</v>
      </c>
      <c r="B206" t="s">
        <v>3916</v>
      </c>
      <c r="C206" t="s">
        <v>74</v>
      </c>
      <c r="D206" t="s">
        <v>74</v>
      </c>
      <c r="E206" t="s">
        <v>74</v>
      </c>
      <c r="F206" t="s">
        <v>3917</v>
      </c>
      <c r="G206" t="s">
        <v>74</v>
      </c>
      <c r="H206" t="s">
        <v>74</v>
      </c>
      <c r="I206" t="s">
        <v>3918</v>
      </c>
      <c r="J206" t="s">
        <v>3919</v>
      </c>
      <c r="K206" t="s">
        <v>74</v>
      </c>
      <c r="L206" t="s">
        <v>74</v>
      </c>
      <c r="M206" t="s">
        <v>78</v>
      </c>
      <c r="N206" t="s">
        <v>79</v>
      </c>
      <c r="O206" t="s">
        <v>74</v>
      </c>
      <c r="P206" t="s">
        <v>74</v>
      </c>
      <c r="Q206" t="s">
        <v>74</v>
      </c>
      <c r="R206" t="s">
        <v>74</v>
      </c>
      <c r="S206" t="s">
        <v>74</v>
      </c>
      <c r="T206" t="s">
        <v>3920</v>
      </c>
      <c r="U206" t="s">
        <v>3921</v>
      </c>
      <c r="V206" t="s">
        <v>3922</v>
      </c>
      <c r="W206" t="s">
        <v>3923</v>
      </c>
      <c r="X206" t="s">
        <v>3924</v>
      </c>
      <c r="Y206" t="s">
        <v>3925</v>
      </c>
      <c r="Z206" t="s">
        <v>3926</v>
      </c>
      <c r="AA206" t="s">
        <v>3927</v>
      </c>
      <c r="AB206" t="s">
        <v>74</v>
      </c>
      <c r="AC206" t="s">
        <v>74</v>
      </c>
      <c r="AD206" t="s">
        <v>74</v>
      </c>
      <c r="AE206" t="s">
        <v>74</v>
      </c>
      <c r="AF206" t="s">
        <v>74</v>
      </c>
      <c r="AG206">
        <v>11</v>
      </c>
      <c r="AH206">
        <v>0</v>
      </c>
      <c r="AI206">
        <v>0</v>
      </c>
      <c r="AJ206">
        <v>4</v>
      </c>
      <c r="AK206">
        <v>13</v>
      </c>
      <c r="AL206" t="s">
        <v>3928</v>
      </c>
      <c r="AM206" t="s">
        <v>3929</v>
      </c>
      <c r="AN206" t="s">
        <v>3930</v>
      </c>
      <c r="AO206" t="s">
        <v>3931</v>
      </c>
      <c r="AP206" t="s">
        <v>3932</v>
      </c>
      <c r="AQ206" t="s">
        <v>74</v>
      </c>
      <c r="AR206" t="s">
        <v>3933</v>
      </c>
      <c r="AS206" t="s">
        <v>3934</v>
      </c>
      <c r="AT206" t="s">
        <v>74</v>
      </c>
      <c r="AU206">
        <v>2019</v>
      </c>
      <c r="AV206" t="s">
        <v>74</v>
      </c>
      <c r="AW206">
        <v>9</v>
      </c>
      <c r="AX206" t="s">
        <v>74</v>
      </c>
      <c r="AY206" t="s">
        <v>74</v>
      </c>
      <c r="AZ206" t="s">
        <v>74</v>
      </c>
      <c r="BA206" t="s">
        <v>74</v>
      </c>
      <c r="BB206">
        <v>69</v>
      </c>
      <c r="BC206">
        <v>75</v>
      </c>
      <c r="BD206" t="s">
        <v>74</v>
      </c>
      <c r="BE206" t="s">
        <v>3935</v>
      </c>
      <c r="BF206" t="str">
        <f>HYPERLINK("http://dx.doi.org/10.7203/metode.9.11324","http://dx.doi.org/10.7203/metode.9.11324")</f>
        <v>http://dx.doi.org/10.7203/metode.9.11324</v>
      </c>
      <c r="BG206" t="s">
        <v>74</v>
      </c>
      <c r="BH206" t="s">
        <v>74</v>
      </c>
      <c r="BI206">
        <v>7</v>
      </c>
      <c r="BJ206" t="s">
        <v>3936</v>
      </c>
      <c r="BK206" t="s">
        <v>349</v>
      </c>
      <c r="BL206" t="s">
        <v>3937</v>
      </c>
      <c r="BM206" t="s">
        <v>3938</v>
      </c>
      <c r="BN206" t="s">
        <v>74</v>
      </c>
      <c r="BO206" t="s">
        <v>1556</v>
      </c>
      <c r="BP206" t="s">
        <v>74</v>
      </c>
      <c r="BQ206" t="s">
        <v>74</v>
      </c>
      <c r="BR206" t="s">
        <v>104</v>
      </c>
      <c r="BS206" t="s">
        <v>3939</v>
      </c>
      <c r="BT206" t="str">
        <f>HYPERLINK("https%3A%2F%2Fwww.webofscience.com%2Fwos%2Fwoscc%2Ffull-record%2FWOS:000460387700011","View Full Record in Web of Science")</f>
        <v>View Full Record in Web of Science</v>
      </c>
    </row>
    <row r="207" spans="1:72" x14ac:dyDescent="0.15">
      <c r="A207" t="s">
        <v>72</v>
      </c>
      <c r="B207" t="s">
        <v>3940</v>
      </c>
      <c r="C207" t="s">
        <v>74</v>
      </c>
      <c r="D207" t="s">
        <v>74</v>
      </c>
      <c r="E207" t="s">
        <v>74</v>
      </c>
      <c r="F207" t="s">
        <v>3941</v>
      </c>
      <c r="G207" t="s">
        <v>74</v>
      </c>
      <c r="H207" t="s">
        <v>74</v>
      </c>
      <c r="I207" t="s">
        <v>3942</v>
      </c>
      <c r="J207" t="s">
        <v>3919</v>
      </c>
      <c r="K207" t="s">
        <v>74</v>
      </c>
      <c r="L207" t="s">
        <v>74</v>
      </c>
      <c r="M207" t="s">
        <v>78</v>
      </c>
      <c r="N207" t="s">
        <v>79</v>
      </c>
      <c r="O207" t="s">
        <v>74</v>
      </c>
      <c r="P207" t="s">
        <v>74</v>
      </c>
      <c r="Q207" t="s">
        <v>74</v>
      </c>
      <c r="R207" t="s">
        <v>74</v>
      </c>
      <c r="S207" t="s">
        <v>74</v>
      </c>
      <c r="T207" t="s">
        <v>3943</v>
      </c>
      <c r="U207" t="s">
        <v>3944</v>
      </c>
      <c r="V207" t="s">
        <v>3945</v>
      </c>
      <c r="W207" t="s">
        <v>3946</v>
      </c>
      <c r="X207" t="s">
        <v>3947</v>
      </c>
      <c r="Y207" t="s">
        <v>3948</v>
      </c>
      <c r="Z207" t="s">
        <v>3949</v>
      </c>
      <c r="AA207" t="s">
        <v>74</v>
      </c>
      <c r="AB207" t="s">
        <v>74</v>
      </c>
      <c r="AC207" t="s">
        <v>74</v>
      </c>
      <c r="AD207" t="s">
        <v>74</v>
      </c>
      <c r="AE207" t="s">
        <v>74</v>
      </c>
      <c r="AF207" t="s">
        <v>74</v>
      </c>
      <c r="AG207">
        <v>20</v>
      </c>
      <c r="AH207">
        <v>3</v>
      </c>
      <c r="AI207">
        <v>4</v>
      </c>
      <c r="AJ207">
        <v>0</v>
      </c>
      <c r="AK207">
        <v>1</v>
      </c>
      <c r="AL207" t="s">
        <v>3928</v>
      </c>
      <c r="AM207" t="s">
        <v>3929</v>
      </c>
      <c r="AN207" t="s">
        <v>3930</v>
      </c>
      <c r="AO207" t="s">
        <v>3931</v>
      </c>
      <c r="AP207" t="s">
        <v>3932</v>
      </c>
      <c r="AQ207" t="s">
        <v>74</v>
      </c>
      <c r="AR207" t="s">
        <v>3933</v>
      </c>
      <c r="AS207" t="s">
        <v>3934</v>
      </c>
      <c r="AT207" t="s">
        <v>74</v>
      </c>
      <c r="AU207">
        <v>2019</v>
      </c>
      <c r="AV207" t="s">
        <v>74</v>
      </c>
      <c r="AW207">
        <v>9</v>
      </c>
      <c r="AX207" t="s">
        <v>74</v>
      </c>
      <c r="AY207" t="s">
        <v>74</v>
      </c>
      <c r="AZ207" t="s">
        <v>74</v>
      </c>
      <c r="BA207" t="s">
        <v>74</v>
      </c>
      <c r="BB207">
        <v>77</v>
      </c>
      <c r="BC207">
        <v>81</v>
      </c>
      <c r="BD207" t="s">
        <v>74</v>
      </c>
      <c r="BE207" t="s">
        <v>3950</v>
      </c>
      <c r="BF207" t="str">
        <f>HYPERLINK("http://dx.doi.org/10.7203/metode.9.11404","http://dx.doi.org/10.7203/metode.9.11404")</f>
        <v>http://dx.doi.org/10.7203/metode.9.11404</v>
      </c>
      <c r="BG207" t="s">
        <v>74</v>
      </c>
      <c r="BH207" t="s">
        <v>74</v>
      </c>
      <c r="BI207">
        <v>5</v>
      </c>
      <c r="BJ207" t="s">
        <v>3936</v>
      </c>
      <c r="BK207" t="s">
        <v>349</v>
      </c>
      <c r="BL207" t="s">
        <v>3937</v>
      </c>
      <c r="BM207" t="s">
        <v>3938</v>
      </c>
      <c r="BN207" t="s">
        <v>74</v>
      </c>
      <c r="BO207" t="s">
        <v>949</v>
      </c>
      <c r="BP207" t="s">
        <v>74</v>
      </c>
      <c r="BQ207" t="s">
        <v>74</v>
      </c>
      <c r="BR207" t="s">
        <v>104</v>
      </c>
      <c r="BS207" t="s">
        <v>3951</v>
      </c>
      <c r="BT207" t="str">
        <f>HYPERLINK("https%3A%2F%2Fwww.webofscience.com%2Fwos%2Fwoscc%2Ffull-record%2FWOS:000460387700012","View Full Record in Web of Science")</f>
        <v>View Full Record in Web of Science</v>
      </c>
    </row>
    <row r="208" spans="1:72" x14ac:dyDescent="0.15">
      <c r="A208" t="s">
        <v>72</v>
      </c>
      <c r="B208" t="s">
        <v>3952</v>
      </c>
      <c r="C208" t="s">
        <v>74</v>
      </c>
      <c r="D208" t="s">
        <v>74</v>
      </c>
      <c r="E208" t="s">
        <v>74</v>
      </c>
      <c r="F208" t="s">
        <v>3953</v>
      </c>
      <c r="G208" t="s">
        <v>74</v>
      </c>
      <c r="H208" t="s">
        <v>74</v>
      </c>
      <c r="I208" t="s">
        <v>3954</v>
      </c>
      <c r="J208" t="s">
        <v>3955</v>
      </c>
      <c r="K208" t="s">
        <v>74</v>
      </c>
      <c r="L208" t="s">
        <v>74</v>
      </c>
      <c r="M208" t="s">
        <v>863</v>
      </c>
      <c r="N208" t="s">
        <v>79</v>
      </c>
      <c r="O208" t="s">
        <v>74</v>
      </c>
      <c r="P208" t="s">
        <v>74</v>
      </c>
      <c r="Q208" t="s">
        <v>74</v>
      </c>
      <c r="R208" t="s">
        <v>74</v>
      </c>
      <c r="S208" t="s">
        <v>74</v>
      </c>
      <c r="T208" t="s">
        <v>3956</v>
      </c>
      <c r="U208" t="s">
        <v>3957</v>
      </c>
      <c r="V208" t="s">
        <v>3958</v>
      </c>
      <c r="W208" t="s">
        <v>3959</v>
      </c>
      <c r="X208" t="s">
        <v>3960</v>
      </c>
      <c r="Y208" t="s">
        <v>3961</v>
      </c>
      <c r="Z208" t="s">
        <v>3962</v>
      </c>
      <c r="AA208" t="s">
        <v>2182</v>
      </c>
      <c r="AB208" t="s">
        <v>3963</v>
      </c>
      <c r="AC208" t="s">
        <v>3964</v>
      </c>
      <c r="AD208" t="s">
        <v>3965</v>
      </c>
      <c r="AE208" t="s">
        <v>3966</v>
      </c>
      <c r="AF208" t="s">
        <v>74</v>
      </c>
      <c r="AG208">
        <v>191</v>
      </c>
      <c r="AH208">
        <v>11</v>
      </c>
      <c r="AI208">
        <v>13</v>
      </c>
      <c r="AJ208">
        <v>0</v>
      </c>
      <c r="AK208">
        <v>13</v>
      </c>
      <c r="AL208" t="s">
        <v>3967</v>
      </c>
      <c r="AM208" t="s">
        <v>3968</v>
      </c>
      <c r="AN208" t="s">
        <v>3969</v>
      </c>
      <c r="AO208" t="s">
        <v>3970</v>
      </c>
      <c r="AP208" t="s">
        <v>3971</v>
      </c>
      <c r="AQ208" t="s">
        <v>74</v>
      </c>
      <c r="AR208" t="s">
        <v>3955</v>
      </c>
      <c r="AS208" t="s">
        <v>3972</v>
      </c>
      <c r="AT208" t="s">
        <v>74</v>
      </c>
      <c r="AU208">
        <v>2019</v>
      </c>
      <c r="AV208" t="s">
        <v>74</v>
      </c>
      <c r="AW208">
        <v>1</v>
      </c>
      <c r="AX208" t="s">
        <v>74</v>
      </c>
      <c r="AY208" t="s">
        <v>74</v>
      </c>
      <c r="AZ208" t="s">
        <v>74</v>
      </c>
      <c r="BA208" t="s">
        <v>74</v>
      </c>
      <c r="BB208">
        <v>157</v>
      </c>
      <c r="BC208">
        <v>224</v>
      </c>
      <c r="BD208" t="s">
        <v>74</v>
      </c>
      <c r="BE208" t="s">
        <v>74</v>
      </c>
      <c r="BF208" t="s">
        <v>74</v>
      </c>
      <c r="BG208" t="s">
        <v>74</v>
      </c>
      <c r="BH208" t="s">
        <v>74</v>
      </c>
      <c r="BI208">
        <v>68</v>
      </c>
      <c r="BJ208" t="s">
        <v>3973</v>
      </c>
      <c r="BK208" t="s">
        <v>349</v>
      </c>
      <c r="BL208" t="s">
        <v>3973</v>
      </c>
      <c r="BM208" t="s">
        <v>3974</v>
      </c>
      <c r="BN208" t="s">
        <v>74</v>
      </c>
      <c r="BO208" t="s">
        <v>74</v>
      </c>
      <c r="BP208" t="s">
        <v>74</v>
      </c>
      <c r="BQ208" t="s">
        <v>74</v>
      </c>
      <c r="BR208" t="s">
        <v>104</v>
      </c>
      <c r="BS208" t="s">
        <v>3975</v>
      </c>
      <c r="BT208" t="str">
        <f>HYPERLINK("https%3A%2F%2Fwww.webofscience.com%2Fwos%2Fwoscc%2Ffull-record%2FWOS:000460577100009","View Full Record in Web of Science")</f>
        <v>View Full Record in Web of Science</v>
      </c>
    </row>
    <row r="209" spans="1:72" x14ac:dyDescent="0.15">
      <c r="A209" t="s">
        <v>72</v>
      </c>
      <c r="B209" t="s">
        <v>3976</v>
      </c>
      <c r="C209" t="s">
        <v>74</v>
      </c>
      <c r="D209" t="s">
        <v>74</v>
      </c>
      <c r="E209" t="s">
        <v>74</v>
      </c>
      <c r="F209" t="s">
        <v>3977</v>
      </c>
      <c r="G209" t="s">
        <v>74</v>
      </c>
      <c r="H209" t="s">
        <v>74</v>
      </c>
      <c r="I209" t="s">
        <v>3978</v>
      </c>
      <c r="J209" t="s">
        <v>3979</v>
      </c>
      <c r="K209" t="s">
        <v>74</v>
      </c>
      <c r="L209" t="s">
        <v>74</v>
      </c>
      <c r="M209" t="s">
        <v>78</v>
      </c>
      <c r="N209" t="s">
        <v>79</v>
      </c>
      <c r="O209" t="s">
        <v>74</v>
      </c>
      <c r="P209" t="s">
        <v>74</v>
      </c>
      <c r="Q209" t="s">
        <v>74</v>
      </c>
      <c r="R209" t="s">
        <v>74</v>
      </c>
      <c r="S209" t="s">
        <v>74</v>
      </c>
      <c r="T209" t="s">
        <v>3980</v>
      </c>
      <c r="U209" t="s">
        <v>3981</v>
      </c>
      <c r="V209" t="s">
        <v>3982</v>
      </c>
      <c r="W209" t="s">
        <v>3983</v>
      </c>
      <c r="X209" t="s">
        <v>3984</v>
      </c>
      <c r="Y209" t="s">
        <v>3985</v>
      </c>
      <c r="Z209" t="s">
        <v>3986</v>
      </c>
      <c r="AA209" t="s">
        <v>74</v>
      </c>
      <c r="AB209" t="s">
        <v>74</v>
      </c>
      <c r="AC209" t="s">
        <v>74</v>
      </c>
      <c r="AD209" t="s">
        <v>74</v>
      </c>
      <c r="AE209" t="s">
        <v>74</v>
      </c>
      <c r="AF209" t="s">
        <v>74</v>
      </c>
      <c r="AG209">
        <v>42</v>
      </c>
      <c r="AH209">
        <v>11</v>
      </c>
      <c r="AI209">
        <v>12</v>
      </c>
      <c r="AJ209">
        <v>0</v>
      </c>
      <c r="AK209">
        <v>0</v>
      </c>
      <c r="AL209" t="s">
        <v>1013</v>
      </c>
      <c r="AM209" t="s">
        <v>2869</v>
      </c>
      <c r="AN209" t="s">
        <v>3987</v>
      </c>
      <c r="AO209" t="s">
        <v>3988</v>
      </c>
      <c r="AP209" t="s">
        <v>74</v>
      </c>
      <c r="AQ209" t="s">
        <v>74</v>
      </c>
      <c r="AR209" t="s">
        <v>3989</v>
      </c>
      <c r="AS209" t="s">
        <v>3990</v>
      </c>
      <c r="AT209" t="s">
        <v>718</v>
      </c>
      <c r="AU209">
        <v>2019</v>
      </c>
      <c r="AV209">
        <v>10</v>
      </c>
      <c r="AW209">
        <v>1</v>
      </c>
      <c r="AX209" t="s">
        <v>74</v>
      </c>
      <c r="AY209" t="s">
        <v>74</v>
      </c>
      <c r="AZ209" t="s">
        <v>74</v>
      </c>
      <c r="BA209" t="s">
        <v>74</v>
      </c>
      <c r="BB209">
        <v>26</v>
      </c>
      <c r="BC209">
        <v>36</v>
      </c>
      <c r="BD209" t="s">
        <v>74</v>
      </c>
      <c r="BE209" t="s">
        <v>3991</v>
      </c>
      <c r="BF209" t="str">
        <f>HYPERLINK("http://dx.doi.org/10.1016/j.geog.2019.01.004","http://dx.doi.org/10.1016/j.geog.2019.01.004")</f>
        <v>http://dx.doi.org/10.1016/j.geog.2019.01.004</v>
      </c>
      <c r="BG209" t="s">
        <v>74</v>
      </c>
      <c r="BH209" t="s">
        <v>74</v>
      </c>
      <c r="BI209">
        <v>11</v>
      </c>
      <c r="BJ209" t="s">
        <v>746</v>
      </c>
      <c r="BK209" t="s">
        <v>349</v>
      </c>
      <c r="BL209" t="s">
        <v>746</v>
      </c>
      <c r="BM209" t="s">
        <v>3992</v>
      </c>
      <c r="BN209" t="s">
        <v>74</v>
      </c>
      <c r="BO209" t="s">
        <v>221</v>
      </c>
      <c r="BP209" t="s">
        <v>74</v>
      </c>
      <c r="BQ209" t="s">
        <v>74</v>
      </c>
      <c r="BR209" t="s">
        <v>104</v>
      </c>
      <c r="BS209" t="s">
        <v>3993</v>
      </c>
      <c r="BT209" t="str">
        <f>HYPERLINK("https%3A%2F%2Fwww.webofscience.com%2Fwos%2Fwoscc%2Ffull-record%2FWOS:000460312700004","View Full Record in Web of Science")</f>
        <v>View Full Record in Web of Science</v>
      </c>
    </row>
    <row r="210" spans="1:72" x14ac:dyDescent="0.15">
      <c r="A210" t="s">
        <v>72</v>
      </c>
      <c r="B210" t="s">
        <v>3994</v>
      </c>
      <c r="C210" t="s">
        <v>74</v>
      </c>
      <c r="D210" t="s">
        <v>74</v>
      </c>
      <c r="E210" t="s">
        <v>74</v>
      </c>
      <c r="F210" t="s">
        <v>3995</v>
      </c>
      <c r="G210" t="s">
        <v>74</v>
      </c>
      <c r="H210" t="s">
        <v>74</v>
      </c>
      <c r="I210" t="s">
        <v>3996</v>
      </c>
      <c r="J210" t="s">
        <v>3997</v>
      </c>
      <c r="K210" t="s">
        <v>74</v>
      </c>
      <c r="L210" t="s">
        <v>74</v>
      </c>
      <c r="M210" t="s">
        <v>78</v>
      </c>
      <c r="N210" t="s">
        <v>79</v>
      </c>
      <c r="O210" t="s">
        <v>74</v>
      </c>
      <c r="P210" t="s">
        <v>74</v>
      </c>
      <c r="Q210" t="s">
        <v>74</v>
      </c>
      <c r="R210" t="s">
        <v>74</v>
      </c>
      <c r="S210" t="s">
        <v>74</v>
      </c>
      <c r="T210" t="s">
        <v>3998</v>
      </c>
      <c r="U210" t="s">
        <v>3999</v>
      </c>
      <c r="V210" t="s">
        <v>4000</v>
      </c>
      <c r="W210" t="s">
        <v>4001</v>
      </c>
      <c r="X210" t="s">
        <v>4002</v>
      </c>
      <c r="Y210" t="s">
        <v>4003</v>
      </c>
      <c r="Z210" t="s">
        <v>4004</v>
      </c>
      <c r="AA210" t="s">
        <v>4005</v>
      </c>
      <c r="AB210" t="s">
        <v>4006</v>
      </c>
      <c r="AC210" t="s">
        <v>4007</v>
      </c>
      <c r="AD210" t="s">
        <v>4008</v>
      </c>
      <c r="AE210" t="s">
        <v>4009</v>
      </c>
      <c r="AF210" t="s">
        <v>74</v>
      </c>
      <c r="AG210">
        <v>85</v>
      </c>
      <c r="AH210">
        <v>10</v>
      </c>
      <c r="AI210">
        <v>11</v>
      </c>
      <c r="AJ210">
        <v>0</v>
      </c>
      <c r="AK210">
        <v>4</v>
      </c>
      <c r="AL210" t="s">
        <v>4010</v>
      </c>
      <c r="AM210" t="s">
        <v>4011</v>
      </c>
      <c r="AN210" t="s">
        <v>4012</v>
      </c>
      <c r="AO210" t="s">
        <v>74</v>
      </c>
      <c r="AP210" t="s">
        <v>4013</v>
      </c>
      <c r="AQ210" t="s">
        <v>74</v>
      </c>
      <c r="AR210" t="s">
        <v>3997</v>
      </c>
      <c r="AS210" t="s">
        <v>4014</v>
      </c>
      <c r="AT210" t="s">
        <v>718</v>
      </c>
      <c r="AU210">
        <v>2019</v>
      </c>
      <c r="AV210">
        <v>9</v>
      </c>
      <c r="AW210">
        <v>1</v>
      </c>
      <c r="AX210" t="s">
        <v>74</v>
      </c>
      <c r="AY210" t="s">
        <v>74</v>
      </c>
      <c r="AZ210" t="s">
        <v>74</v>
      </c>
      <c r="BA210" t="s">
        <v>74</v>
      </c>
      <c r="BB210" t="s">
        <v>74</v>
      </c>
      <c r="BC210" t="s">
        <v>74</v>
      </c>
      <c r="BD210">
        <v>28</v>
      </c>
      <c r="BE210" t="s">
        <v>4015</v>
      </c>
      <c r="BF210" t="str">
        <f>HYPERLINK("http://dx.doi.org/10.3390/geosciences9010028","http://dx.doi.org/10.3390/geosciences9010028")</f>
        <v>http://dx.doi.org/10.3390/geosciences9010028</v>
      </c>
      <c r="BG210" t="s">
        <v>74</v>
      </c>
      <c r="BH210" t="s">
        <v>74</v>
      </c>
      <c r="BI210">
        <v>15</v>
      </c>
      <c r="BJ210" t="s">
        <v>884</v>
      </c>
      <c r="BK210" t="s">
        <v>349</v>
      </c>
      <c r="BL210" t="s">
        <v>528</v>
      </c>
      <c r="BM210" t="s">
        <v>4016</v>
      </c>
      <c r="BN210" t="s">
        <v>74</v>
      </c>
      <c r="BO210" t="s">
        <v>4017</v>
      </c>
      <c r="BP210" t="s">
        <v>74</v>
      </c>
      <c r="BQ210" t="s">
        <v>74</v>
      </c>
      <c r="BR210" t="s">
        <v>104</v>
      </c>
      <c r="BS210" t="s">
        <v>4018</v>
      </c>
      <c r="BT210" t="str">
        <f>HYPERLINK("https%3A%2F%2Fwww.webofscience.com%2Fwos%2Fwoscc%2Ffull-record%2FWOS:000459746300028","View Full Record in Web of Science")</f>
        <v>View Full Record in Web of Science</v>
      </c>
    </row>
    <row r="211" spans="1:72" x14ac:dyDescent="0.15">
      <c r="A211" t="s">
        <v>72</v>
      </c>
      <c r="B211" t="s">
        <v>4019</v>
      </c>
      <c r="C211" t="s">
        <v>74</v>
      </c>
      <c r="D211" t="s">
        <v>74</v>
      </c>
      <c r="E211" t="s">
        <v>74</v>
      </c>
      <c r="F211" t="s">
        <v>4020</v>
      </c>
      <c r="G211" t="s">
        <v>74</v>
      </c>
      <c r="H211" t="s">
        <v>74</v>
      </c>
      <c r="I211" t="s">
        <v>4021</v>
      </c>
      <c r="J211" t="s">
        <v>4022</v>
      </c>
      <c r="K211" t="s">
        <v>74</v>
      </c>
      <c r="L211" t="s">
        <v>74</v>
      </c>
      <c r="M211" t="s">
        <v>78</v>
      </c>
      <c r="N211" t="s">
        <v>79</v>
      </c>
      <c r="O211" t="s">
        <v>74</v>
      </c>
      <c r="P211" t="s">
        <v>74</v>
      </c>
      <c r="Q211" t="s">
        <v>74</v>
      </c>
      <c r="R211" t="s">
        <v>74</v>
      </c>
      <c r="S211" t="s">
        <v>74</v>
      </c>
      <c r="T211" t="s">
        <v>74</v>
      </c>
      <c r="U211" t="s">
        <v>4023</v>
      </c>
      <c r="V211" t="s">
        <v>4024</v>
      </c>
      <c r="W211" t="s">
        <v>4025</v>
      </c>
      <c r="X211" t="s">
        <v>4026</v>
      </c>
      <c r="Y211" t="s">
        <v>4027</v>
      </c>
      <c r="Z211" t="s">
        <v>4028</v>
      </c>
      <c r="AA211" t="s">
        <v>4029</v>
      </c>
      <c r="AB211" t="s">
        <v>4030</v>
      </c>
      <c r="AC211" t="s">
        <v>4031</v>
      </c>
      <c r="AD211" t="s">
        <v>4032</v>
      </c>
      <c r="AE211" t="s">
        <v>4033</v>
      </c>
      <c r="AF211" t="s">
        <v>74</v>
      </c>
      <c r="AG211">
        <v>108</v>
      </c>
      <c r="AH211">
        <v>35</v>
      </c>
      <c r="AI211">
        <v>39</v>
      </c>
      <c r="AJ211">
        <v>2</v>
      </c>
      <c r="AK211">
        <v>32</v>
      </c>
      <c r="AL211" t="s">
        <v>4034</v>
      </c>
      <c r="AM211" t="s">
        <v>4035</v>
      </c>
      <c r="AN211" t="s">
        <v>4036</v>
      </c>
      <c r="AO211" t="s">
        <v>4037</v>
      </c>
      <c r="AP211" t="s">
        <v>4038</v>
      </c>
      <c r="AQ211" t="s">
        <v>74</v>
      </c>
      <c r="AR211" t="s">
        <v>4039</v>
      </c>
      <c r="AS211" t="s">
        <v>4040</v>
      </c>
      <c r="AT211" t="s">
        <v>718</v>
      </c>
      <c r="AU211">
        <v>2019</v>
      </c>
      <c r="AV211">
        <v>124</v>
      </c>
      <c r="AW211">
        <v>1</v>
      </c>
      <c r="AX211" t="s">
        <v>74</v>
      </c>
      <c r="AY211" t="s">
        <v>74</v>
      </c>
      <c r="AZ211" t="s">
        <v>74</v>
      </c>
      <c r="BA211" t="s">
        <v>74</v>
      </c>
      <c r="BB211">
        <v>44</v>
      </c>
      <c r="BC211">
        <v>64</v>
      </c>
      <c r="BD211" t="s">
        <v>74</v>
      </c>
      <c r="BE211" t="s">
        <v>4041</v>
      </c>
      <c r="BF211" t="str">
        <f>HYPERLINK("http://dx.doi.org/10.1029/2018JB016403","http://dx.doi.org/10.1029/2018JB016403")</f>
        <v>http://dx.doi.org/10.1029/2018JB016403</v>
      </c>
      <c r="BG211" t="s">
        <v>74</v>
      </c>
      <c r="BH211" t="s">
        <v>74</v>
      </c>
      <c r="BI211">
        <v>21</v>
      </c>
      <c r="BJ211" t="s">
        <v>746</v>
      </c>
      <c r="BK211" t="s">
        <v>101</v>
      </c>
      <c r="BL211" t="s">
        <v>746</v>
      </c>
      <c r="BM211" t="s">
        <v>4042</v>
      </c>
      <c r="BN211" t="s">
        <v>74</v>
      </c>
      <c r="BO211" t="s">
        <v>74</v>
      </c>
      <c r="BP211" t="s">
        <v>74</v>
      </c>
      <c r="BQ211" t="s">
        <v>74</v>
      </c>
      <c r="BR211" t="s">
        <v>104</v>
      </c>
      <c r="BS211" t="s">
        <v>4043</v>
      </c>
      <c r="BT211" t="str">
        <f>HYPERLINK("https%3A%2F%2Fwww.webofscience.com%2Fwos%2Fwoscc%2Ffull-record%2FWOS:000459758900003","View Full Record in Web of Science")</f>
        <v>View Full Record in Web of Science</v>
      </c>
    </row>
    <row r="212" spans="1:72" x14ac:dyDescent="0.15">
      <c r="A212" t="s">
        <v>72</v>
      </c>
      <c r="B212" t="s">
        <v>4044</v>
      </c>
      <c r="C212" t="s">
        <v>74</v>
      </c>
      <c r="D212" t="s">
        <v>74</v>
      </c>
      <c r="E212" t="s">
        <v>74</v>
      </c>
      <c r="F212" t="s">
        <v>4045</v>
      </c>
      <c r="G212" t="s">
        <v>74</v>
      </c>
      <c r="H212" t="s">
        <v>74</v>
      </c>
      <c r="I212" t="s">
        <v>4046</v>
      </c>
      <c r="J212" t="s">
        <v>3661</v>
      </c>
      <c r="K212" t="s">
        <v>74</v>
      </c>
      <c r="L212" t="s">
        <v>74</v>
      </c>
      <c r="M212" t="s">
        <v>78</v>
      </c>
      <c r="N212" t="s">
        <v>79</v>
      </c>
      <c r="O212" t="s">
        <v>74</v>
      </c>
      <c r="P212" t="s">
        <v>74</v>
      </c>
      <c r="Q212" t="s">
        <v>74</v>
      </c>
      <c r="R212" t="s">
        <v>74</v>
      </c>
      <c r="S212" t="s">
        <v>74</v>
      </c>
      <c r="T212" t="s">
        <v>4047</v>
      </c>
      <c r="U212" t="s">
        <v>4048</v>
      </c>
      <c r="V212" t="s">
        <v>4049</v>
      </c>
      <c r="W212" t="s">
        <v>4050</v>
      </c>
      <c r="X212" t="s">
        <v>4051</v>
      </c>
      <c r="Y212" t="s">
        <v>4052</v>
      </c>
      <c r="Z212" t="s">
        <v>4053</v>
      </c>
      <c r="AA212" t="s">
        <v>4054</v>
      </c>
      <c r="AB212" t="s">
        <v>4055</v>
      </c>
      <c r="AC212" t="s">
        <v>4056</v>
      </c>
      <c r="AD212" t="s">
        <v>2819</v>
      </c>
      <c r="AE212" t="s">
        <v>4057</v>
      </c>
      <c r="AF212" t="s">
        <v>74</v>
      </c>
      <c r="AG212">
        <v>16</v>
      </c>
      <c r="AH212">
        <v>4</v>
      </c>
      <c r="AI212">
        <v>4</v>
      </c>
      <c r="AJ212">
        <v>0</v>
      </c>
      <c r="AK212">
        <v>5</v>
      </c>
      <c r="AL212" t="s">
        <v>3670</v>
      </c>
      <c r="AM212" t="s">
        <v>3671</v>
      </c>
      <c r="AN212" t="s">
        <v>3672</v>
      </c>
      <c r="AO212" t="s">
        <v>3673</v>
      </c>
      <c r="AP212" t="s">
        <v>3674</v>
      </c>
      <c r="AQ212" t="s">
        <v>74</v>
      </c>
      <c r="AR212" t="s">
        <v>3675</v>
      </c>
      <c r="AS212" t="s">
        <v>3676</v>
      </c>
      <c r="AT212" t="s">
        <v>718</v>
      </c>
      <c r="AU212">
        <v>2019</v>
      </c>
      <c r="AV212">
        <v>145</v>
      </c>
      <c r="AW212">
        <v>718</v>
      </c>
      <c r="AX212" t="s">
        <v>4058</v>
      </c>
      <c r="AY212" t="s">
        <v>74</v>
      </c>
      <c r="AZ212" t="s">
        <v>74</v>
      </c>
      <c r="BA212" t="s">
        <v>74</v>
      </c>
      <c r="BB212">
        <v>164</v>
      </c>
      <c r="BC212">
        <v>178</v>
      </c>
      <c r="BD212" t="s">
        <v>74</v>
      </c>
      <c r="BE212" t="s">
        <v>4059</v>
      </c>
      <c r="BF212" t="str">
        <f>HYPERLINK("http://dx.doi.org/10.1002/qj.3416","http://dx.doi.org/10.1002/qj.3416")</f>
        <v>http://dx.doi.org/10.1002/qj.3416</v>
      </c>
      <c r="BG212" t="s">
        <v>74</v>
      </c>
      <c r="BH212" t="s">
        <v>74</v>
      </c>
      <c r="BI212">
        <v>15</v>
      </c>
      <c r="BJ212" t="s">
        <v>3037</v>
      </c>
      <c r="BK212" t="s">
        <v>101</v>
      </c>
      <c r="BL212" t="s">
        <v>3037</v>
      </c>
      <c r="BM212" t="s">
        <v>4060</v>
      </c>
      <c r="BN212" t="s">
        <v>74</v>
      </c>
      <c r="BO212" t="s">
        <v>2948</v>
      </c>
      <c r="BP212" t="s">
        <v>74</v>
      </c>
      <c r="BQ212" t="s">
        <v>74</v>
      </c>
      <c r="BR212" t="s">
        <v>104</v>
      </c>
      <c r="BS212" t="s">
        <v>4061</v>
      </c>
      <c r="BT212" t="str">
        <f>HYPERLINK("https%3A%2F%2Fwww.webofscience.com%2Fwos%2Fwoscc%2Ffull-record%2FWOS:000459863300012","View Full Record in Web of Science")</f>
        <v>View Full Record in Web of Science</v>
      </c>
    </row>
    <row r="213" spans="1:72" x14ac:dyDescent="0.15">
      <c r="A213" t="s">
        <v>72</v>
      </c>
      <c r="B213" t="s">
        <v>4062</v>
      </c>
      <c r="C213" t="s">
        <v>74</v>
      </c>
      <c r="D213" t="s">
        <v>74</v>
      </c>
      <c r="E213" t="s">
        <v>74</v>
      </c>
      <c r="F213" t="s">
        <v>4063</v>
      </c>
      <c r="G213" t="s">
        <v>74</v>
      </c>
      <c r="H213" t="s">
        <v>74</v>
      </c>
      <c r="I213" t="s">
        <v>4064</v>
      </c>
      <c r="J213" t="s">
        <v>4065</v>
      </c>
      <c r="K213" t="s">
        <v>74</v>
      </c>
      <c r="L213" t="s">
        <v>74</v>
      </c>
      <c r="M213" t="s">
        <v>78</v>
      </c>
      <c r="N213" t="s">
        <v>79</v>
      </c>
      <c r="O213" t="s">
        <v>74</v>
      </c>
      <c r="P213" t="s">
        <v>74</v>
      </c>
      <c r="Q213" t="s">
        <v>74</v>
      </c>
      <c r="R213" t="s">
        <v>74</v>
      </c>
      <c r="S213" t="s">
        <v>74</v>
      </c>
      <c r="T213" t="s">
        <v>4066</v>
      </c>
      <c r="U213" t="s">
        <v>4067</v>
      </c>
      <c r="V213" t="s">
        <v>4068</v>
      </c>
      <c r="W213" t="s">
        <v>4069</v>
      </c>
      <c r="X213" t="s">
        <v>4070</v>
      </c>
      <c r="Y213" t="s">
        <v>4071</v>
      </c>
      <c r="Z213" t="s">
        <v>4072</v>
      </c>
      <c r="AA213" t="s">
        <v>4073</v>
      </c>
      <c r="AB213" t="s">
        <v>4074</v>
      </c>
      <c r="AC213" t="s">
        <v>4075</v>
      </c>
      <c r="AD213" t="s">
        <v>4076</v>
      </c>
      <c r="AE213" t="s">
        <v>4077</v>
      </c>
      <c r="AF213" t="s">
        <v>74</v>
      </c>
      <c r="AG213">
        <v>32</v>
      </c>
      <c r="AH213">
        <v>11</v>
      </c>
      <c r="AI213">
        <v>12</v>
      </c>
      <c r="AJ213">
        <v>0</v>
      </c>
      <c r="AK213">
        <v>2</v>
      </c>
      <c r="AL213" t="s">
        <v>3670</v>
      </c>
      <c r="AM213" t="s">
        <v>3671</v>
      </c>
      <c r="AN213" t="s">
        <v>3672</v>
      </c>
      <c r="AO213" t="s">
        <v>4078</v>
      </c>
      <c r="AP213" t="s">
        <v>4079</v>
      </c>
      <c r="AQ213" t="s">
        <v>74</v>
      </c>
      <c r="AR213" t="s">
        <v>4080</v>
      </c>
      <c r="AS213" t="s">
        <v>4081</v>
      </c>
      <c r="AT213" t="s">
        <v>718</v>
      </c>
      <c r="AU213">
        <v>2019</v>
      </c>
      <c r="AV213">
        <v>39</v>
      </c>
      <c r="AW213">
        <v>1</v>
      </c>
      <c r="AX213" t="s">
        <v>74</v>
      </c>
      <c r="AY213" t="s">
        <v>74</v>
      </c>
      <c r="AZ213" t="s">
        <v>74</v>
      </c>
      <c r="BA213" t="s">
        <v>74</v>
      </c>
      <c r="BB213">
        <v>292</v>
      </c>
      <c r="BC213">
        <v>301</v>
      </c>
      <c r="BD213" t="s">
        <v>74</v>
      </c>
      <c r="BE213" t="s">
        <v>4082</v>
      </c>
      <c r="BF213" t="str">
        <f>HYPERLINK("http://dx.doi.org/10.1002/joc.5806","http://dx.doi.org/10.1002/joc.5806")</f>
        <v>http://dx.doi.org/10.1002/joc.5806</v>
      </c>
      <c r="BG213" t="s">
        <v>74</v>
      </c>
      <c r="BH213" t="s">
        <v>74</v>
      </c>
      <c r="BI213">
        <v>10</v>
      </c>
      <c r="BJ213" t="s">
        <v>3037</v>
      </c>
      <c r="BK213" t="s">
        <v>101</v>
      </c>
      <c r="BL213" t="s">
        <v>3037</v>
      </c>
      <c r="BM213" t="s">
        <v>4083</v>
      </c>
      <c r="BN213" t="s">
        <v>74</v>
      </c>
      <c r="BO213" t="s">
        <v>162</v>
      </c>
      <c r="BP213" t="s">
        <v>74</v>
      </c>
      <c r="BQ213" t="s">
        <v>74</v>
      </c>
      <c r="BR213" t="s">
        <v>104</v>
      </c>
      <c r="BS213" t="s">
        <v>4084</v>
      </c>
      <c r="BT213" t="str">
        <f>HYPERLINK("https%3A%2F%2Fwww.webofscience.com%2Fwos%2Fwoscc%2Ffull-record%2FWOS:000459638400022","View Full Record in Web of Science")</f>
        <v>View Full Record in Web of Science</v>
      </c>
    </row>
    <row r="214" spans="1:72" x14ac:dyDescent="0.15">
      <c r="A214" t="s">
        <v>72</v>
      </c>
      <c r="B214" t="s">
        <v>4085</v>
      </c>
      <c r="C214" t="s">
        <v>74</v>
      </c>
      <c r="D214" t="s">
        <v>74</v>
      </c>
      <c r="E214" t="s">
        <v>74</v>
      </c>
      <c r="F214" t="s">
        <v>4086</v>
      </c>
      <c r="G214" t="s">
        <v>74</v>
      </c>
      <c r="H214" t="s">
        <v>74</v>
      </c>
      <c r="I214" t="s">
        <v>4087</v>
      </c>
      <c r="J214" t="s">
        <v>4065</v>
      </c>
      <c r="K214" t="s">
        <v>74</v>
      </c>
      <c r="L214" t="s">
        <v>74</v>
      </c>
      <c r="M214" t="s">
        <v>78</v>
      </c>
      <c r="N214" t="s">
        <v>79</v>
      </c>
      <c r="O214" t="s">
        <v>74</v>
      </c>
      <c r="P214" t="s">
        <v>74</v>
      </c>
      <c r="Q214" t="s">
        <v>74</v>
      </c>
      <c r="R214" t="s">
        <v>74</v>
      </c>
      <c r="S214" t="s">
        <v>74</v>
      </c>
      <c r="T214" t="s">
        <v>4088</v>
      </c>
      <c r="U214" t="s">
        <v>4089</v>
      </c>
      <c r="V214" t="s">
        <v>4090</v>
      </c>
      <c r="W214" t="s">
        <v>4091</v>
      </c>
      <c r="X214" t="s">
        <v>4092</v>
      </c>
      <c r="Y214" t="s">
        <v>4093</v>
      </c>
      <c r="Z214" t="s">
        <v>4094</v>
      </c>
      <c r="AA214" t="s">
        <v>4095</v>
      </c>
      <c r="AB214" t="s">
        <v>4096</v>
      </c>
      <c r="AC214" t="s">
        <v>4097</v>
      </c>
      <c r="AD214" t="s">
        <v>4098</v>
      </c>
      <c r="AE214" t="s">
        <v>4099</v>
      </c>
      <c r="AF214" t="s">
        <v>74</v>
      </c>
      <c r="AG214">
        <v>44</v>
      </c>
      <c r="AH214">
        <v>5</v>
      </c>
      <c r="AI214">
        <v>7</v>
      </c>
      <c r="AJ214">
        <v>0</v>
      </c>
      <c r="AK214">
        <v>9</v>
      </c>
      <c r="AL214" t="s">
        <v>3670</v>
      </c>
      <c r="AM214" t="s">
        <v>3671</v>
      </c>
      <c r="AN214" t="s">
        <v>3672</v>
      </c>
      <c r="AO214" t="s">
        <v>4078</v>
      </c>
      <c r="AP214" t="s">
        <v>4079</v>
      </c>
      <c r="AQ214" t="s">
        <v>74</v>
      </c>
      <c r="AR214" t="s">
        <v>4080</v>
      </c>
      <c r="AS214" t="s">
        <v>4081</v>
      </c>
      <c r="AT214" t="s">
        <v>718</v>
      </c>
      <c r="AU214">
        <v>2019</v>
      </c>
      <c r="AV214">
        <v>39</v>
      </c>
      <c r="AW214">
        <v>1</v>
      </c>
      <c r="AX214" t="s">
        <v>74</v>
      </c>
      <c r="AY214" t="s">
        <v>74</v>
      </c>
      <c r="AZ214" t="s">
        <v>74</v>
      </c>
      <c r="BA214" t="s">
        <v>74</v>
      </c>
      <c r="BB214">
        <v>361</v>
      </c>
      <c r="BC214">
        <v>374</v>
      </c>
      <c r="BD214" t="s">
        <v>74</v>
      </c>
      <c r="BE214" t="s">
        <v>4100</v>
      </c>
      <c r="BF214" t="str">
        <f>HYPERLINK("http://dx.doi.org/10.1002/joc.5811","http://dx.doi.org/10.1002/joc.5811")</f>
        <v>http://dx.doi.org/10.1002/joc.5811</v>
      </c>
      <c r="BG214" t="s">
        <v>74</v>
      </c>
      <c r="BH214" t="s">
        <v>74</v>
      </c>
      <c r="BI214">
        <v>14</v>
      </c>
      <c r="BJ214" t="s">
        <v>3037</v>
      </c>
      <c r="BK214" t="s">
        <v>101</v>
      </c>
      <c r="BL214" t="s">
        <v>3037</v>
      </c>
      <c r="BM214" t="s">
        <v>4083</v>
      </c>
      <c r="BN214" t="s">
        <v>74</v>
      </c>
      <c r="BO214" t="s">
        <v>162</v>
      </c>
      <c r="BP214" t="s">
        <v>74</v>
      </c>
      <c r="BQ214" t="s">
        <v>74</v>
      </c>
      <c r="BR214" t="s">
        <v>104</v>
      </c>
      <c r="BS214" t="s">
        <v>4101</v>
      </c>
      <c r="BT214" t="str">
        <f>HYPERLINK("https%3A%2F%2Fwww.webofscience.com%2Fwos%2Fwoscc%2Ffull-record%2FWOS:000459638400027","View Full Record in Web of Science")</f>
        <v>View Full Record in Web of Science</v>
      </c>
    </row>
    <row r="215" spans="1:72" x14ac:dyDescent="0.15">
      <c r="A215" t="s">
        <v>72</v>
      </c>
      <c r="B215" t="s">
        <v>4102</v>
      </c>
      <c r="C215" t="s">
        <v>74</v>
      </c>
      <c r="D215" t="s">
        <v>74</v>
      </c>
      <c r="E215" t="s">
        <v>74</v>
      </c>
      <c r="F215" t="s">
        <v>4103</v>
      </c>
      <c r="G215" t="s">
        <v>74</v>
      </c>
      <c r="H215" t="s">
        <v>74</v>
      </c>
      <c r="I215" t="s">
        <v>4104</v>
      </c>
      <c r="J215" t="s">
        <v>4105</v>
      </c>
      <c r="K215" t="s">
        <v>74</v>
      </c>
      <c r="L215" t="s">
        <v>74</v>
      </c>
      <c r="M215" t="s">
        <v>78</v>
      </c>
      <c r="N215" t="s">
        <v>79</v>
      </c>
      <c r="O215" t="s">
        <v>74</v>
      </c>
      <c r="P215" t="s">
        <v>74</v>
      </c>
      <c r="Q215" t="s">
        <v>74</v>
      </c>
      <c r="R215" t="s">
        <v>74</v>
      </c>
      <c r="S215" t="s">
        <v>74</v>
      </c>
      <c r="T215" t="s">
        <v>4106</v>
      </c>
      <c r="U215" t="s">
        <v>4107</v>
      </c>
      <c r="V215" t="s">
        <v>4108</v>
      </c>
      <c r="W215" t="s">
        <v>4109</v>
      </c>
      <c r="X215" t="s">
        <v>4110</v>
      </c>
      <c r="Y215" t="s">
        <v>4111</v>
      </c>
      <c r="Z215" t="s">
        <v>4112</v>
      </c>
      <c r="AA215" t="s">
        <v>4113</v>
      </c>
      <c r="AB215" t="s">
        <v>4114</v>
      </c>
      <c r="AC215" t="s">
        <v>74</v>
      </c>
      <c r="AD215" t="s">
        <v>74</v>
      </c>
      <c r="AE215" t="s">
        <v>74</v>
      </c>
      <c r="AF215" t="s">
        <v>74</v>
      </c>
      <c r="AG215">
        <v>70</v>
      </c>
      <c r="AH215">
        <v>12</v>
      </c>
      <c r="AI215">
        <v>14</v>
      </c>
      <c r="AJ215">
        <v>3</v>
      </c>
      <c r="AK215">
        <v>6</v>
      </c>
      <c r="AL215" t="s">
        <v>210</v>
      </c>
      <c r="AM215" t="s">
        <v>211</v>
      </c>
      <c r="AN215" t="s">
        <v>212</v>
      </c>
      <c r="AO215" t="s">
        <v>74</v>
      </c>
      <c r="AP215" t="s">
        <v>4115</v>
      </c>
      <c r="AQ215" t="s">
        <v>74</v>
      </c>
      <c r="AR215" t="s">
        <v>4116</v>
      </c>
      <c r="AS215" t="s">
        <v>4117</v>
      </c>
      <c r="AT215" t="s">
        <v>3269</v>
      </c>
      <c r="AU215">
        <v>2019</v>
      </c>
      <c r="AV215">
        <v>11</v>
      </c>
      <c r="AW215">
        <v>1</v>
      </c>
      <c r="AX215" t="s">
        <v>74</v>
      </c>
      <c r="AY215" t="s">
        <v>74</v>
      </c>
      <c r="AZ215" t="s">
        <v>74</v>
      </c>
      <c r="BA215" t="s">
        <v>74</v>
      </c>
      <c r="BB215" t="s">
        <v>74</v>
      </c>
      <c r="BC215" t="s">
        <v>74</v>
      </c>
      <c r="BD215">
        <v>1581513</v>
      </c>
      <c r="BE215" t="s">
        <v>4118</v>
      </c>
      <c r="BF215" t="str">
        <f>HYPERLINK("http://dx.doi.org/10.1080/20002297.2019.1581513","http://dx.doi.org/10.1080/20002297.2019.1581513")</f>
        <v>http://dx.doi.org/10.1080/20002297.2019.1581513</v>
      </c>
      <c r="BG215" t="s">
        <v>74</v>
      </c>
      <c r="BH215" t="s">
        <v>74</v>
      </c>
      <c r="BI215">
        <v>15</v>
      </c>
      <c r="BJ215" t="s">
        <v>4119</v>
      </c>
      <c r="BK215" t="s">
        <v>3493</v>
      </c>
      <c r="BL215" t="s">
        <v>4119</v>
      </c>
      <c r="BM215" t="s">
        <v>4120</v>
      </c>
      <c r="BN215">
        <v>30834068</v>
      </c>
      <c r="BO215" t="s">
        <v>221</v>
      </c>
      <c r="BP215" t="s">
        <v>74</v>
      </c>
      <c r="BQ215" t="s">
        <v>74</v>
      </c>
      <c r="BR215" t="s">
        <v>104</v>
      </c>
      <c r="BS215" t="s">
        <v>4121</v>
      </c>
      <c r="BT215" t="str">
        <f>HYPERLINK("https%3A%2F%2Fwww.webofscience.com%2Fwos%2Fwoscc%2Ffull-record%2FWOS:000459787600001","View Full Record in Web of Science")</f>
        <v>View Full Record in Web of Science</v>
      </c>
    </row>
    <row r="216" spans="1:72" x14ac:dyDescent="0.15">
      <c r="A216" t="s">
        <v>72</v>
      </c>
      <c r="B216" t="s">
        <v>4122</v>
      </c>
      <c r="C216" t="s">
        <v>74</v>
      </c>
      <c r="D216" t="s">
        <v>74</v>
      </c>
      <c r="E216" t="s">
        <v>74</v>
      </c>
      <c r="F216" t="s">
        <v>4123</v>
      </c>
      <c r="G216" t="s">
        <v>74</v>
      </c>
      <c r="H216" t="s">
        <v>74</v>
      </c>
      <c r="I216" t="s">
        <v>4124</v>
      </c>
      <c r="J216" t="s">
        <v>4125</v>
      </c>
      <c r="K216" t="s">
        <v>74</v>
      </c>
      <c r="L216" t="s">
        <v>74</v>
      </c>
      <c r="M216" t="s">
        <v>78</v>
      </c>
      <c r="N216" t="s">
        <v>79</v>
      </c>
      <c r="O216" t="s">
        <v>74</v>
      </c>
      <c r="P216" t="s">
        <v>74</v>
      </c>
      <c r="Q216" t="s">
        <v>74</v>
      </c>
      <c r="R216" t="s">
        <v>74</v>
      </c>
      <c r="S216" t="s">
        <v>74</v>
      </c>
      <c r="T216" t="s">
        <v>74</v>
      </c>
      <c r="U216" t="s">
        <v>4126</v>
      </c>
      <c r="V216" t="s">
        <v>74</v>
      </c>
      <c r="W216" t="s">
        <v>4127</v>
      </c>
      <c r="X216" t="s">
        <v>4128</v>
      </c>
      <c r="Y216" t="s">
        <v>4129</v>
      </c>
      <c r="Z216" t="s">
        <v>4130</v>
      </c>
      <c r="AA216" t="s">
        <v>4131</v>
      </c>
      <c r="AB216" t="s">
        <v>4132</v>
      </c>
      <c r="AC216" t="s">
        <v>4133</v>
      </c>
      <c r="AD216" t="s">
        <v>4134</v>
      </c>
      <c r="AE216" t="s">
        <v>4135</v>
      </c>
      <c r="AF216" t="s">
        <v>74</v>
      </c>
      <c r="AG216">
        <v>23</v>
      </c>
      <c r="AH216">
        <v>50</v>
      </c>
      <c r="AI216">
        <v>55</v>
      </c>
      <c r="AJ216">
        <v>4</v>
      </c>
      <c r="AK216">
        <v>22</v>
      </c>
      <c r="AL216" t="s">
        <v>4136</v>
      </c>
      <c r="AM216" t="s">
        <v>4137</v>
      </c>
      <c r="AN216" t="s">
        <v>4138</v>
      </c>
      <c r="AO216" t="s">
        <v>4139</v>
      </c>
      <c r="AP216" t="s">
        <v>4140</v>
      </c>
      <c r="AQ216" t="s">
        <v>74</v>
      </c>
      <c r="AR216" t="s">
        <v>4141</v>
      </c>
      <c r="AS216" t="s">
        <v>4142</v>
      </c>
      <c r="AT216" t="s">
        <v>718</v>
      </c>
      <c r="AU216">
        <v>2019</v>
      </c>
      <c r="AV216">
        <v>100</v>
      </c>
      <c r="AW216">
        <v>1</v>
      </c>
      <c r="AX216" t="s">
        <v>74</v>
      </c>
      <c r="AY216" t="s">
        <v>74</v>
      </c>
      <c r="AZ216" t="s">
        <v>74</v>
      </c>
      <c r="BA216" t="s">
        <v>74</v>
      </c>
      <c r="BB216" t="s">
        <v>4143</v>
      </c>
      <c r="BC216" t="s">
        <v>4144</v>
      </c>
      <c r="BD216" t="s">
        <v>74</v>
      </c>
      <c r="BE216" t="s">
        <v>4145</v>
      </c>
      <c r="BF216" t="str">
        <f>HYPERLINK("http://dx.doi.org/10.1175/BAMS-D-18-0116.1","http://dx.doi.org/10.1175/BAMS-D-18-0116.1")</f>
        <v>http://dx.doi.org/10.1175/BAMS-D-18-0116.1</v>
      </c>
      <c r="BG216" t="s">
        <v>74</v>
      </c>
      <c r="BH216" t="s">
        <v>74</v>
      </c>
      <c r="BI216">
        <v>6</v>
      </c>
      <c r="BJ216" t="s">
        <v>3037</v>
      </c>
      <c r="BK216" t="s">
        <v>101</v>
      </c>
      <c r="BL216" t="s">
        <v>3037</v>
      </c>
      <c r="BM216" t="s">
        <v>4146</v>
      </c>
      <c r="BN216" t="s">
        <v>74</v>
      </c>
      <c r="BO216" t="s">
        <v>4147</v>
      </c>
      <c r="BP216" t="s">
        <v>74</v>
      </c>
      <c r="BQ216" t="s">
        <v>74</v>
      </c>
      <c r="BR216" t="s">
        <v>104</v>
      </c>
      <c r="BS216" t="s">
        <v>4148</v>
      </c>
      <c r="BT216" t="str">
        <f>HYPERLINK("https%3A%2F%2Fwww.webofscience.com%2Fwos%2Fwoscc%2Ffull-record%2FWOS:000459763500025","View Full Record in Web of Science")</f>
        <v>View Full Record in Web of Science</v>
      </c>
    </row>
    <row r="217" spans="1:72" x14ac:dyDescent="0.15">
      <c r="A217" t="s">
        <v>133</v>
      </c>
      <c r="B217" t="s">
        <v>4149</v>
      </c>
      <c r="C217" t="s">
        <v>4150</v>
      </c>
      <c r="D217" t="s">
        <v>74</v>
      </c>
      <c r="E217" t="s">
        <v>74</v>
      </c>
      <c r="F217" t="s">
        <v>4151</v>
      </c>
      <c r="G217" t="s">
        <v>4150</v>
      </c>
      <c r="H217" t="s">
        <v>74</v>
      </c>
      <c r="I217" t="s">
        <v>4152</v>
      </c>
      <c r="J217" t="s">
        <v>4153</v>
      </c>
      <c r="K217" t="s">
        <v>4154</v>
      </c>
      <c r="L217" t="s">
        <v>74</v>
      </c>
      <c r="M217" t="s">
        <v>78</v>
      </c>
      <c r="N217" t="s">
        <v>140</v>
      </c>
      <c r="O217" t="s">
        <v>74</v>
      </c>
      <c r="P217" t="s">
        <v>74</v>
      </c>
      <c r="Q217" t="s">
        <v>74</v>
      </c>
      <c r="R217" t="s">
        <v>74</v>
      </c>
      <c r="S217" t="s">
        <v>74</v>
      </c>
      <c r="T217" t="s">
        <v>74</v>
      </c>
      <c r="U217" t="s">
        <v>74</v>
      </c>
      <c r="V217" t="s">
        <v>4155</v>
      </c>
      <c r="W217" t="s">
        <v>4156</v>
      </c>
      <c r="X217" t="s">
        <v>4157</v>
      </c>
      <c r="Y217" t="s">
        <v>4158</v>
      </c>
      <c r="Z217" t="s">
        <v>74</v>
      </c>
      <c r="AA217" t="s">
        <v>74</v>
      </c>
      <c r="AB217" t="s">
        <v>74</v>
      </c>
      <c r="AC217" t="s">
        <v>74</v>
      </c>
      <c r="AD217" t="s">
        <v>74</v>
      </c>
      <c r="AE217" t="s">
        <v>74</v>
      </c>
      <c r="AF217" t="s">
        <v>74</v>
      </c>
      <c r="AG217">
        <v>14</v>
      </c>
      <c r="AH217">
        <v>0</v>
      </c>
      <c r="AI217">
        <v>0</v>
      </c>
      <c r="AJ217">
        <v>0</v>
      </c>
      <c r="AK217">
        <v>2</v>
      </c>
      <c r="AL217" t="s">
        <v>1203</v>
      </c>
      <c r="AM217" t="s">
        <v>1204</v>
      </c>
      <c r="AN217" t="s">
        <v>1205</v>
      </c>
      <c r="AO217" t="s">
        <v>4159</v>
      </c>
      <c r="AP217" t="s">
        <v>4160</v>
      </c>
      <c r="AQ217" t="s">
        <v>4161</v>
      </c>
      <c r="AR217" t="s">
        <v>4162</v>
      </c>
      <c r="AS217" t="s">
        <v>74</v>
      </c>
      <c r="AT217" t="s">
        <v>74</v>
      </c>
      <c r="AU217">
        <v>2019</v>
      </c>
      <c r="AV217">
        <v>28</v>
      </c>
      <c r="AW217" t="s">
        <v>74</v>
      </c>
      <c r="AX217" t="s">
        <v>74</v>
      </c>
      <c r="AY217" t="s">
        <v>74</v>
      </c>
      <c r="AZ217" t="s">
        <v>74</v>
      </c>
      <c r="BA217" t="s">
        <v>74</v>
      </c>
      <c r="BB217">
        <v>429</v>
      </c>
      <c r="BC217">
        <v>434</v>
      </c>
      <c r="BD217" t="s">
        <v>74</v>
      </c>
      <c r="BE217" t="s">
        <v>4163</v>
      </c>
      <c r="BF217" t="str">
        <f>HYPERLINK("http://dx.doi.org/10.1007/978-94-024-1528-5_63","http://dx.doi.org/10.1007/978-94-024-1528-5_63")</f>
        <v>http://dx.doi.org/10.1007/978-94-024-1528-5_63</v>
      </c>
      <c r="BG217" t="s">
        <v>4164</v>
      </c>
      <c r="BH217" t="s">
        <v>74</v>
      </c>
      <c r="BI217">
        <v>6</v>
      </c>
      <c r="BJ217" t="s">
        <v>4165</v>
      </c>
      <c r="BK217" t="s">
        <v>401</v>
      </c>
      <c r="BL217" t="s">
        <v>4166</v>
      </c>
      <c r="BM217" t="s">
        <v>4167</v>
      </c>
      <c r="BN217" t="s">
        <v>74</v>
      </c>
      <c r="BO217" t="s">
        <v>74</v>
      </c>
      <c r="BP217" t="s">
        <v>74</v>
      </c>
      <c r="BQ217" t="s">
        <v>74</v>
      </c>
      <c r="BR217" t="s">
        <v>104</v>
      </c>
      <c r="BS217" t="s">
        <v>4168</v>
      </c>
      <c r="BT217" t="str">
        <f>HYPERLINK("https%3A%2F%2Fwww.webofscience.com%2Fwos%2Fwoscc%2Ffull-record%2FWOS:000456549800064","View Full Record in Web of Science")</f>
        <v>View Full Record in Web of Science</v>
      </c>
    </row>
    <row r="218" spans="1:72" x14ac:dyDescent="0.15">
      <c r="A218" t="s">
        <v>133</v>
      </c>
      <c r="B218" t="s">
        <v>4149</v>
      </c>
      <c r="C218" t="s">
        <v>4150</v>
      </c>
      <c r="D218" t="s">
        <v>74</v>
      </c>
      <c r="E218" t="s">
        <v>74</v>
      </c>
      <c r="F218" t="s">
        <v>4151</v>
      </c>
      <c r="G218" t="s">
        <v>4150</v>
      </c>
      <c r="H218" t="s">
        <v>74</v>
      </c>
      <c r="I218" t="s">
        <v>4169</v>
      </c>
      <c r="J218" t="s">
        <v>4153</v>
      </c>
      <c r="K218" t="s">
        <v>4154</v>
      </c>
      <c r="L218" t="s">
        <v>74</v>
      </c>
      <c r="M218" t="s">
        <v>78</v>
      </c>
      <c r="N218" t="s">
        <v>140</v>
      </c>
      <c r="O218" t="s">
        <v>74</v>
      </c>
      <c r="P218" t="s">
        <v>74</v>
      </c>
      <c r="Q218" t="s">
        <v>74</v>
      </c>
      <c r="R218" t="s">
        <v>74</v>
      </c>
      <c r="S218" t="s">
        <v>74</v>
      </c>
      <c r="T218" t="s">
        <v>74</v>
      </c>
      <c r="U218" t="s">
        <v>4170</v>
      </c>
      <c r="V218" t="s">
        <v>4171</v>
      </c>
      <c r="W218" t="s">
        <v>4156</v>
      </c>
      <c r="X218" t="s">
        <v>4157</v>
      </c>
      <c r="Y218" t="s">
        <v>4158</v>
      </c>
      <c r="Z218" t="s">
        <v>74</v>
      </c>
      <c r="AA218" t="s">
        <v>74</v>
      </c>
      <c r="AB218" t="s">
        <v>74</v>
      </c>
      <c r="AC218" t="s">
        <v>74</v>
      </c>
      <c r="AD218" t="s">
        <v>74</v>
      </c>
      <c r="AE218" t="s">
        <v>74</v>
      </c>
      <c r="AF218" t="s">
        <v>74</v>
      </c>
      <c r="AG218">
        <v>19</v>
      </c>
      <c r="AH218">
        <v>0</v>
      </c>
      <c r="AI218">
        <v>0</v>
      </c>
      <c r="AJ218">
        <v>0</v>
      </c>
      <c r="AK218">
        <v>1</v>
      </c>
      <c r="AL218" t="s">
        <v>1203</v>
      </c>
      <c r="AM218" t="s">
        <v>1204</v>
      </c>
      <c r="AN218" t="s">
        <v>1205</v>
      </c>
      <c r="AO218" t="s">
        <v>4159</v>
      </c>
      <c r="AP218" t="s">
        <v>4160</v>
      </c>
      <c r="AQ218" t="s">
        <v>4161</v>
      </c>
      <c r="AR218" t="s">
        <v>4162</v>
      </c>
      <c r="AS218" t="s">
        <v>74</v>
      </c>
      <c r="AT218" t="s">
        <v>74</v>
      </c>
      <c r="AU218">
        <v>2019</v>
      </c>
      <c r="AV218">
        <v>28</v>
      </c>
      <c r="AW218" t="s">
        <v>74</v>
      </c>
      <c r="AX218" t="s">
        <v>74</v>
      </c>
      <c r="AY218" t="s">
        <v>74</v>
      </c>
      <c r="AZ218" t="s">
        <v>74</v>
      </c>
      <c r="BA218" t="s">
        <v>74</v>
      </c>
      <c r="BB218">
        <v>435</v>
      </c>
      <c r="BC218">
        <v>441</v>
      </c>
      <c r="BD218" t="s">
        <v>74</v>
      </c>
      <c r="BE218" t="s">
        <v>4172</v>
      </c>
      <c r="BF218" t="str">
        <f>HYPERLINK("http://dx.doi.org/10.1007/978-94-024-1528-5_64","http://dx.doi.org/10.1007/978-94-024-1528-5_64")</f>
        <v>http://dx.doi.org/10.1007/978-94-024-1528-5_64</v>
      </c>
      <c r="BG218" t="s">
        <v>4164</v>
      </c>
      <c r="BH218" t="s">
        <v>74</v>
      </c>
      <c r="BI218">
        <v>7</v>
      </c>
      <c r="BJ218" t="s">
        <v>4165</v>
      </c>
      <c r="BK218" t="s">
        <v>401</v>
      </c>
      <c r="BL218" t="s">
        <v>4166</v>
      </c>
      <c r="BM218" t="s">
        <v>4167</v>
      </c>
      <c r="BN218" t="s">
        <v>74</v>
      </c>
      <c r="BO218" t="s">
        <v>74</v>
      </c>
      <c r="BP218" t="s">
        <v>74</v>
      </c>
      <c r="BQ218" t="s">
        <v>74</v>
      </c>
      <c r="BR218" t="s">
        <v>104</v>
      </c>
      <c r="BS218" t="s">
        <v>4173</v>
      </c>
      <c r="BT218" t="str">
        <f>HYPERLINK("https%3A%2F%2Fwww.webofscience.com%2Fwos%2Fwoscc%2Ffull-record%2FWOS:000456549800065","View Full Record in Web of Science")</f>
        <v>View Full Record in Web of Science</v>
      </c>
    </row>
    <row r="219" spans="1:72" x14ac:dyDescent="0.15">
      <c r="A219" t="s">
        <v>72</v>
      </c>
      <c r="B219" t="s">
        <v>4174</v>
      </c>
      <c r="C219" t="s">
        <v>74</v>
      </c>
      <c r="D219" t="s">
        <v>74</v>
      </c>
      <c r="E219" t="s">
        <v>74</v>
      </c>
      <c r="F219" t="s">
        <v>4175</v>
      </c>
      <c r="G219" t="s">
        <v>74</v>
      </c>
      <c r="H219" t="s">
        <v>74</v>
      </c>
      <c r="I219" t="s">
        <v>4176</v>
      </c>
      <c r="J219" t="s">
        <v>4177</v>
      </c>
      <c r="K219" t="s">
        <v>74</v>
      </c>
      <c r="L219" t="s">
        <v>74</v>
      </c>
      <c r="M219" t="s">
        <v>78</v>
      </c>
      <c r="N219" t="s">
        <v>79</v>
      </c>
      <c r="O219" t="s">
        <v>74</v>
      </c>
      <c r="P219" t="s">
        <v>74</v>
      </c>
      <c r="Q219" t="s">
        <v>74</v>
      </c>
      <c r="R219" t="s">
        <v>74</v>
      </c>
      <c r="S219" t="s">
        <v>74</v>
      </c>
      <c r="T219" t="s">
        <v>4178</v>
      </c>
      <c r="U219" t="s">
        <v>4179</v>
      </c>
      <c r="V219" t="s">
        <v>4180</v>
      </c>
      <c r="W219" t="s">
        <v>4181</v>
      </c>
      <c r="X219" t="s">
        <v>4182</v>
      </c>
      <c r="Y219" t="s">
        <v>4183</v>
      </c>
      <c r="Z219" t="s">
        <v>4184</v>
      </c>
      <c r="AA219" t="s">
        <v>4185</v>
      </c>
      <c r="AB219" t="s">
        <v>4186</v>
      </c>
      <c r="AC219" t="s">
        <v>4187</v>
      </c>
      <c r="AD219" t="s">
        <v>4188</v>
      </c>
      <c r="AE219" t="s">
        <v>4189</v>
      </c>
      <c r="AF219" t="s">
        <v>74</v>
      </c>
      <c r="AG219">
        <v>76</v>
      </c>
      <c r="AH219">
        <v>24</v>
      </c>
      <c r="AI219">
        <v>28</v>
      </c>
      <c r="AJ219">
        <v>5</v>
      </c>
      <c r="AK219">
        <v>12</v>
      </c>
      <c r="AL219" t="s">
        <v>4010</v>
      </c>
      <c r="AM219" t="s">
        <v>4011</v>
      </c>
      <c r="AN219" t="s">
        <v>4012</v>
      </c>
      <c r="AO219" t="s">
        <v>74</v>
      </c>
      <c r="AP219" t="s">
        <v>4190</v>
      </c>
      <c r="AQ219" t="s">
        <v>74</v>
      </c>
      <c r="AR219" t="s">
        <v>4191</v>
      </c>
      <c r="AS219" t="s">
        <v>4192</v>
      </c>
      <c r="AT219" t="s">
        <v>3269</v>
      </c>
      <c r="AU219">
        <v>2019</v>
      </c>
      <c r="AV219">
        <v>20</v>
      </c>
      <c r="AW219">
        <v>1</v>
      </c>
      <c r="AX219" t="s">
        <v>74</v>
      </c>
      <c r="AY219" t="s">
        <v>74</v>
      </c>
      <c r="AZ219" t="s">
        <v>74</v>
      </c>
      <c r="BA219" t="s">
        <v>74</v>
      </c>
      <c r="BB219" t="s">
        <v>74</v>
      </c>
      <c r="BC219" t="s">
        <v>74</v>
      </c>
      <c r="BD219">
        <v>152</v>
      </c>
      <c r="BE219" t="s">
        <v>4193</v>
      </c>
      <c r="BF219" t="str">
        <f>HYPERLINK("http://dx.doi.org/10.3390/ijms20010152","http://dx.doi.org/10.3390/ijms20010152")</f>
        <v>http://dx.doi.org/10.3390/ijms20010152</v>
      </c>
      <c r="BG219" t="s">
        <v>74</v>
      </c>
      <c r="BH219" t="s">
        <v>74</v>
      </c>
      <c r="BI219">
        <v>17</v>
      </c>
      <c r="BJ219" t="s">
        <v>4194</v>
      </c>
      <c r="BK219" t="s">
        <v>101</v>
      </c>
      <c r="BL219" t="s">
        <v>4195</v>
      </c>
      <c r="BM219" t="s">
        <v>4196</v>
      </c>
      <c r="BN219">
        <v>30609821</v>
      </c>
      <c r="BO219" t="s">
        <v>285</v>
      </c>
      <c r="BP219" t="s">
        <v>74</v>
      </c>
      <c r="BQ219" t="s">
        <v>74</v>
      </c>
      <c r="BR219" t="s">
        <v>104</v>
      </c>
      <c r="BS219" t="s">
        <v>4197</v>
      </c>
      <c r="BT219" t="str">
        <f>HYPERLINK("https%3A%2F%2Fwww.webofscience.com%2Fwos%2Fwoscc%2Ffull-record%2FWOS:000459747700152","View Full Record in Web of Science")</f>
        <v>View Full Record in Web of Science</v>
      </c>
    </row>
    <row r="220" spans="1:72" x14ac:dyDescent="0.15">
      <c r="A220" t="s">
        <v>72</v>
      </c>
      <c r="B220" t="s">
        <v>4198</v>
      </c>
      <c r="C220" t="s">
        <v>74</v>
      </c>
      <c r="D220" t="s">
        <v>74</v>
      </c>
      <c r="E220" t="s">
        <v>74</v>
      </c>
      <c r="F220" t="s">
        <v>4199</v>
      </c>
      <c r="G220" t="s">
        <v>74</v>
      </c>
      <c r="H220" t="s">
        <v>74</v>
      </c>
      <c r="I220" t="s">
        <v>4200</v>
      </c>
      <c r="J220" t="s">
        <v>4201</v>
      </c>
      <c r="K220" t="s">
        <v>74</v>
      </c>
      <c r="L220" t="s">
        <v>74</v>
      </c>
      <c r="M220" t="s">
        <v>78</v>
      </c>
      <c r="N220" t="s">
        <v>79</v>
      </c>
      <c r="O220" t="s">
        <v>74</v>
      </c>
      <c r="P220" t="s">
        <v>74</v>
      </c>
      <c r="Q220" t="s">
        <v>74</v>
      </c>
      <c r="R220" t="s">
        <v>74</v>
      </c>
      <c r="S220" t="s">
        <v>74</v>
      </c>
      <c r="T220" t="s">
        <v>4202</v>
      </c>
      <c r="U220" t="s">
        <v>4203</v>
      </c>
      <c r="V220" t="s">
        <v>4204</v>
      </c>
      <c r="W220" t="s">
        <v>4205</v>
      </c>
      <c r="X220" t="s">
        <v>4206</v>
      </c>
      <c r="Y220" t="s">
        <v>4207</v>
      </c>
      <c r="Z220" t="s">
        <v>4208</v>
      </c>
      <c r="AA220" t="s">
        <v>4209</v>
      </c>
      <c r="AB220" t="s">
        <v>4210</v>
      </c>
      <c r="AC220" t="s">
        <v>4211</v>
      </c>
      <c r="AD220" t="s">
        <v>4212</v>
      </c>
      <c r="AE220" t="s">
        <v>4213</v>
      </c>
      <c r="AF220" t="s">
        <v>74</v>
      </c>
      <c r="AG220">
        <v>43</v>
      </c>
      <c r="AH220">
        <v>28</v>
      </c>
      <c r="AI220">
        <v>32</v>
      </c>
      <c r="AJ220">
        <v>1</v>
      </c>
      <c r="AK220">
        <v>4</v>
      </c>
      <c r="AL220" t="s">
        <v>3670</v>
      </c>
      <c r="AM220" t="s">
        <v>3671</v>
      </c>
      <c r="AN220" t="s">
        <v>3672</v>
      </c>
      <c r="AO220" t="s">
        <v>4214</v>
      </c>
      <c r="AP220" t="s">
        <v>4215</v>
      </c>
      <c r="AQ220" t="s">
        <v>74</v>
      </c>
      <c r="AR220" t="s">
        <v>4201</v>
      </c>
      <c r="AS220" t="s">
        <v>4216</v>
      </c>
      <c r="AT220" t="s">
        <v>718</v>
      </c>
      <c r="AU220">
        <v>2019</v>
      </c>
      <c r="AV220">
        <v>74</v>
      </c>
      <c r="AW220">
        <v>1</v>
      </c>
      <c r="AX220" t="s">
        <v>74</v>
      </c>
      <c r="AY220" t="s">
        <v>74</v>
      </c>
      <c r="AZ220" t="s">
        <v>74</v>
      </c>
      <c r="BA220" t="s">
        <v>74</v>
      </c>
      <c r="BB220">
        <v>64</v>
      </c>
      <c r="BC220">
        <v>77</v>
      </c>
      <c r="BD220" t="s">
        <v>74</v>
      </c>
      <c r="BE220" t="s">
        <v>4217</v>
      </c>
      <c r="BF220" t="str">
        <f>HYPERLINK("http://dx.doi.org/10.1111/all.13545","http://dx.doi.org/10.1111/all.13545")</f>
        <v>http://dx.doi.org/10.1111/all.13545</v>
      </c>
      <c r="BG220" t="s">
        <v>74</v>
      </c>
      <c r="BH220" t="s">
        <v>74</v>
      </c>
      <c r="BI220">
        <v>14</v>
      </c>
      <c r="BJ220" t="s">
        <v>4218</v>
      </c>
      <c r="BK220" t="s">
        <v>101</v>
      </c>
      <c r="BL220" t="s">
        <v>4218</v>
      </c>
      <c r="BM220" t="s">
        <v>4219</v>
      </c>
      <c r="BN220">
        <v>29978486</v>
      </c>
      <c r="BO220" t="s">
        <v>74</v>
      </c>
      <c r="BP220" t="s">
        <v>74</v>
      </c>
      <c r="BQ220" t="s">
        <v>74</v>
      </c>
      <c r="BR220" t="s">
        <v>104</v>
      </c>
      <c r="BS220" t="s">
        <v>4220</v>
      </c>
      <c r="BT220" t="str">
        <f>HYPERLINK("https%3A%2F%2Fwww.webofscience.com%2Fwos%2Fwoscc%2Ffull-record%2FWOS:000459664100007","View Full Record in Web of Science")</f>
        <v>View Full Record in Web of Science</v>
      </c>
    </row>
    <row r="221" spans="1:72" x14ac:dyDescent="0.15">
      <c r="A221" t="s">
        <v>72</v>
      </c>
      <c r="B221" t="s">
        <v>4221</v>
      </c>
      <c r="C221" t="s">
        <v>74</v>
      </c>
      <c r="D221" t="s">
        <v>74</v>
      </c>
      <c r="E221" t="s">
        <v>74</v>
      </c>
      <c r="F221" t="s">
        <v>4222</v>
      </c>
      <c r="G221" t="s">
        <v>74</v>
      </c>
      <c r="H221" t="s">
        <v>74</v>
      </c>
      <c r="I221" t="s">
        <v>4223</v>
      </c>
      <c r="J221" t="s">
        <v>4224</v>
      </c>
      <c r="K221" t="s">
        <v>74</v>
      </c>
      <c r="L221" t="s">
        <v>74</v>
      </c>
      <c r="M221" t="s">
        <v>78</v>
      </c>
      <c r="N221" t="s">
        <v>79</v>
      </c>
      <c r="O221" t="s">
        <v>74</v>
      </c>
      <c r="P221" t="s">
        <v>74</v>
      </c>
      <c r="Q221" t="s">
        <v>74</v>
      </c>
      <c r="R221" t="s">
        <v>74</v>
      </c>
      <c r="S221" t="s">
        <v>74</v>
      </c>
      <c r="T221" t="s">
        <v>4225</v>
      </c>
      <c r="U221" t="s">
        <v>4226</v>
      </c>
      <c r="V221" t="s">
        <v>4227</v>
      </c>
      <c r="W221" t="s">
        <v>4228</v>
      </c>
      <c r="X221" t="s">
        <v>4229</v>
      </c>
      <c r="Y221" t="s">
        <v>4230</v>
      </c>
      <c r="Z221" t="s">
        <v>4231</v>
      </c>
      <c r="AA221" t="s">
        <v>4232</v>
      </c>
      <c r="AB221" t="s">
        <v>4233</v>
      </c>
      <c r="AC221" t="s">
        <v>4234</v>
      </c>
      <c r="AD221" t="s">
        <v>4235</v>
      </c>
      <c r="AE221" t="s">
        <v>4236</v>
      </c>
      <c r="AF221" t="s">
        <v>74</v>
      </c>
      <c r="AG221">
        <v>127</v>
      </c>
      <c r="AH221">
        <v>13</v>
      </c>
      <c r="AI221">
        <v>15</v>
      </c>
      <c r="AJ221">
        <v>2</v>
      </c>
      <c r="AK221">
        <v>32</v>
      </c>
      <c r="AL221" t="s">
        <v>3729</v>
      </c>
      <c r="AM221" t="s">
        <v>3353</v>
      </c>
      <c r="AN221" t="s">
        <v>3730</v>
      </c>
      <c r="AO221" t="s">
        <v>4237</v>
      </c>
      <c r="AP221" t="s">
        <v>4238</v>
      </c>
      <c r="AQ221" t="s">
        <v>74</v>
      </c>
      <c r="AR221" t="s">
        <v>4239</v>
      </c>
      <c r="AS221" t="s">
        <v>4240</v>
      </c>
      <c r="AT221" t="s">
        <v>718</v>
      </c>
      <c r="AU221">
        <v>2019</v>
      </c>
      <c r="AV221">
        <v>36</v>
      </c>
      <c r="AW221">
        <v>1</v>
      </c>
      <c r="AX221" t="s">
        <v>74</v>
      </c>
      <c r="AY221" t="s">
        <v>74</v>
      </c>
      <c r="AZ221" t="s">
        <v>74</v>
      </c>
      <c r="BA221" t="s">
        <v>74</v>
      </c>
      <c r="BB221">
        <v>84</v>
      </c>
      <c r="BC221">
        <v>96</v>
      </c>
      <c r="BD221" t="s">
        <v>74</v>
      </c>
      <c r="BE221" t="s">
        <v>4241</v>
      </c>
      <c r="BF221" t="str">
        <f>HYPERLINK("http://dx.doi.org/10.1093/molbev/msy198","http://dx.doi.org/10.1093/molbev/msy198")</f>
        <v>http://dx.doi.org/10.1093/molbev/msy198</v>
      </c>
      <c r="BG221" t="s">
        <v>74</v>
      </c>
      <c r="BH221" t="s">
        <v>74</v>
      </c>
      <c r="BI221">
        <v>13</v>
      </c>
      <c r="BJ221" t="s">
        <v>4242</v>
      </c>
      <c r="BK221" t="s">
        <v>101</v>
      </c>
      <c r="BL221" t="s">
        <v>4242</v>
      </c>
      <c r="BM221" t="s">
        <v>4243</v>
      </c>
      <c r="BN221">
        <v>30364966</v>
      </c>
      <c r="BO221" t="s">
        <v>4244</v>
      </c>
      <c r="BP221" t="s">
        <v>74</v>
      </c>
      <c r="BQ221" t="s">
        <v>74</v>
      </c>
      <c r="BR221" t="s">
        <v>104</v>
      </c>
      <c r="BS221" t="s">
        <v>4245</v>
      </c>
      <c r="BT221" t="str">
        <f>HYPERLINK("https%3A%2F%2Fwww.webofscience.com%2Fwos%2Fwoscc%2Ffull-record%2FWOS:000459327400008","View Full Record in Web of Science")</f>
        <v>View Full Record in Web of Science</v>
      </c>
    </row>
    <row r="222" spans="1:72" x14ac:dyDescent="0.15">
      <c r="A222" t="s">
        <v>72</v>
      </c>
      <c r="B222" t="s">
        <v>4246</v>
      </c>
      <c r="C222" t="s">
        <v>74</v>
      </c>
      <c r="D222" t="s">
        <v>74</v>
      </c>
      <c r="E222" t="s">
        <v>74</v>
      </c>
      <c r="F222" t="s">
        <v>4247</v>
      </c>
      <c r="G222" t="s">
        <v>74</v>
      </c>
      <c r="H222" t="s">
        <v>74</v>
      </c>
      <c r="I222" t="s">
        <v>4248</v>
      </c>
      <c r="J222" t="s">
        <v>4249</v>
      </c>
      <c r="K222" t="s">
        <v>74</v>
      </c>
      <c r="L222" t="s">
        <v>74</v>
      </c>
      <c r="M222" t="s">
        <v>78</v>
      </c>
      <c r="N222" t="s">
        <v>79</v>
      </c>
      <c r="O222" t="s">
        <v>74</v>
      </c>
      <c r="P222" t="s">
        <v>74</v>
      </c>
      <c r="Q222" t="s">
        <v>74</v>
      </c>
      <c r="R222" t="s">
        <v>74</v>
      </c>
      <c r="S222" t="s">
        <v>74</v>
      </c>
      <c r="T222" t="s">
        <v>4250</v>
      </c>
      <c r="U222" t="s">
        <v>4251</v>
      </c>
      <c r="V222" t="s">
        <v>4252</v>
      </c>
      <c r="W222" t="s">
        <v>4253</v>
      </c>
      <c r="X222" t="s">
        <v>4254</v>
      </c>
      <c r="Y222" t="s">
        <v>4255</v>
      </c>
      <c r="Z222" t="s">
        <v>4256</v>
      </c>
      <c r="AA222" t="s">
        <v>4257</v>
      </c>
      <c r="AB222" t="s">
        <v>4258</v>
      </c>
      <c r="AC222" t="s">
        <v>4259</v>
      </c>
      <c r="AD222" t="s">
        <v>4260</v>
      </c>
      <c r="AE222" t="s">
        <v>4261</v>
      </c>
      <c r="AF222" t="s">
        <v>74</v>
      </c>
      <c r="AG222">
        <v>125</v>
      </c>
      <c r="AH222">
        <v>30</v>
      </c>
      <c r="AI222">
        <v>32</v>
      </c>
      <c r="AJ222">
        <v>2</v>
      </c>
      <c r="AK222">
        <v>13</v>
      </c>
      <c r="AL222" t="s">
        <v>3670</v>
      </c>
      <c r="AM222" t="s">
        <v>3671</v>
      </c>
      <c r="AN222" t="s">
        <v>3672</v>
      </c>
      <c r="AO222" t="s">
        <v>4262</v>
      </c>
      <c r="AP222" t="s">
        <v>4263</v>
      </c>
      <c r="AQ222" t="s">
        <v>74</v>
      </c>
      <c r="AR222" t="s">
        <v>4264</v>
      </c>
      <c r="AS222" t="s">
        <v>4265</v>
      </c>
      <c r="AT222" t="s">
        <v>718</v>
      </c>
      <c r="AU222">
        <v>2019</v>
      </c>
      <c r="AV222">
        <v>28</v>
      </c>
      <c r="AW222">
        <v>2</v>
      </c>
      <c r="AX222" t="s">
        <v>74</v>
      </c>
      <c r="AY222" t="s">
        <v>74</v>
      </c>
      <c r="AZ222" t="s">
        <v>4266</v>
      </c>
      <c r="BA222" t="s">
        <v>74</v>
      </c>
      <c r="BB222">
        <v>484</v>
      </c>
      <c r="BC222">
        <v>502</v>
      </c>
      <c r="BD222" t="s">
        <v>74</v>
      </c>
      <c r="BE222" t="s">
        <v>4267</v>
      </c>
      <c r="BF222" t="str">
        <f>HYPERLINK("http://dx.doi.org/10.1111/mec.14860","http://dx.doi.org/10.1111/mec.14860")</f>
        <v>http://dx.doi.org/10.1111/mec.14860</v>
      </c>
      <c r="BG222" t="s">
        <v>74</v>
      </c>
      <c r="BH222" t="s">
        <v>74</v>
      </c>
      <c r="BI222">
        <v>19</v>
      </c>
      <c r="BJ222" t="s">
        <v>4268</v>
      </c>
      <c r="BK222" t="s">
        <v>101</v>
      </c>
      <c r="BL222" t="s">
        <v>4269</v>
      </c>
      <c r="BM222" t="s">
        <v>4270</v>
      </c>
      <c r="BN222">
        <v>30187987</v>
      </c>
      <c r="BO222" t="s">
        <v>4271</v>
      </c>
      <c r="BP222" t="s">
        <v>74</v>
      </c>
      <c r="BQ222" t="s">
        <v>74</v>
      </c>
      <c r="BR222" t="s">
        <v>104</v>
      </c>
      <c r="BS222" t="s">
        <v>4272</v>
      </c>
      <c r="BT222" t="str">
        <f>HYPERLINK("https%3A%2F%2Fwww.webofscience.com%2Fwos%2Fwoscc%2Ffull-record%2FWOS:000459345000024","View Full Record in Web of Science")</f>
        <v>View Full Record in Web of Science</v>
      </c>
    </row>
    <row r="223" spans="1:72" x14ac:dyDescent="0.15">
      <c r="A223" t="s">
        <v>72</v>
      </c>
      <c r="B223" t="s">
        <v>4273</v>
      </c>
      <c r="C223" t="s">
        <v>74</v>
      </c>
      <c r="D223" t="s">
        <v>74</v>
      </c>
      <c r="E223" t="s">
        <v>74</v>
      </c>
      <c r="F223" t="s">
        <v>4274</v>
      </c>
      <c r="G223" t="s">
        <v>74</v>
      </c>
      <c r="H223" t="s">
        <v>74</v>
      </c>
      <c r="I223" t="s">
        <v>4275</v>
      </c>
      <c r="J223" t="s">
        <v>4276</v>
      </c>
      <c r="K223" t="s">
        <v>74</v>
      </c>
      <c r="L223" t="s">
        <v>74</v>
      </c>
      <c r="M223" t="s">
        <v>78</v>
      </c>
      <c r="N223" t="s">
        <v>1003</v>
      </c>
      <c r="O223" t="s">
        <v>74</v>
      </c>
      <c r="P223" t="s">
        <v>74</v>
      </c>
      <c r="Q223" t="s">
        <v>74</v>
      </c>
      <c r="R223" t="s">
        <v>74</v>
      </c>
      <c r="S223" t="s">
        <v>74</v>
      </c>
      <c r="T223" t="s">
        <v>4277</v>
      </c>
      <c r="U223" t="s">
        <v>4278</v>
      </c>
      <c r="V223" t="s">
        <v>4279</v>
      </c>
      <c r="W223" t="s">
        <v>4280</v>
      </c>
      <c r="X223" t="s">
        <v>4281</v>
      </c>
      <c r="Y223" t="s">
        <v>4282</v>
      </c>
      <c r="Z223" t="s">
        <v>4283</v>
      </c>
      <c r="AA223" t="s">
        <v>4284</v>
      </c>
      <c r="AB223" t="s">
        <v>4285</v>
      </c>
      <c r="AC223" t="s">
        <v>4286</v>
      </c>
      <c r="AD223" t="s">
        <v>4286</v>
      </c>
      <c r="AE223" t="s">
        <v>4287</v>
      </c>
      <c r="AF223" t="s">
        <v>74</v>
      </c>
      <c r="AG223">
        <v>205</v>
      </c>
      <c r="AH223">
        <v>18</v>
      </c>
      <c r="AI223">
        <v>19</v>
      </c>
      <c r="AJ223">
        <v>0</v>
      </c>
      <c r="AK223">
        <v>9</v>
      </c>
      <c r="AL223" t="s">
        <v>210</v>
      </c>
      <c r="AM223" t="s">
        <v>211</v>
      </c>
      <c r="AN223" t="s">
        <v>212</v>
      </c>
      <c r="AO223" t="s">
        <v>4288</v>
      </c>
      <c r="AP223" t="s">
        <v>4289</v>
      </c>
      <c r="AQ223" t="s">
        <v>74</v>
      </c>
      <c r="AR223" t="s">
        <v>4290</v>
      </c>
      <c r="AS223" t="s">
        <v>4291</v>
      </c>
      <c r="AT223" t="s">
        <v>74</v>
      </c>
      <c r="AU223">
        <v>2019</v>
      </c>
      <c r="AV223">
        <v>62</v>
      </c>
      <c r="AW223">
        <v>1</v>
      </c>
      <c r="AX223" t="s">
        <v>74</v>
      </c>
      <c r="AY223" t="s">
        <v>74</v>
      </c>
      <c r="AZ223" t="s">
        <v>74</v>
      </c>
      <c r="BA223" t="s">
        <v>74</v>
      </c>
      <c r="BB223">
        <v>1</v>
      </c>
      <c r="BC223">
        <v>23</v>
      </c>
      <c r="BD223" t="s">
        <v>74</v>
      </c>
      <c r="BE223" t="s">
        <v>4292</v>
      </c>
      <c r="BF223" t="str">
        <f>HYPERLINK("http://dx.doi.org/10.1080/00288306.2018.1523198","http://dx.doi.org/10.1080/00288306.2018.1523198")</f>
        <v>http://dx.doi.org/10.1080/00288306.2018.1523198</v>
      </c>
      <c r="BG223" t="s">
        <v>74</v>
      </c>
      <c r="BH223" t="s">
        <v>74</v>
      </c>
      <c r="BI223">
        <v>23</v>
      </c>
      <c r="BJ223" t="s">
        <v>4293</v>
      </c>
      <c r="BK223" t="s">
        <v>101</v>
      </c>
      <c r="BL223" t="s">
        <v>528</v>
      </c>
      <c r="BM223" t="s">
        <v>4294</v>
      </c>
      <c r="BN223" t="s">
        <v>74</v>
      </c>
      <c r="BO223" t="s">
        <v>74</v>
      </c>
      <c r="BP223" t="s">
        <v>74</v>
      </c>
      <c r="BQ223" t="s">
        <v>74</v>
      </c>
      <c r="BR223" t="s">
        <v>104</v>
      </c>
      <c r="BS223" t="s">
        <v>4295</v>
      </c>
      <c r="BT223" t="str">
        <f>HYPERLINK("https%3A%2F%2Fwww.webofscience.com%2Fwos%2Fwoscc%2Ffull-record%2FWOS:000459562100001","View Full Record in Web of Science")</f>
        <v>View Full Record in Web of Science</v>
      </c>
    </row>
    <row r="224" spans="1:72" x14ac:dyDescent="0.15">
      <c r="A224" t="s">
        <v>72</v>
      </c>
      <c r="B224" t="s">
        <v>4273</v>
      </c>
      <c r="C224" t="s">
        <v>74</v>
      </c>
      <c r="D224" t="s">
        <v>74</v>
      </c>
      <c r="E224" t="s">
        <v>74</v>
      </c>
      <c r="F224" t="s">
        <v>4274</v>
      </c>
      <c r="G224" t="s">
        <v>74</v>
      </c>
      <c r="H224" t="s">
        <v>74</v>
      </c>
      <c r="I224" t="s">
        <v>4296</v>
      </c>
      <c r="J224" t="s">
        <v>4276</v>
      </c>
      <c r="K224" t="s">
        <v>74</v>
      </c>
      <c r="L224" t="s">
        <v>74</v>
      </c>
      <c r="M224" t="s">
        <v>78</v>
      </c>
      <c r="N224" t="s">
        <v>1003</v>
      </c>
      <c r="O224" t="s">
        <v>74</v>
      </c>
      <c r="P224" t="s">
        <v>74</v>
      </c>
      <c r="Q224" t="s">
        <v>74</v>
      </c>
      <c r="R224" t="s">
        <v>74</v>
      </c>
      <c r="S224" t="s">
        <v>74</v>
      </c>
      <c r="T224" t="s">
        <v>4297</v>
      </c>
      <c r="U224" t="s">
        <v>4298</v>
      </c>
      <c r="V224" t="s">
        <v>4299</v>
      </c>
      <c r="W224" t="s">
        <v>4280</v>
      </c>
      <c r="X224" t="s">
        <v>4281</v>
      </c>
      <c r="Y224" t="s">
        <v>4282</v>
      </c>
      <c r="Z224" t="s">
        <v>4283</v>
      </c>
      <c r="AA224" t="s">
        <v>4284</v>
      </c>
      <c r="AB224" t="s">
        <v>4285</v>
      </c>
      <c r="AC224" t="s">
        <v>4286</v>
      </c>
      <c r="AD224" t="s">
        <v>4286</v>
      </c>
      <c r="AE224" t="s">
        <v>4287</v>
      </c>
      <c r="AF224" t="s">
        <v>74</v>
      </c>
      <c r="AG224">
        <v>184</v>
      </c>
      <c r="AH224">
        <v>26</v>
      </c>
      <c r="AI224">
        <v>27</v>
      </c>
      <c r="AJ224">
        <v>0</v>
      </c>
      <c r="AK224">
        <v>9</v>
      </c>
      <c r="AL224" t="s">
        <v>210</v>
      </c>
      <c r="AM224" t="s">
        <v>211</v>
      </c>
      <c r="AN224" t="s">
        <v>212</v>
      </c>
      <c r="AO224" t="s">
        <v>4288</v>
      </c>
      <c r="AP224" t="s">
        <v>4289</v>
      </c>
      <c r="AQ224" t="s">
        <v>74</v>
      </c>
      <c r="AR224" t="s">
        <v>4290</v>
      </c>
      <c r="AS224" t="s">
        <v>4291</v>
      </c>
      <c r="AT224" t="s">
        <v>74</v>
      </c>
      <c r="AU224">
        <v>2019</v>
      </c>
      <c r="AV224">
        <v>62</v>
      </c>
      <c r="AW224">
        <v>1</v>
      </c>
      <c r="AX224" t="s">
        <v>74</v>
      </c>
      <c r="AY224" t="s">
        <v>74</v>
      </c>
      <c r="AZ224" t="s">
        <v>74</v>
      </c>
      <c r="BA224" t="s">
        <v>74</v>
      </c>
      <c r="BB224">
        <v>24</v>
      </c>
      <c r="BC224">
        <v>45</v>
      </c>
      <c r="BD224" t="s">
        <v>74</v>
      </c>
      <c r="BE224" t="s">
        <v>4300</v>
      </c>
      <c r="BF224" t="str">
        <f>HYPERLINK("http://dx.doi.org/10.1080/00288306.2018.1523199","http://dx.doi.org/10.1080/00288306.2018.1523199")</f>
        <v>http://dx.doi.org/10.1080/00288306.2018.1523199</v>
      </c>
      <c r="BG224" t="s">
        <v>74</v>
      </c>
      <c r="BH224" t="s">
        <v>74</v>
      </c>
      <c r="BI224">
        <v>22</v>
      </c>
      <c r="BJ224" t="s">
        <v>4293</v>
      </c>
      <c r="BK224" t="s">
        <v>101</v>
      </c>
      <c r="BL224" t="s">
        <v>528</v>
      </c>
      <c r="BM224" t="s">
        <v>4294</v>
      </c>
      <c r="BN224" t="s">
        <v>74</v>
      </c>
      <c r="BO224" t="s">
        <v>74</v>
      </c>
      <c r="BP224" t="s">
        <v>74</v>
      </c>
      <c r="BQ224" t="s">
        <v>74</v>
      </c>
      <c r="BR224" t="s">
        <v>104</v>
      </c>
      <c r="BS224" t="s">
        <v>4301</v>
      </c>
      <c r="BT224" t="str">
        <f>HYPERLINK("https%3A%2F%2Fwww.webofscience.com%2Fwos%2Fwoscc%2Ffull-record%2FWOS:000459562100002","View Full Record in Web of Science")</f>
        <v>View Full Record in Web of Science</v>
      </c>
    </row>
    <row r="225" spans="1:72" x14ac:dyDescent="0.15">
      <c r="A225" t="s">
        <v>72</v>
      </c>
      <c r="B225" t="s">
        <v>4302</v>
      </c>
      <c r="C225" t="s">
        <v>74</v>
      </c>
      <c r="D225" t="s">
        <v>74</v>
      </c>
      <c r="E225" t="s">
        <v>74</v>
      </c>
      <c r="F225" t="s">
        <v>4303</v>
      </c>
      <c r="G225" t="s">
        <v>74</v>
      </c>
      <c r="H225" t="s">
        <v>74</v>
      </c>
      <c r="I225" t="s">
        <v>4304</v>
      </c>
      <c r="J225" t="s">
        <v>4305</v>
      </c>
      <c r="K225" t="s">
        <v>74</v>
      </c>
      <c r="L225" t="s">
        <v>74</v>
      </c>
      <c r="M225" t="s">
        <v>78</v>
      </c>
      <c r="N225" t="s">
        <v>79</v>
      </c>
      <c r="O225" t="s">
        <v>74</v>
      </c>
      <c r="P225" t="s">
        <v>74</v>
      </c>
      <c r="Q225" t="s">
        <v>74</v>
      </c>
      <c r="R225" t="s">
        <v>74</v>
      </c>
      <c r="S225" t="s">
        <v>74</v>
      </c>
      <c r="T225" t="s">
        <v>4306</v>
      </c>
      <c r="U225" t="s">
        <v>4307</v>
      </c>
      <c r="V225" t="s">
        <v>4308</v>
      </c>
      <c r="W225" t="s">
        <v>4309</v>
      </c>
      <c r="X225" t="s">
        <v>4310</v>
      </c>
      <c r="Y225" t="s">
        <v>4311</v>
      </c>
      <c r="Z225" t="s">
        <v>4312</v>
      </c>
      <c r="AA225" t="s">
        <v>4313</v>
      </c>
      <c r="AB225" t="s">
        <v>4314</v>
      </c>
      <c r="AC225" t="s">
        <v>4315</v>
      </c>
      <c r="AD225" t="s">
        <v>4316</v>
      </c>
      <c r="AE225" t="s">
        <v>4317</v>
      </c>
      <c r="AF225" t="s">
        <v>74</v>
      </c>
      <c r="AG225">
        <v>112</v>
      </c>
      <c r="AH225">
        <v>7</v>
      </c>
      <c r="AI225">
        <v>8</v>
      </c>
      <c r="AJ225">
        <v>0</v>
      </c>
      <c r="AK225">
        <v>8</v>
      </c>
      <c r="AL225" t="s">
        <v>4034</v>
      </c>
      <c r="AM225" t="s">
        <v>4035</v>
      </c>
      <c r="AN225" t="s">
        <v>4036</v>
      </c>
      <c r="AO225" t="s">
        <v>4318</v>
      </c>
      <c r="AP225" t="s">
        <v>4319</v>
      </c>
      <c r="AQ225" t="s">
        <v>74</v>
      </c>
      <c r="AR225" t="s">
        <v>4305</v>
      </c>
      <c r="AS225" t="s">
        <v>4320</v>
      </c>
      <c r="AT225" t="s">
        <v>718</v>
      </c>
      <c r="AU225">
        <v>2019</v>
      </c>
      <c r="AV225">
        <v>38</v>
      </c>
      <c r="AW225">
        <v>1</v>
      </c>
      <c r="AX225" t="s">
        <v>74</v>
      </c>
      <c r="AY225" t="s">
        <v>74</v>
      </c>
      <c r="AZ225" t="s">
        <v>74</v>
      </c>
      <c r="BA225" t="s">
        <v>74</v>
      </c>
      <c r="BB225">
        <v>7</v>
      </c>
      <c r="BC225">
        <v>25</v>
      </c>
      <c r="BD225" t="s">
        <v>74</v>
      </c>
      <c r="BE225" t="s">
        <v>4321</v>
      </c>
      <c r="BF225" t="str">
        <f>HYPERLINK("http://dx.doi.org/10.1029/2018TC005158","http://dx.doi.org/10.1029/2018TC005158")</f>
        <v>http://dx.doi.org/10.1029/2018TC005158</v>
      </c>
      <c r="BG225" t="s">
        <v>74</v>
      </c>
      <c r="BH225" t="s">
        <v>74</v>
      </c>
      <c r="BI225">
        <v>19</v>
      </c>
      <c r="BJ225" t="s">
        <v>746</v>
      </c>
      <c r="BK225" t="s">
        <v>101</v>
      </c>
      <c r="BL225" t="s">
        <v>746</v>
      </c>
      <c r="BM225" t="s">
        <v>4322</v>
      </c>
      <c r="BN225" t="s">
        <v>74</v>
      </c>
      <c r="BO225" t="s">
        <v>1089</v>
      </c>
      <c r="BP225" t="s">
        <v>74</v>
      </c>
      <c r="BQ225" t="s">
        <v>74</v>
      </c>
      <c r="BR225" t="s">
        <v>104</v>
      </c>
      <c r="BS225" t="s">
        <v>4323</v>
      </c>
      <c r="BT225" t="str">
        <f>HYPERLINK("https%3A%2F%2Fwww.webofscience.com%2Fwos%2Fwoscc%2Ffull-record%2FWOS:000458959800002","View Full Record in Web of Science")</f>
        <v>View Full Record in Web of Science</v>
      </c>
    </row>
    <row r="226" spans="1:72" x14ac:dyDescent="0.15">
      <c r="A226" t="s">
        <v>72</v>
      </c>
      <c r="B226" t="s">
        <v>4324</v>
      </c>
      <c r="C226" t="s">
        <v>74</v>
      </c>
      <c r="D226" t="s">
        <v>74</v>
      </c>
      <c r="E226" t="s">
        <v>74</v>
      </c>
      <c r="F226" t="s">
        <v>4325</v>
      </c>
      <c r="G226" t="s">
        <v>74</v>
      </c>
      <c r="H226" t="s">
        <v>74</v>
      </c>
      <c r="I226" t="s">
        <v>4326</v>
      </c>
      <c r="J226" t="s">
        <v>4327</v>
      </c>
      <c r="K226" t="s">
        <v>74</v>
      </c>
      <c r="L226" t="s">
        <v>74</v>
      </c>
      <c r="M226" t="s">
        <v>78</v>
      </c>
      <c r="N226" t="s">
        <v>79</v>
      </c>
      <c r="O226" t="s">
        <v>74</v>
      </c>
      <c r="P226" t="s">
        <v>74</v>
      </c>
      <c r="Q226" t="s">
        <v>74</v>
      </c>
      <c r="R226" t="s">
        <v>74</v>
      </c>
      <c r="S226" t="s">
        <v>74</v>
      </c>
      <c r="T226" t="s">
        <v>4328</v>
      </c>
      <c r="U226" t="s">
        <v>4329</v>
      </c>
      <c r="V226" t="s">
        <v>4330</v>
      </c>
      <c r="W226" t="s">
        <v>4331</v>
      </c>
      <c r="X226" t="s">
        <v>4332</v>
      </c>
      <c r="Y226" t="s">
        <v>4333</v>
      </c>
      <c r="Z226" t="s">
        <v>4334</v>
      </c>
      <c r="AA226" t="s">
        <v>4335</v>
      </c>
      <c r="AB226" t="s">
        <v>4336</v>
      </c>
      <c r="AC226" t="s">
        <v>4337</v>
      </c>
      <c r="AD226" t="s">
        <v>4338</v>
      </c>
      <c r="AE226" t="s">
        <v>4339</v>
      </c>
      <c r="AF226" t="s">
        <v>74</v>
      </c>
      <c r="AG226">
        <v>63</v>
      </c>
      <c r="AH226">
        <v>6</v>
      </c>
      <c r="AI226">
        <v>8</v>
      </c>
      <c r="AJ226">
        <v>0</v>
      </c>
      <c r="AK226">
        <v>8</v>
      </c>
      <c r="AL226" t="s">
        <v>4034</v>
      </c>
      <c r="AM226" t="s">
        <v>4035</v>
      </c>
      <c r="AN226" t="s">
        <v>4036</v>
      </c>
      <c r="AO226" t="s">
        <v>4340</v>
      </c>
      <c r="AP226" t="s">
        <v>74</v>
      </c>
      <c r="AQ226" t="s">
        <v>74</v>
      </c>
      <c r="AR226" t="s">
        <v>4341</v>
      </c>
      <c r="AS226" t="s">
        <v>4342</v>
      </c>
      <c r="AT226" t="s">
        <v>718</v>
      </c>
      <c r="AU226">
        <v>2019</v>
      </c>
      <c r="AV226">
        <v>20</v>
      </c>
      <c r="AW226">
        <v>1</v>
      </c>
      <c r="AX226" t="s">
        <v>74</v>
      </c>
      <c r="AY226" t="s">
        <v>74</v>
      </c>
      <c r="AZ226" t="s">
        <v>74</v>
      </c>
      <c r="BA226" t="s">
        <v>74</v>
      </c>
      <c r="BB226">
        <v>260</v>
      </c>
      <c r="BC226">
        <v>276</v>
      </c>
      <c r="BD226" t="s">
        <v>74</v>
      </c>
      <c r="BE226" t="s">
        <v>4343</v>
      </c>
      <c r="BF226" t="str">
        <f>HYPERLINK("http://dx.doi.org/10.1029/2018GC008054","http://dx.doi.org/10.1029/2018GC008054")</f>
        <v>http://dx.doi.org/10.1029/2018GC008054</v>
      </c>
      <c r="BG226" t="s">
        <v>74</v>
      </c>
      <c r="BH226" t="s">
        <v>74</v>
      </c>
      <c r="BI226">
        <v>17</v>
      </c>
      <c r="BJ226" t="s">
        <v>746</v>
      </c>
      <c r="BK226" t="s">
        <v>101</v>
      </c>
      <c r="BL226" t="s">
        <v>746</v>
      </c>
      <c r="BM226" t="s">
        <v>4344</v>
      </c>
      <c r="BN226" t="s">
        <v>74</v>
      </c>
      <c r="BO226" t="s">
        <v>4345</v>
      </c>
      <c r="BP226" t="s">
        <v>74</v>
      </c>
      <c r="BQ226" t="s">
        <v>74</v>
      </c>
      <c r="BR226" t="s">
        <v>104</v>
      </c>
      <c r="BS226" t="s">
        <v>4346</v>
      </c>
      <c r="BT226" t="str">
        <f>HYPERLINK("https%3A%2F%2Fwww.webofscience.com%2Fwos%2Fwoscc%2Ffull-record%2FWOS:000458607200013","View Full Record in Web of Science")</f>
        <v>View Full Record in Web of Science</v>
      </c>
    </row>
    <row r="227" spans="1:72" x14ac:dyDescent="0.15">
      <c r="A227" t="s">
        <v>72</v>
      </c>
      <c r="B227" t="s">
        <v>4347</v>
      </c>
      <c r="C227" t="s">
        <v>74</v>
      </c>
      <c r="D227" t="s">
        <v>74</v>
      </c>
      <c r="E227" t="s">
        <v>74</v>
      </c>
      <c r="F227" t="s">
        <v>4348</v>
      </c>
      <c r="G227" t="s">
        <v>74</v>
      </c>
      <c r="H227" t="s">
        <v>74</v>
      </c>
      <c r="I227" t="s">
        <v>4349</v>
      </c>
      <c r="J227" t="s">
        <v>4327</v>
      </c>
      <c r="K227" t="s">
        <v>74</v>
      </c>
      <c r="L227" t="s">
        <v>74</v>
      </c>
      <c r="M227" t="s">
        <v>78</v>
      </c>
      <c r="N227" t="s">
        <v>79</v>
      </c>
      <c r="O227" t="s">
        <v>74</v>
      </c>
      <c r="P227" t="s">
        <v>74</v>
      </c>
      <c r="Q227" t="s">
        <v>74</v>
      </c>
      <c r="R227" t="s">
        <v>74</v>
      </c>
      <c r="S227" t="s">
        <v>74</v>
      </c>
      <c r="T227" t="s">
        <v>4350</v>
      </c>
      <c r="U227" t="s">
        <v>4351</v>
      </c>
      <c r="V227" t="s">
        <v>4352</v>
      </c>
      <c r="W227" t="s">
        <v>4353</v>
      </c>
      <c r="X227" t="s">
        <v>4354</v>
      </c>
      <c r="Y227" t="s">
        <v>4355</v>
      </c>
      <c r="Z227" t="s">
        <v>4356</v>
      </c>
      <c r="AA227" t="s">
        <v>4357</v>
      </c>
      <c r="AB227" t="s">
        <v>4358</v>
      </c>
      <c r="AC227" t="s">
        <v>4359</v>
      </c>
      <c r="AD227" t="s">
        <v>4360</v>
      </c>
      <c r="AE227" t="s">
        <v>4361</v>
      </c>
      <c r="AF227" t="s">
        <v>74</v>
      </c>
      <c r="AG227">
        <v>33</v>
      </c>
      <c r="AH227">
        <v>14</v>
      </c>
      <c r="AI227">
        <v>14</v>
      </c>
      <c r="AJ227">
        <v>3</v>
      </c>
      <c r="AK227">
        <v>53</v>
      </c>
      <c r="AL227" t="s">
        <v>4034</v>
      </c>
      <c r="AM227" t="s">
        <v>4035</v>
      </c>
      <c r="AN227" t="s">
        <v>4036</v>
      </c>
      <c r="AO227" t="s">
        <v>4340</v>
      </c>
      <c r="AP227" t="s">
        <v>74</v>
      </c>
      <c r="AQ227" t="s">
        <v>74</v>
      </c>
      <c r="AR227" t="s">
        <v>4341</v>
      </c>
      <c r="AS227" t="s">
        <v>4342</v>
      </c>
      <c r="AT227" t="s">
        <v>718</v>
      </c>
      <c r="AU227">
        <v>2019</v>
      </c>
      <c r="AV227">
        <v>20</v>
      </c>
      <c r="AW227">
        <v>1</v>
      </c>
      <c r="AX227" t="s">
        <v>74</v>
      </c>
      <c r="AY227" t="s">
        <v>74</v>
      </c>
      <c r="AZ227" t="s">
        <v>74</v>
      </c>
      <c r="BA227" t="s">
        <v>74</v>
      </c>
      <c r="BB227">
        <v>434</v>
      </c>
      <c r="BC227">
        <v>441</v>
      </c>
      <c r="BD227" t="s">
        <v>74</v>
      </c>
      <c r="BE227" t="s">
        <v>4362</v>
      </c>
      <c r="BF227" t="str">
        <f>HYPERLINK("http://dx.doi.org/10.1029/2018GC007775","http://dx.doi.org/10.1029/2018GC007775")</f>
        <v>http://dx.doi.org/10.1029/2018GC007775</v>
      </c>
      <c r="BG227" t="s">
        <v>74</v>
      </c>
      <c r="BH227" t="s">
        <v>74</v>
      </c>
      <c r="BI227">
        <v>8</v>
      </c>
      <c r="BJ227" t="s">
        <v>746</v>
      </c>
      <c r="BK227" t="s">
        <v>101</v>
      </c>
      <c r="BL227" t="s">
        <v>746</v>
      </c>
      <c r="BM227" t="s">
        <v>4344</v>
      </c>
      <c r="BN227" t="s">
        <v>74</v>
      </c>
      <c r="BO227" t="s">
        <v>162</v>
      </c>
      <c r="BP227" t="s">
        <v>74</v>
      </c>
      <c r="BQ227" t="s">
        <v>74</v>
      </c>
      <c r="BR227" t="s">
        <v>104</v>
      </c>
      <c r="BS227" t="s">
        <v>4363</v>
      </c>
      <c r="BT227" t="str">
        <f>HYPERLINK("https%3A%2F%2Fwww.webofscience.com%2Fwos%2Fwoscc%2Ffull-record%2FWOS:000458607200022","View Full Record in Web of Science")</f>
        <v>View Full Record in Web of Science</v>
      </c>
    </row>
    <row r="228" spans="1:72" x14ac:dyDescent="0.15">
      <c r="A228" t="s">
        <v>72</v>
      </c>
      <c r="B228" t="s">
        <v>4364</v>
      </c>
      <c r="C228" t="s">
        <v>74</v>
      </c>
      <c r="D228" t="s">
        <v>74</v>
      </c>
      <c r="E228" t="s">
        <v>74</v>
      </c>
      <c r="F228" t="s">
        <v>4365</v>
      </c>
      <c r="G228" t="s">
        <v>74</v>
      </c>
      <c r="H228" t="s">
        <v>74</v>
      </c>
      <c r="I228" t="s">
        <v>4366</v>
      </c>
      <c r="J228" t="s">
        <v>4367</v>
      </c>
      <c r="K228" t="s">
        <v>74</v>
      </c>
      <c r="L228" t="s">
        <v>74</v>
      </c>
      <c r="M228" t="s">
        <v>78</v>
      </c>
      <c r="N228" t="s">
        <v>79</v>
      </c>
      <c r="O228" t="s">
        <v>74</v>
      </c>
      <c r="P228" t="s">
        <v>74</v>
      </c>
      <c r="Q228" t="s">
        <v>74</v>
      </c>
      <c r="R228" t="s">
        <v>74</v>
      </c>
      <c r="S228" t="s">
        <v>74</v>
      </c>
      <c r="T228" t="s">
        <v>4368</v>
      </c>
      <c r="U228" t="s">
        <v>4369</v>
      </c>
      <c r="V228" t="s">
        <v>4370</v>
      </c>
      <c r="W228" t="s">
        <v>4371</v>
      </c>
      <c r="X228" t="s">
        <v>893</v>
      </c>
      <c r="Y228" t="s">
        <v>4372</v>
      </c>
      <c r="Z228" t="s">
        <v>4373</v>
      </c>
      <c r="AA228" t="s">
        <v>4374</v>
      </c>
      <c r="AB228" t="s">
        <v>74</v>
      </c>
      <c r="AC228" t="s">
        <v>4375</v>
      </c>
      <c r="AD228" t="s">
        <v>4376</v>
      </c>
      <c r="AE228" t="s">
        <v>4377</v>
      </c>
      <c r="AF228" t="s">
        <v>74</v>
      </c>
      <c r="AG228">
        <v>25</v>
      </c>
      <c r="AH228">
        <v>7</v>
      </c>
      <c r="AI228">
        <v>8</v>
      </c>
      <c r="AJ228">
        <v>1</v>
      </c>
      <c r="AK228">
        <v>5</v>
      </c>
      <c r="AL228" t="s">
        <v>3352</v>
      </c>
      <c r="AM228" t="s">
        <v>3353</v>
      </c>
      <c r="AN228" t="s">
        <v>3354</v>
      </c>
      <c r="AO228" t="s">
        <v>4378</v>
      </c>
      <c r="AP228" t="s">
        <v>4379</v>
      </c>
      <c r="AQ228" t="s">
        <v>74</v>
      </c>
      <c r="AR228" t="s">
        <v>4380</v>
      </c>
      <c r="AS228" t="s">
        <v>4381</v>
      </c>
      <c r="AT228" t="s">
        <v>718</v>
      </c>
      <c r="AU228">
        <v>2019</v>
      </c>
      <c r="AV228">
        <v>182</v>
      </c>
      <c r="AW228" t="s">
        <v>74</v>
      </c>
      <c r="AX228" t="s">
        <v>74</v>
      </c>
      <c r="AY228" t="s">
        <v>74</v>
      </c>
      <c r="AZ228" t="s">
        <v>74</v>
      </c>
      <c r="BA228" t="s">
        <v>74</v>
      </c>
      <c r="BB228">
        <v>200</v>
      </c>
      <c r="BC228">
        <v>210</v>
      </c>
      <c r="BD228" t="s">
        <v>74</v>
      </c>
      <c r="BE228" t="s">
        <v>4382</v>
      </c>
      <c r="BF228" t="str">
        <f>HYPERLINK("http://dx.doi.org/10.1016/j.jastp.2018.12.001","http://dx.doi.org/10.1016/j.jastp.2018.12.001")</f>
        <v>http://dx.doi.org/10.1016/j.jastp.2018.12.001</v>
      </c>
      <c r="BG228" t="s">
        <v>74</v>
      </c>
      <c r="BH228" t="s">
        <v>74</v>
      </c>
      <c r="BI228">
        <v>11</v>
      </c>
      <c r="BJ228" t="s">
        <v>4383</v>
      </c>
      <c r="BK228" t="s">
        <v>101</v>
      </c>
      <c r="BL228" t="s">
        <v>4383</v>
      </c>
      <c r="BM228" t="s">
        <v>4384</v>
      </c>
      <c r="BN228" t="s">
        <v>74</v>
      </c>
      <c r="BO228" t="s">
        <v>74</v>
      </c>
      <c r="BP228" t="s">
        <v>74</v>
      </c>
      <c r="BQ228" t="s">
        <v>74</v>
      </c>
      <c r="BR228" t="s">
        <v>104</v>
      </c>
      <c r="BS228" t="s">
        <v>4385</v>
      </c>
      <c r="BT228" t="str">
        <f>HYPERLINK("https%3A%2F%2Fwww.webofscience.com%2Fwos%2Fwoscc%2Ffull-record%2FWOS:000458941200023","View Full Record in Web of Science")</f>
        <v>View Full Record in Web of Science</v>
      </c>
    </row>
    <row r="229" spans="1:72" x14ac:dyDescent="0.15">
      <c r="A229" t="s">
        <v>72</v>
      </c>
      <c r="B229" t="s">
        <v>4386</v>
      </c>
      <c r="C229" t="s">
        <v>74</v>
      </c>
      <c r="D229" t="s">
        <v>74</v>
      </c>
      <c r="E229" t="s">
        <v>74</v>
      </c>
      <c r="F229" t="s">
        <v>4387</v>
      </c>
      <c r="G229" t="s">
        <v>74</v>
      </c>
      <c r="H229" t="s">
        <v>74</v>
      </c>
      <c r="I229" t="s">
        <v>4388</v>
      </c>
      <c r="J229" t="s">
        <v>4389</v>
      </c>
      <c r="K229" t="s">
        <v>74</v>
      </c>
      <c r="L229" t="s">
        <v>74</v>
      </c>
      <c r="M229" t="s">
        <v>78</v>
      </c>
      <c r="N229" t="s">
        <v>79</v>
      </c>
      <c r="O229" t="s">
        <v>74</v>
      </c>
      <c r="P229" t="s">
        <v>74</v>
      </c>
      <c r="Q229" t="s">
        <v>74</v>
      </c>
      <c r="R229" t="s">
        <v>74</v>
      </c>
      <c r="S229" t="s">
        <v>74</v>
      </c>
      <c r="T229" t="s">
        <v>4390</v>
      </c>
      <c r="U229" t="s">
        <v>4391</v>
      </c>
      <c r="V229" t="s">
        <v>4392</v>
      </c>
      <c r="W229" t="s">
        <v>4393</v>
      </c>
      <c r="X229" t="s">
        <v>4394</v>
      </c>
      <c r="Y229" t="s">
        <v>4395</v>
      </c>
      <c r="Z229" t="s">
        <v>4396</v>
      </c>
      <c r="AA229" t="s">
        <v>4397</v>
      </c>
      <c r="AB229" t="s">
        <v>4398</v>
      </c>
      <c r="AC229" t="s">
        <v>4399</v>
      </c>
      <c r="AD229" t="s">
        <v>4400</v>
      </c>
      <c r="AE229" t="s">
        <v>4401</v>
      </c>
      <c r="AF229" t="s">
        <v>74</v>
      </c>
      <c r="AG229">
        <v>108</v>
      </c>
      <c r="AH229">
        <v>5</v>
      </c>
      <c r="AI229">
        <v>5</v>
      </c>
      <c r="AJ229">
        <v>1</v>
      </c>
      <c r="AK229">
        <v>13</v>
      </c>
      <c r="AL229" t="s">
        <v>4034</v>
      </c>
      <c r="AM229" t="s">
        <v>4035</v>
      </c>
      <c r="AN229" t="s">
        <v>4036</v>
      </c>
      <c r="AO229" t="s">
        <v>4402</v>
      </c>
      <c r="AP229" t="s">
        <v>4403</v>
      </c>
      <c r="AQ229" t="s">
        <v>74</v>
      </c>
      <c r="AR229" t="s">
        <v>4404</v>
      </c>
      <c r="AS229" t="s">
        <v>4405</v>
      </c>
      <c r="AT229" t="s">
        <v>718</v>
      </c>
      <c r="AU229">
        <v>2019</v>
      </c>
      <c r="AV229">
        <v>124</v>
      </c>
      <c r="AW229">
        <v>1</v>
      </c>
      <c r="AX229" t="s">
        <v>74</v>
      </c>
      <c r="AY229" t="s">
        <v>74</v>
      </c>
      <c r="AZ229" t="s">
        <v>74</v>
      </c>
      <c r="BA229" t="s">
        <v>74</v>
      </c>
      <c r="BB229">
        <v>80</v>
      </c>
      <c r="BC229">
        <v>96</v>
      </c>
      <c r="BD229" t="s">
        <v>74</v>
      </c>
      <c r="BE229" t="s">
        <v>4406</v>
      </c>
      <c r="BF229" t="str">
        <f>HYPERLINK("http://dx.doi.org/10.1029/2018JF004707","http://dx.doi.org/10.1029/2018JF004707")</f>
        <v>http://dx.doi.org/10.1029/2018JF004707</v>
      </c>
      <c r="BG229" t="s">
        <v>74</v>
      </c>
      <c r="BH229" t="s">
        <v>74</v>
      </c>
      <c r="BI229">
        <v>17</v>
      </c>
      <c r="BJ229" t="s">
        <v>884</v>
      </c>
      <c r="BK229" t="s">
        <v>101</v>
      </c>
      <c r="BL229" t="s">
        <v>528</v>
      </c>
      <c r="BM229" t="s">
        <v>4407</v>
      </c>
      <c r="BN229" t="s">
        <v>74</v>
      </c>
      <c r="BO229" t="s">
        <v>4408</v>
      </c>
      <c r="BP229" t="s">
        <v>74</v>
      </c>
      <c r="BQ229" t="s">
        <v>74</v>
      </c>
      <c r="BR229" t="s">
        <v>104</v>
      </c>
      <c r="BS229" t="s">
        <v>4409</v>
      </c>
      <c r="BT229" t="str">
        <f>HYPERLINK("https%3A%2F%2Fwww.webofscience.com%2Fwos%2Fwoscc%2Ffull-record%2FWOS:000458729900005","View Full Record in Web of Science")</f>
        <v>View Full Record in Web of Science</v>
      </c>
    </row>
    <row r="230" spans="1:72" x14ac:dyDescent="0.15">
      <c r="A230" t="s">
        <v>72</v>
      </c>
      <c r="B230" t="s">
        <v>4410</v>
      </c>
      <c r="C230" t="s">
        <v>74</v>
      </c>
      <c r="D230" t="s">
        <v>74</v>
      </c>
      <c r="E230" t="s">
        <v>74</v>
      </c>
      <c r="F230" t="s">
        <v>4411</v>
      </c>
      <c r="G230" t="s">
        <v>74</v>
      </c>
      <c r="H230" t="s">
        <v>74</v>
      </c>
      <c r="I230" t="s">
        <v>4412</v>
      </c>
      <c r="J230" t="s">
        <v>4389</v>
      </c>
      <c r="K230" t="s">
        <v>74</v>
      </c>
      <c r="L230" t="s">
        <v>74</v>
      </c>
      <c r="M230" t="s">
        <v>78</v>
      </c>
      <c r="N230" t="s">
        <v>79</v>
      </c>
      <c r="O230" t="s">
        <v>74</v>
      </c>
      <c r="P230" t="s">
        <v>74</v>
      </c>
      <c r="Q230" t="s">
        <v>74</v>
      </c>
      <c r="R230" t="s">
        <v>74</v>
      </c>
      <c r="S230" t="s">
        <v>74</v>
      </c>
      <c r="T230" t="s">
        <v>4413</v>
      </c>
      <c r="U230" t="s">
        <v>4414</v>
      </c>
      <c r="V230" t="s">
        <v>4415</v>
      </c>
      <c r="W230" t="s">
        <v>4416</v>
      </c>
      <c r="X230" t="s">
        <v>4417</v>
      </c>
      <c r="Y230" t="s">
        <v>4418</v>
      </c>
      <c r="Z230" t="s">
        <v>4419</v>
      </c>
      <c r="AA230" t="s">
        <v>4420</v>
      </c>
      <c r="AB230" t="s">
        <v>4421</v>
      </c>
      <c r="AC230" t="s">
        <v>4422</v>
      </c>
      <c r="AD230" t="s">
        <v>4423</v>
      </c>
      <c r="AE230" t="s">
        <v>4424</v>
      </c>
      <c r="AF230" t="s">
        <v>74</v>
      </c>
      <c r="AG230">
        <v>61</v>
      </c>
      <c r="AH230">
        <v>29</v>
      </c>
      <c r="AI230">
        <v>29</v>
      </c>
      <c r="AJ230">
        <v>0</v>
      </c>
      <c r="AK230">
        <v>8</v>
      </c>
      <c r="AL230" t="s">
        <v>4034</v>
      </c>
      <c r="AM230" t="s">
        <v>4035</v>
      </c>
      <c r="AN230" t="s">
        <v>4036</v>
      </c>
      <c r="AO230" t="s">
        <v>4402</v>
      </c>
      <c r="AP230" t="s">
        <v>4403</v>
      </c>
      <c r="AQ230" t="s">
        <v>74</v>
      </c>
      <c r="AR230" t="s">
        <v>4404</v>
      </c>
      <c r="AS230" t="s">
        <v>4405</v>
      </c>
      <c r="AT230" t="s">
        <v>718</v>
      </c>
      <c r="AU230">
        <v>2019</v>
      </c>
      <c r="AV230">
        <v>124</v>
      </c>
      <c r="AW230">
        <v>1</v>
      </c>
      <c r="AX230" t="s">
        <v>74</v>
      </c>
      <c r="AY230" t="s">
        <v>74</v>
      </c>
      <c r="AZ230" t="s">
        <v>74</v>
      </c>
      <c r="BA230" t="s">
        <v>74</v>
      </c>
      <c r="BB230">
        <v>175</v>
      </c>
      <c r="BC230">
        <v>194</v>
      </c>
      <c r="BD230" t="s">
        <v>74</v>
      </c>
      <c r="BE230" t="s">
        <v>4425</v>
      </c>
      <c r="BF230" t="str">
        <f>HYPERLINK("http://dx.doi.org/10.1029/2018JF004776","http://dx.doi.org/10.1029/2018JF004776")</f>
        <v>http://dx.doi.org/10.1029/2018JF004776</v>
      </c>
      <c r="BG230" t="s">
        <v>74</v>
      </c>
      <c r="BH230" t="s">
        <v>74</v>
      </c>
      <c r="BI230">
        <v>20</v>
      </c>
      <c r="BJ230" t="s">
        <v>884</v>
      </c>
      <c r="BK230" t="s">
        <v>101</v>
      </c>
      <c r="BL230" t="s">
        <v>528</v>
      </c>
      <c r="BM230" t="s">
        <v>4407</v>
      </c>
      <c r="BN230" t="s">
        <v>74</v>
      </c>
      <c r="BO230" t="s">
        <v>4426</v>
      </c>
      <c r="BP230" t="s">
        <v>74</v>
      </c>
      <c r="BQ230" t="s">
        <v>74</v>
      </c>
      <c r="BR230" t="s">
        <v>104</v>
      </c>
      <c r="BS230" t="s">
        <v>4427</v>
      </c>
      <c r="BT230" t="str">
        <f>HYPERLINK("https%3A%2F%2Fwww.webofscience.com%2Fwos%2Fwoscc%2Ffull-record%2FWOS:000458729900010","View Full Record in Web of Science")</f>
        <v>View Full Record in Web of Science</v>
      </c>
    </row>
    <row r="231" spans="1:72" x14ac:dyDescent="0.15">
      <c r="A231" t="s">
        <v>72</v>
      </c>
      <c r="B231" t="s">
        <v>4428</v>
      </c>
      <c r="C231" t="s">
        <v>74</v>
      </c>
      <c r="D231" t="s">
        <v>74</v>
      </c>
      <c r="E231" t="s">
        <v>74</v>
      </c>
      <c r="F231" t="s">
        <v>4429</v>
      </c>
      <c r="G231" t="s">
        <v>74</v>
      </c>
      <c r="H231" t="s">
        <v>74</v>
      </c>
      <c r="I231" t="s">
        <v>4430</v>
      </c>
      <c r="J231" t="s">
        <v>4389</v>
      </c>
      <c r="K231" t="s">
        <v>74</v>
      </c>
      <c r="L231" t="s">
        <v>74</v>
      </c>
      <c r="M231" t="s">
        <v>78</v>
      </c>
      <c r="N231" t="s">
        <v>79</v>
      </c>
      <c r="O231" t="s">
        <v>74</v>
      </c>
      <c r="P231" t="s">
        <v>74</v>
      </c>
      <c r="Q231" t="s">
        <v>74</v>
      </c>
      <c r="R231" t="s">
        <v>74</v>
      </c>
      <c r="S231" t="s">
        <v>74</v>
      </c>
      <c r="T231" t="s">
        <v>4431</v>
      </c>
      <c r="U231" t="s">
        <v>4432</v>
      </c>
      <c r="V231" t="s">
        <v>4433</v>
      </c>
      <c r="W231" t="s">
        <v>4434</v>
      </c>
      <c r="X231" t="s">
        <v>4435</v>
      </c>
      <c r="Y231" t="s">
        <v>4436</v>
      </c>
      <c r="Z231" t="s">
        <v>4437</v>
      </c>
      <c r="AA231" t="s">
        <v>4438</v>
      </c>
      <c r="AB231" t="s">
        <v>4439</v>
      </c>
      <c r="AC231" t="s">
        <v>4440</v>
      </c>
      <c r="AD231" t="s">
        <v>4441</v>
      </c>
      <c r="AE231" t="s">
        <v>4442</v>
      </c>
      <c r="AF231" t="s">
        <v>74</v>
      </c>
      <c r="AG231">
        <v>95</v>
      </c>
      <c r="AH231">
        <v>13</v>
      </c>
      <c r="AI231">
        <v>15</v>
      </c>
      <c r="AJ231">
        <v>1</v>
      </c>
      <c r="AK231">
        <v>14</v>
      </c>
      <c r="AL231" t="s">
        <v>4034</v>
      </c>
      <c r="AM231" t="s">
        <v>4035</v>
      </c>
      <c r="AN231" t="s">
        <v>4036</v>
      </c>
      <c r="AO231" t="s">
        <v>4402</v>
      </c>
      <c r="AP231" t="s">
        <v>4403</v>
      </c>
      <c r="AQ231" t="s">
        <v>74</v>
      </c>
      <c r="AR231" t="s">
        <v>4404</v>
      </c>
      <c r="AS231" t="s">
        <v>4405</v>
      </c>
      <c r="AT231" t="s">
        <v>718</v>
      </c>
      <c r="AU231">
        <v>2019</v>
      </c>
      <c r="AV231">
        <v>124</v>
      </c>
      <c r="AW231">
        <v>1</v>
      </c>
      <c r="AX231" t="s">
        <v>74</v>
      </c>
      <c r="AY231" t="s">
        <v>74</v>
      </c>
      <c r="AZ231" t="s">
        <v>74</v>
      </c>
      <c r="BA231" t="s">
        <v>74</v>
      </c>
      <c r="BB231">
        <v>245</v>
      </c>
      <c r="BC231">
        <v>267</v>
      </c>
      <c r="BD231" t="s">
        <v>74</v>
      </c>
      <c r="BE231" t="s">
        <v>4443</v>
      </c>
      <c r="BF231" t="str">
        <f>HYPERLINK("http://dx.doi.org/10.1029/2018JF004821","http://dx.doi.org/10.1029/2018JF004821")</f>
        <v>http://dx.doi.org/10.1029/2018JF004821</v>
      </c>
      <c r="BG231" t="s">
        <v>74</v>
      </c>
      <c r="BH231" t="s">
        <v>74</v>
      </c>
      <c r="BI231">
        <v>23</v>
      </c>
      <c r="BJ231" t="s">
        <v>884</v>
      </c>
      <c r="BK231" t="s">
        <v>101</v>
      </c>
      <c r="BL231" t="s">
        <v>528</v>
      </c>
      <c r="BM231" t="s">
        <v>4407</v>
      </c>
      <c r="BN231">
        <v>31007992</v>
      </c>
      <c r="BO231" t="s">
        <v>4444</v>
      </c>
      <c r="BP231" t="s">
        <v>74</v>
      </c>
      <c r="BQ231" t="s">
        <v>74</v>
      </c>
      <c r="BR231" t="s">
        <v>104</v>
      </c>
      <c r="BS231" t="s">
        <v>4445</v>
      </c>
      <c r="BT231" t="str">
        <f>HYPERLINK("https%3A%2F%2Fwww.webofscience.com%2Fwos%2Fwoscc%2Ffull-record%2FWOS:000458729900014","View Full Record in Web of Science")</f>
        <v>View Full Record in Web of Science</v>
      </c>
    </row>
    <row r="232" spans="1:72" x14ac:dyDescent="0.15">
      <c r="A232" t="s">
        <v>72</v>
      </c>
      <c r="B232" t="s">
        <v>4446</v>
      </c>
      <c r="C232" t="s">
        <v>74</v>
      </c>
      <c r="D232" t="s">
        <v>74</v>
      </c>
      <c r="E232" t="s">
        <v>74</v>
      </c>
      <c r="F232" t="s">
        <v>4447</v>
      </c>
      <c r="G232" t="s">
        <v>74</v>
      </c>
      <c r="H232" t="s">
        <v>74</v>
      </c>
      <c r="I232" t="s">
        <v>4448</v>
      </c>
      <c r="J232" t="s">
        <v>4449</v>
      </c>
      <c r="K232" t="s">
        <v>74</v>
      </c>
      <c r="L232" t="s">
        <v>74</v>
      </c>
      <c r="M232" t="s">
        <v>78</v>
      </c>
      <c r="N232" t="s">
        <v>79</v>
      </c>
      <c r="O232" t="s">
        <v>74</v>
      </c>
      <c r="P232" t="s">
        <v>74</v>
      </c>
      <c r="Q232" t="s">
        <v>74</v>
      </c>
      <c r="R232" t="s">
        <v>74</v>
      </c>
      <c r="S232" t="s">
        <v>74</v>
      </c>
      <c r="T232" t="s">
        <v>4450</v>
      </c>
      <c r="U232" t="s">
        <v>4451</v>
      </c>
      <c r="V232" t="s">
        <v>4452</v>
      </c>
      <c r="W232" t="s">
        <v>4453</v>
      </c>
      <c r="X232" t="s">
        <v>4454</v>
      </c>
      <c r="Y232" t="s">
        <v>4455</v>
      </c>
      <c r="Z232" t="s">
        <v>4456</v>
      </c>
      <c r="AA232" t="s">
        <v>4457</v>
      </c>
      <c r="AB232" t="s">
        <v>4458</v>
      </c>
      <c r="AC232" t="s">
        <v>4459</v>
      </c>
      <c r="AD232" t="s">
        <v>4460</v>
      </c>
      <c r="AE232" t="s">
        <v>4461</v>
      </c>
      <c r="AF232" t="s">
        <v>74</v>
      </c>
      <c r="AG232">
        <v>77</v>
      </c>
      <c r="AH232">
        <v>38</v>
      </c>
      <c r="AI232">
        <v>44</v>
      </c>
      <c r="AJ232">
        <v>1</v>
      </c>
      <c r="AK232">
        <v>33</v>
      </c>
      <c r="AL232" t="s">
        <v>4034</v>
      </c>
      <c r="AM232" t="s">
        <v>4035</v>
      </c>
      <c r="AN232" t="s">
        <v>4036</v>
      </c>
      <c r="AO232" t="s">
        <v>4462</v>
      </c>
      <c r="AP232" t="s">
        <v>4463</v>
      </c>
      <c r="AQ232" t="s">
        <v>74</v>
      </c>
      <c r="AR232" t="s">
        <v>4464</v>
      </c>
      <c r="AS232" t="s">
        <v>4465</v>
      </c>
      <c r="AT232" t="s">
        <v>718</v>
      </c>
      <c r="AU232">
        <v>2019</v>
      </c>
      <c r="AV232">
        <v>33</v>
      </c>
      <c r="AW232">
        <v>1</v>
      </c>
      <c r="AX232" t="s">
        <v>74</v>
      </c>
      <c r="AY232" t="s">
        <v>74</v>
      </c>
      <c r="AZ232" t="s">
        <v>74</v>
      </c>
      <c r="BA232" t="s">
        <v>74</v>
      </c>
      <c r="BB232">
        <v>63</v>
      </c>
      <c r="BC232">
        <v>84</v>
      </c>
      <c r="BD232" t="s">
        <v>74</v>
      </c>
      <c r="BE232" t="s">
        <v>4466</v>
      </c>
      <c r="BF232" t="str">
        <f>HYPERLINK("http://dx.doi.org/10.1029/2018GB006034","http://dx.doi.org/10.1029/2018GB006034")</f>
        <v>http://dx.doi.org/10.1029/2018GB006034</v>
      </c>
      <c r="BG232" t="s">
        <v>74</v>
      </c>
      <c r="BH232" t="s">
        <v>74</v>
      </c>
      <c r="BI232">
        <v>22</v>
      </c>
      <c r="BJ232" t="s">
        <v>4467</v>
      </c>
      <c r="BK232" t="s">
        <v>101</v>
      </c>
      <c r="BL232" t="s">
        <v>4468</v>
      </c>
      <c r="BM232" t="s">
        <v>4469</v>
      </c>
      <c r="BN232" t="s">
        <v>74</v>
      </c>
      <c r="BO232" t="s">
        <v>4470</v>
      </c>
      <c r="BP232" t="s">
        <v>74</v>
      </c>
      <c r="BQ232" t="s">
        <v>74</v>
      </c>
      <c r="BR232" t="s">
        <v>104</v>
      </c>
      <c r="BS232" t="s">
        <v>4471</v>
      </c>
      <c r="BT232" t="str">
        <f>HYPERLINK("https%3A%2F%2Fwww.webofscience.com%2Fwos%2Fwoscc%2Ffull-record%2FWOS:000458243500005","View Full Record in Web of Science")</f>
        <v>View Full Record in Web of Science</v>
      </c>
    </row>
    <row r="233" spans="1:72" x14ac:dyDescent="0.15">
      <c r="A233" t="s">
        <v>72</v>
      </c>
      <c r="B233" t="s">
        <v>4472</v>
      </c>
      <c r="C233" t="s">
        <v>74</v>
      </c>
      <c r="D233" t="s">
        <v>74</v>
      </c>
      <c r="E233" t="s">
        <v>74</v>
      </c>
      <c r="F233" t="s">
        <v>4473</v>
      </c>
      <c r="G233" t="s">
        <v>74</v>
      </c>
      <c r="H233" t="s">
        <v>74</v>
      </c>
      <c r="I233" t="s">
        <v>4474</v>
      </c>
      <c r="J233" t="s">
        <v>4475</v>
      </c>
      <c r="K233" t="s">
        <v>74</v>
      </c>
      <c r="L233" t="s">
        <v>74</v>
      </c>
      <c r="M233" t="s">
        <v>78</v>
      </c>
      <c r="N233" t="s">
        <v>79</v>
      </c>
      <c r="O233" t="s">
        <v>74</v>
      </c>
      <c r="P233" t="s">
        <v>74</v>
      </c>
      <c r="Q233" t="s">
        <v>74</v>
      </c>
      <c r="R233" t="s">
        <v>74</v>
      </c>
      <c r="S233" t="s">
        <v>74</v>
      </c>
      <c r="T233" t="s">
        <v>74</v>
      </c>
      <c r="U233" t="s">
        <v>4476</v>
      </c>
      <c r="V233" t="s">
        <v>4477</v>
      </c>
      <c r="W233" t="s">
        <v>4478</v>
      </c>
      <c r="X233" t="s">
        <v>4479</v>
      </c>
      <c r="Y233" t="s">
        <v>4480</v>
      </c>
      <c r="Z233" t="s">
        <v>4481</v>
      </c>
      <c r="AA233" t="s">
        <v>4482</v>
      </c>
      <c r="AB233" t="s">
        <v>4483</v>
      </c>
      <c r="AC233" t="s">
        <v>4484</v>
      </c>
      <c r="AD233" t="s">
        <v>4485</v>
      </c>
      <c r="AE233" t="s">
        <v>4486</v>
      </c>
      <c r="AF233" t="s">
        <v>74</v>
      </c>
      <c r="AG233">
        <v>60</v>
      </c>
      <c r="AH233">
        <v>9</v>
      </c>
      <c r="AI233">
        <v>9</v>
      </c>
      <c r="AJ233">
        <v>0</v>
      </c>
      <c r="AK233">
        <v>9</v>
      </c>
      <c r="AL233" t="s">
        <v>4034</v>
      </c>
      <c r="AM233" t="s">
        <v>4035</v>
      </c>
      <c r="AN233" t="s">
        <v>4036</v>
      </c>
      <c r="AO233" t="s">
        <v>74</v>
      </c>
      <c r="AP233" t="s">
        <v>4487</v>
      </c>
      <c r="AQ233" t="s">
        <v>74</v>
      </c>
      <c r="AR233" t="s">
        <v>4488</v>
      </c>
      <c r="AS233" t="s">
        <v>4489</v>
      </c>
      <c r="AT233" t="s">
        <v>718</v>
      </c>
      <c r="AU233">
        <v>2019</v>
      </c>
      <c r="AV233">
        <v>11</v>
      </c>
      <c r="AW233">
        <v>1</v>
      </c>
      <c r="AX233" t="s">
        <v>74</v>
      </c>
      <c r="AY233" t="s">
        <v>74</v>
      </c>
      <c r="AZ233" t="s">
        <v>74</v>
      </c>
      <c r="BA233" t="s">
        <v>74</v>
      </c>
      <c r="BB233">
        <v>64</v>
      </c>
      <c r="BC233">
        <v>82</v>
      </c>
      <c r="BD233" t="s">
        <v>74</v>
      </c>
      <c r="BE233" t="s">
        <v>4490</v>
      </c>
      <c r="BF233" t="str">
        <f>HYPERLINK("http://dx.doi.org/10.1029/2018MS001438","http://dx.doi.org/10.1029/2018MS001438")</f>
        <v>http://dx.doi.org/10.1029/2018MS001438</v>
      </c>
      <c r="BG233" t="s">
        <v>74</v>
      </c>
      <c r="BH233" t="s">
        <v>74</v>
      </c>
      <c r="BI233">
        <v>19</v>
      </c>
      <c r="BJ233" t="s">
        <v>3037</v>
      </c>
      <c r="BK233" t="s">
        <v>101</v>
      </c>
      <c r="BL233" t="s">
        <v>3037</v>
      </c>
      <c r="BM233" t="s">
        <v>4491</v>
      </c>
      <c r="BN233" t="s">
        <v>74</v>
      </c>
      <c r="BO233" t="s">
        <v>193</v>
      </c>
      <c r="BP233" t="s">
        <v>74</v>
      </c>
      <c r="BQ233" t="s">
        <v>74</v>
      </c>
      <c r="BR233" t="s">
        <v>104</v>
      </c>
      <c r="BS233" t="s">
        <v>4492</v>
      </c>
      <c r="BT233" t="str">
        <f>HYPERLINK("https%3A%2F%2Fwww.webofscience.com%2Fwos%2Fwoscc%2Ffull-record%2FWOS:000458607800005","View Full Record in Web of Science")</f>
        <v>View Full Record in Web of Science</v>
      </c>
    </row>
    <row r="234" spans="1:72" x14ac:dyDescent="0.15">
      <c r="A234" t="s">
        <v>72</v>
      </c>
      <c r="B234" t="s">
        <v>4493</v>
      </c>
      <c r="C234" t="s">
        <v>74</v>
      </c>
      <c r="D234" t="s">
        <v>74</v>
      </c>
      <c r="E234" t="s">
        <v>74</v>
      </c>
      <c r="F234" t="s">
        <v>4494</v>
      </c>
      <c r="G234" t="s">
        <v>74</v>
      </c>
      <c r="H234" t="s">
        <v>74</v>
      </c>
      <c r="I234" t="s">
        <v>4495</v>
      </c>
      <c r="J234" t="s">
        <v>4496</v>
      </c>
      <c r="K234" t="s">
        <v>74</v>
      </c>
      <c r="L234" t="s">
        <v>74</v>
      </c>
      <c r="M234" t="s">
        <v>78</v>
      </c>
      <c r="N234" t="s">
        <v>79</v>
      </c>
      <c r="O234" t="s">
        <v>74</v>
      </c>
      <c r="P234" t="s">
        <v>74</v>
      </c>
      <c r="Q234" t="s">
        <v>74</v>
      </c>
      <c r="R234" t="s">
        <v>74</v>
      </c>
      <c r="S234" t="s">
        <v>74</v>
      </c>
      <c r="T234" t="s">
        <v>74</v>
      </c>
      <c r="U234" t="s">
        <v>4497</v>
      </c>
      <c r="V234" t="s">
        <v>4498</v>
      </c>
      <c r="W234" t="s">
        <v>4499</v>
      </c>
      <c r="X234" t="s">
        <v>4500</v>
      </c>
      <c r="Y234" t="s">
        <v>4501</v>
      </c>
      <c r="Z234" t="s">
        <v>4502</v>
      </c>
      <c r="AA234" t="s">
        <v>4503</v>
      </c>
      <c r="AB234" t="s">
        <v>74</v>
      </c>
      <c r="AC234" t="s">
        <v>4504</v>
      </c>
      <c r="AD234" t="s">
        <v>4505</v>
      </c>
      <c r="AE234" t="s">
        <v>4506</v>
      </c>
      <c r="AF234" t="s">
        <v>74</v>
      </c>
      <c r="AG234">
        <v>47</v>
      </c>
      <c r="AH234">
        <v>15</v>
      </c>
      <c r="AI234">
        <v>17</v>
      </c>
      <c r="AJ234">
        <v>0</v>
      </c>
      <c r="AK234">
        <v>8</v>
      </c>
      <c r="AL234" t="s">
        <v>4034</v>
      </c>
      <c r="AM234" t="s">
        <v>4035</v>
      </c>
      <c r="AN234" t="s">
        <v>4036</v>
      </c>
      <c r="AO234" t="s">
        <v>4507</v>
      </c>
      <c r="AP234" t="s">
        <v>4508</v>
      </c>
      <c r="AQ234" t="s">
        <v>74</v>
      </c>
      <c r="AR234" t="s">
        <v>4509</v>
      </c>
      <c r="AS234" t="s">
        <v>4510</v>
      </c>
      <c r="AT234" t="s">
        <v>718</v>
      </c>
      <c r="AU234">
        <v>2019</v>
      </c>
      <c r="AV234">
        <v>124</v>
      </c>
      <c r="AW234">
        <v>1</v>
      </c>
      <c r="AX234" t="s">
        <v>74</v>
      </c>
      <c r="AY234" t="s">
        <v>74</v>
      </c>
      <c r="AZ234" t="s">
        <v>74</v>
      </c>
      <c r="BA234" t="s">
        <v>74</v>
      </c>
      <c r="BB234">
        <v>135</v>
      </c>
      <c r="BC234">
        <v>153</v>
      </c>
      <c r="BD234" t="s">
        <v>74</v>
      </c>
      <c r="BE234" t="s">
        <v>4511</v>
      </c>
      <c r="BF234" t="str">
        <f>HYPERLINK("http://dx.doi.org/10.1029/2018JC014030","http://dx.doi.org/10.1029/2018JC014030")</f>
        <v>http://dx.doi.org/10.1029/2018JC014030</v>
      </c>
      <c r="BG234" t="s">
        <v>74</v>
      </c>
      <c r="BH234" t="s">
        <v>74</v>
      </c>
      <c r="BI234">
        <v>19</v>
      </c>
      <c r="BJ234" t="s">
        <v>773</v>
      </c>
      <c r="BK234" t="s">
        <v>101</v>
      </c>
      <c r="BL234" t="s">
        <v>773</v>
      </c>
      <c r="BM234" t="s">
        <v>4512</v>
      </c>
      <c r="BN234" t="s">
        <v>74</v>
      </c>
      <c r="BO234" t="s">
        <v>162</v>
      </c>
      <c r="BP234" t="s">
        <v>74</v>
      </c>
      <c r="BQ234" t="s">
        <v>74</v>
      </c>
      <c r="BR234" t="s">
        <v>104</v>
      </c>
      <c r="BS234" t="s">
        <v>4513</v>
      </c>
      <c r="BT234" t="str">
        <f>HYPERLINK("https%3A%2F%2Fwww.webofscience.com%2Fwos%2Fwoscc%2Ffull-record%2FWOS:000458718600008","View Full Record in Web of Science")</f>
        <v>View Full Record in Web of Science</v>
      </c>
    </row>
    <row r="235" spans="1:72" x14ac:dyDescent="0.15">
      <c r="A235" t="s">
        <v>72</v>
      </c>
      <c r="B235" t="s">
        <v>4514</v>
      </c>
      <c r="C235" t="s">
        <v>74</v>
      </c>
      <c r="D235" t="s">
        <v>74</v>
      </c>
      <c r="E235" t="s">
        <v>74</v>
      </c>
      <c r="F235" t="s">
        <v>4515</v>
      </c>
      <c r="G235" t="s">
        <v>74</v>
      </c>
      <c r="H235" t="s">
        <v>74</v>
      </c>
      <c r="I235" t="s">
        <v>4516</v>
      </c>
      <c r="J235" t="s">
        <v>4496</v>
      </c>
      <c r="K235" t="s">
        <v>74</v>
      </c>
      <c r="L235" t="s">
        <v>74</v>
      </c>
      <c r="M235" t="s">
        <v>78</v>
      </c>
      <c r="N235" t="s">
        <v>79</v>
      </c>
      <c r="O235" t="s">
        <v>74</v>
      </c>
      <c r="P235" t="s">
        <v>74</v>
      </c>
      <c r="Q235" t="s">
        <v>74</v>
      </c>
      <c r="R235" t="s">
        <v>74</v>
      </c>
      <c r="S235" t="s">
        <v>74</v>
      </c>
      <c r="T235" t="s">
        <v>74</v>
      </c>
      <c r="U235" t="s">
        <v>4517</v>
      </c>
      <c r="V235" t="s">
        <v>4518</v>
      </c>
      <c r="W235" t="s">
        <v>4519</v>
      </c>
      <c r="X235" t="s">
        <v>4520</v>
      </c>
      <c r="Y235" t="s">
        <v>4521</v>
      </c>
      <c r="Z235" t="s">
        <v>4522</v>
      </c>
      <c r="AA235" t="s">
        <v>74</v>
      </c>
      <c r="AB235" t="s">
        <v>4523</v>
      </c>
      <c r="AC235" t="s">
        <v>4524</v>
      </c>
      <c r="AD235" t="s">
        <v>4525</v>
      </c>
      <c r="AE235" t="s">
        <v>4526</v>
      </c>
      <c r="AF235" t="s">
        <v>74</v>
      </c>
      <c r="AG235">
        <v>58</v>
      </c>
      <c r="AH235">
        <v>7</v>
      </c>
      <c r="AI235">
        <v>7</v>
      </c>
      <c r="AJ235">
        <v>1</v>
      </c>
      <c r="AK235">
        <v>6</v>
      </c>
      <c r="AL235" t="s">
        <v>4034</v>
      </c>
      <c r="AM235" t="s">
        <v>4035</v>
      </c>
      <c r="AN235" t="s">
        <v>4036</v>
      </c>
      <c r="AO235" t="s">
        <v>4507</v>
      </c>
      <c r="AP235" t="s">
        <v>4508</v>
      </c>
      <c r="AQ235" t="s">
        <v>74</v>
      </c>
      <c r="AR235" t="s">
        <v>4509</v>
      </c>
      <c r="AS235" t="s">
        <v>4510</v>
      </c>
      <c r="AT235" t="s">
        <v>718</v>
      </c>
      <c r="AU235">
        <v>2019</v>
      </c>
      <c r="AV235">
        <v>124</v>
      </c>
      <c r="AW235">
        <v>1</v>
      </c>
      <c r="AX235" t="s">
        <v>74</v>
      </c>
      <c r="AY235" t="s">
        <v>74</v>
      </c>
      <c r="AZ235" t="s">
        <v>74</v>
      </c>
      <c r="BA235" t="s">
        <v>74</v>
      </c>
      <c r="BB235">
        <v>281</v>
      </c>
      <c r="BC235">
        <v>301</v>
      </c>
      <c r="BD235" t="s">
        <v>74</v>
      </c>
      <c r="BE235" t="s">
        <v>4527</v>
      </c>
      <c r="BF235" t="str">
        <f>HYPERLINK("http://dx.doi.org/10.1029/2018JC014122","http://dx.doi.org/10.1029/2018JC014122")</f>
        <v>http://dx.doi.org/10.1029/2018JC014122</v>
      </c>
      <c r="BG235" t="s">
        <v>74</v>
      </c>
      <c r="BH235" t="s">
        <v>74</v>
      </c>
      <c r="BI235">
        <v>21</v>
      </c>
      <c r="BJ235" t="s">
        <v>773</v>
      </c>
      <c r="BK235" t="s">
        <v>101</v>
      </c>
      <c r="BL235" t="s">
        <v>773</v>
      </c>
      <c r="BM235" t="s">
        <v>4512</v>
      </c>
      <c r="BN235" t="s">
        <v>74</v>
      </c>
      <c r="BO235" t="s">
        <v>3893</v>
      </c>
      <c r="BP235" t="s">
        <v>74</v>
      </c>
      <c r="BQ235" t="s">
        <v>74</v>
      </c>
      <c r="BR235" t="s">
        <v>104</v>
      </c>
      <c r="BS235" t="s">
        <v>4528</v>
      </c>
      <c r="BT235" t="str">
        <f>HYPERLINK("https%3A%2F%2Fwww.webofscience.com%2Fwos%2Fwoscc%2Ffull-record%2FWOS:000458718600017","View Full Record in Web of Science")</f>
        <v>View Full Record in Web of Science</v>
      </c>
    </row>
    <row r="236" spans="1:72" x14ac:dyDescent="0.15">
      <c r="A236" t="s">
        <v>72</v>
      </c>
      <c r="B236" t="s">
        <v>4529</v>
      </c>
      <c r="C236" t="s">
        <v>74</v>
      </c>
      <c r="D236" t="s">
        <v>74</v>
      </c>
      <c r="E236" t="s">
        <v>74</v>
      </c>
      <c r="F236" t="s">
        <v>4530</v>
      </c>
      <c r="G236" t="s">
        <v>74</v>
      </c>
      <c r="H236" t="s">
        <v>74</v>
      </c>
      <c r="I236" t="s">
        <v>4531</v>
      </c>
      <c r="J236" t="s">
        <v>4496</v>
      </c>
      <c r="K236" t="s">
        <v>74</v>
      </c>
      <c r="L236" t="s">
        <v>74</v>
      </c>
      <c r="M236" t="s">
        <v>78</v>
      </c>
      <c r="N236" t="s">
        <v>79</v>
      </c>
      <c r="O236" t="s">
        <v>74</v>
      </c>
      <c r="P236" t="s">
        <v>74</v>
      </c>
      <c r="Q236" t="s">
        <v>74</v>
      </c>
      <c r="R236" t="s">
        <v>74</v>
      </c>
      <c r="S236" t="s">
        <v>74</v>
      </c>
      <c r="T236" t="s">
        <v>74</v>
      </c>
      <c r="U236" t="s">
        <v>4532</v>
      </c>
      <c r="V236" t="s">
        <v>4533</v>
      </c>
      <c r="W236" t="s">
        <v>4534</v>
      </c>
      <c r="X236" t="s">
        <v>4535</v>
      </c>
      <c r="Y236" t="s">
        <v>4536</v>
      </c>
      <c r="Z236" t="s">
        <v>4537</v>
      </c>
      <c r="AA236" t="s">
        <v>4538</v>
      </c>
      <c r="AB236" t="s">
        <v>4539</v>
      </c>
      <c r="AC236" t="s">
        <v>4540</v>
      </c>
      <c r="AD236" t="s">
        <v>4541</v>
      </c>
      <c r="AE236" t="s">
        <v>4542</v>
      </c>
      <c r="AF236" t="s">
        <v>74</v>
      </c>
      <c r="AG236">
        <v>114</v>
      </c>
      <c r="AH236">
        <v>22</v>
      </c>
      <c r="AI236">
        <v>25</v>
      </c>
      <c r="AJ236">
        <v>1</v>
      </c>
      <c r="AK236">
        <v>19</v>
      </c>
      <c r="AL236" t="s">
        <v>4034</v>
      </c>
      <c r="AM236" t="s">
        <v>4035</v>
      </c>
      <c r="AN236" t="s">
        <v>4036</v>
      </c>
      <c r="AO236" t="s">
        <v>4507</v>
      </c>
      <c r="AP236" t="s">
        <v>4508</v>
      </c>
      <c r="AQ236" t="s">
        <v>74</v>
      </c>
      <c r="AR236" t="s">
        <v>4509</v>
      </c>
      <c r="AS236" t="s">
        <v>4510</v>
      </c>
      <c r="AT236" t="s">
        <v>718</v>
      </c>
      <c r="AU236">
        <v>2019</v>
      </c>
      <c r="AV236">
        <v>124</v>
      </c>
      <c r="AW236">
        <v>1</v>
      </c>
      <c r="AX236" t="s">
        <v>74</v>
      </c>
      <c r="AY236" t="s">
        <v>74</v>
      </c>
      <c r="AZ236" t="s">
        <v>74</v>
      </c>
      <c r="BA236" t="s">
        <v>74</v>
      </c>
      <c r="BB236">
        <v>403</v>
      </c>
      <c r="BC236">
        <v>431</v>
      </c>
      <c r="BD236" t="s">
        <v>74</v>
      </c>
      <c r="BE236" t="s">
        <v>4543</v>
      </c>
      <c r="BF236" t="str">
        <f>HYPERLINK("http://dx.doi.org/10.1029/2018JC014059","http://dx.doi.org/10.1029/2018JC014059")</f>
        <v>http://dx.doi.org/10.1029/2018JC014059</v>
      </c>
      <c r="BG236" t="s">
        <v>74</v>
      </c>
      <c r="BH236" t="s">
        <v>74</v>
      </c>
      <c r="BI236">
        <v>29</v>
      </c>
      <c r="BJ236" t="s">
        <v>773</v>
      </c>
      <c r="BK236" t="s">
        <v>101</v>
      </c>
      <c r="BL236" t="s">
        <v>773</v>
      </c>
      <c r="BM236" t="s">
        <v>4512</v>
      </c>
      <c r="BN236">
        <v>31007997</v>
      </c>
      <c r="BO236" t="s">
        <v>4544</v>
      </c>
      <c r="BP236" t="s">
        <v>74</v>
      </c>
      <c r="BQ236" t="s">
        <v>74</v>
      </c>
      <c r="BR236" t="s">
        <v>104</v>
      </c>
      <c r="BS236" t="s">
        <v>4545</v>
      </c>
      <c r="BT236" t="str">
        <f>HYPERLINK("https%3A%2F%2Fwww.webofscience.com%2Fwos%2Fwoscc%2Ffull-record%2FWOS:000458718600024","View Full Record in Web of Science")</f>
        <v>View Full Record in Web of Science</v>
      </c>
    </row>
    <row r="237" spans="1:72" x14ac:dyDescent="0.15">
      <c r="A237" t="s">
        <v>72</v>
      </c>
      <c r="B237" t="s">
        <v>4546</v>
      </c>
      <c r="C237" t="s">
        <v>74</v>
      </c>
      <c r="D237" t="s">
        <v>74</v>
      </c>
      <c r="E237" t="s">
        <v>74</v>
      </c>
      <c r="F237" t="s">
        <v>4547</v>
      </c>
      <c r="G237" t="s">
        <v>74</v>
      </c>
      <c r="H237" t="s">
        <v>74</v>
      </c>
      <c r="I237" t="s">
        <v>4548</v>
      </c>
      <c r="J237" t="s">
        <v>4496</v>
      </c>
      <c r="K237" t="s">
        <v>74</v>
      </c>
      <c r="L237" t="s">
        <v>74</v>
      </c>
      <c r="M237" t="s">
        <v>78</v>
      </c>
      <c r="N237" t="s">
        <v>79</v>
      </c>
      <c r="O237" t="s">
        <v>74</v>
      </c>
      <c r="P237" t="s">
        <v>74</v>
      </c>
      <c r="Q237" t="s">
        <v>74</v>
      </c>
      <c r="R237" t="s">
        <v>74</v>
      </c>
      <c r="S237" t="s">
        <v>74</v>
      </c>
      <c r="T237" t="s">
        <v>74</v>
      </c>
      <c r="U237" t="s">
        <v>4549</v>
      </c>
      <c r="V237" t="s">
        <v>4550</v>
      </c>
      <c r="W237" t="s">
        <v>4551</v>
      </c>
      <c r="X237" t="s">
        <v>4552</v>
      </c>
      <c r="Y237" t="s">
        <v>4553</v>
      </c>
      <c r="Z237" t="s">
        <v>4554</v>
      </c>
      <c r="AA237" t="s">
        <v>4555</v>
      </c>
      <c r="AB237" t="s">
        <v>4556</v>
      </c>
      <c r="AC237" t="s">
        <v>4557</v>
      </c>
      <c r="AD237" t="s">
        <v>4558</v>
      </c>
      <c r="AE237" t="s">
        <v>4559</v>
      </c>
      <c r="AF237" t="s">
        <v>74</v>
      </c>
      <c r="AG237">
        <v>58</v>
      </c>
      <c r="AH237">
        <v>12</v>
      </c>
      <c r="AI237">
        <v>12</v>
      </c>
      <c r="AJ237">
        <v>1</v>
      </c>
      <c r="AK237">
        <v>8</v>
      </c>
      <c r="AL237" t="s">
        <v>4034</v>
      </c>
      <c r="AM237" t="s">
        <v>4035</v>
      </c>
      <c r="AN237" t="s">
        <v>4036</v>
      </c>
      <c r="AO237" t="s">
        <v>4507</v>
      </c>
      <c r="AP237" t="s">
        <v>4508</v>
      </c>
      <c r="AQ237" t="s">
        <v>74</v>
      </c>
      <c r="AR237" t="s">
        <v>4509</v>
      </c>
      <c r="AS237" t="s">
        <v>4510</v>
      </c>
      <c r="AT237" t="s">
        <v>718</v>
      </c>
      <c r="AU237">
        <v>2019</v>
      </c>
      <c r="AV237">
        <v>124</v>
      </c>
      <c r="AW237">
        <v>1</v>
      </c>
      <c r="AX237" t="s">
        <v>74</v>
      </c>
      <c r="AY237" t="s">
        <v>74</v>
      </c>
      <c r="AZ237" t="s">
        <v>74</v>
      </c>
      <c r="BA237" t="s">
        <v>74</v>
      </c>
      <c r="BB237">
        <v>527</v>
      </c>
      <c r="BC237">
        <v>554</v>
      </c>
      <c r="BD237" t="s">
        <v>74</v>
      </c>
      <c r="BE237" t="s">
        <v>4560</v>
      </c>
      <c r="BF237" t="str">
        <f>HYPERLINK("http://dx.doi.org/10.1029/2018JC014733","http://dx.doi.org/10.1029/2018JC014733")</f>
        <v>http://dx.doi.org/10.1029/2018JC014733</v>
      </c>
      <c r="BG237" t="s">
        <v>74</v>
      </c>
      <c r="BH237" t="s">
        <v>74</v>
      </c>
      <c r="BI237">
        <v>28</v>
      </c>
      <c r="BJ237" t="s">
        <v>773</v>
      </c>
      <c r="BK237" t="s">
        <v>101</v>
      </c>
      <c r="BL237" t="s">
        <v>773</v>
      </c>
      <c r="BM237" t="s">
        <v>4512</v>
      </c>
      <c r="BN237" t="s">
        <v>74</v>
      </c>
      <c r="BO237" t="s">
        <v>428</v>
      </c>
      <c r="BP237" t="s">
        <v>74</v>
      </c>
      <c r="BQ237" t="s">
        <v>74</v>
      </c>
      <c r="BR237" t="s">
        <v>104</v>
      </c>
      <c r="BS237" t="s">
        <v>4561</v>
      </c>
      <c r="BT237" t="str">
        <f>HYPERLINK("https%3A%2F%2Fwww.webofscience.com%2Fwos%2Fwoscc%2Ffull-record%2FWOS:000458718600030","View Full Record in Web of Science")</f>
        <v>View Full Record in Web of Science</v>
      </c>
    </row>
    <row r="238" spans="1:72" x14ac:dyDescent="0.15">
      <c r="A238" t="s">
        <v>72</v>
      </c>
      <c r="B238" t="s">
        <v>4562</v>
      </c>
      <c r="C238" t="s">
        <v>74</v>
      </c>
      <c r="D238" t="s">
        <v>74</v>
      </c>
      <c r="E238" t="s">
        <v>74</v>
      </c>
      <c r="F238" t="s">
        <v>4563</v>
      </c>
      <c r="G238" t="s">
        <v>74</v>
      </c>
      <c r="H238" t="s">
        <v>74</v>
      </c>
      <c r="I238" t="s">
        <v>4564</v>
      </c>
      <c r="J238" t="s">
        <v>4496</v>
      </c>
      <c r="K238" t="s">
        <v>74</v>
      </c>
      <c r="L238" t="s">
        <v>74</v>
      </c>
      <c r="M238" t="s">
        <v>78</v>
      </c>
      <c r="N238" t="s">
        <v>79</v>
      </c>
      <c r="O238" t="s">
        <v>74</v>
      </c>
      <c r="P238" t="s">
        <v>74</v>
      </c>
      <c r="Q238" t="s">
        <v>74</v>
      </c>
      <c r="R238" t="s">
        <v>74</v>
      </c>
      <c r="S238" t="s">
        <v>74</v>
      </c>
      <c r="T238" t="s">
        <v>4565</v>
      </c>
      <c r="U238" t="s">
        <v>4566</v>
      </c>
      <c r="V238" t="s">
        <v>4567</v>
      </c>
      <c r="W238" t="s">
        <v>4568</v>
      </c>
      <c r="X238" t="s">
        <v>4569</v>
      </c>
      <c r="Y238" t="s">
        <v>4570</v>
      </c>
      <c r="Z238" t="s">
        <v>4571</v>
      </c>
      <c r="AA238" t="s">
        <v>4572</v>
      </c>
      <c r="AB238" t="s">
        <v>4573</v>
      </c>
      <c r="AC238" t="s">
        <v>4574</v>
      </c>
      <c r="AD238" t="s">
        <v>4575</v>
      </c>
      <c r="AE238" t="s">
        <v>4576</v>
      </c>
      <c r="AF238" t="s">
        <v>74</v>
      </c>
      <c r="AG238">
        <v>60</v>
      </c>
      <c r="AH238">
        <v>14</v>
      </c>
      <c r="AI238">
        <v>16</v>
      </c>
      <c r="AJ238">
        <v>7</v>
      </c>
      <c r="AK238">
        <v>20</v>
      </c>
      <c r="AL238" t="s">
        <v>4034</v>
      </c>
      <c r="AM238" t="s">
        <v>4035</v>
      </c>
      <c r="AN238" t="s">
        <v>4036</v>
      </c>
      <c r="AO238" t="s">
        <v>4507</v>
      </c>
      <c r="AP238" t="s">
        <v>4508</v>
      </c>
      <c r="AQ238" t="s">
        <v>74</v>
      </c>
      <c r="AR238" t="s">
        <v>4509</v>
      </c>
      <c r="AS238" t="s">
        <v>4510</v>
      </c>
      <c r="AT238" t="s">
        <v>718</v>
      </c>
      <c r="AU238">
        <v>2019</v>
      </c>
      <c r="AV238">
        <v>124</v>
      </c>
      <c r="AW238">
        <v>1</v>
      </c>
      <c r="AX238" t="s">
        <v>74</v>
      </c>
      <c r="AY238" t="s">
        <v>74</v>
      </c>
      <c r="AZ238" t="s">
        <v>74</v>
      </c>
      <c r="BA238" t="s">
        <v>74</v>
      </c>
      <c r="BB238">
        <v>615</v>
      </c>
      <c r="BC238">
        <v>634</v>
      </c>
      <c r="BD238" t="s">
        <v>74</v>
      </c>
      <c r="BE238" t="s">
        <v>4577</v>
      </c>
      <c r="BF238" t="str">
        <f>HYPERLINK("http://dx.doi.org/10.1029/2018JC014611","http://dx.doi.org/10.1029/2018JC014611")</f>
        <v>http://dx.doi.org/10.1029/2018JC014611</v>
      </c>
      <c r="BG238" t="s">
        <v>74</v>
      </c>
      <c r="BH238" t="s">
        <v>74</v>
      </c>
      <c r="BI238">
        <v>20</v>
      </c>
      <c r="BJ238" t="s">
        <v>773</v>
      </c>
      <c r="BK238" t="s">
        <v>101</v>
      </c>
      <c r="BL238" t="s">
        <v>773</v>
      </c>
      <c r="BM238" t="s">
        <v>4512</v>
      </c>
      <c r="BN238" t="s">
        <v>74</v>
      </c>
      <c r="BO238" t="s">
        <v>4578</v>
      </c>
      <c r="BP238" t="s">
        <v>74</v>
      </c>
      <c r="BQ238" t="s">
        <v>74</v>
      </c>
      <c r="BR238" t="s">
        <v>104</v>
      </c>
      <c r="BS238" t="s">
        <v>4579</v>
      </c>
      <c r="BT238" t="str">
        <f>HYPERLINK("https%3A%2F%2Fwww.webofscience.com%2Fwos%2Fwoscc%2Ffull-record%2FWOS:000458718600034","View Full Record in Web of Science")</f>
        <v>View Full Record in Web of Science</v>
      </c>
    </row>
    <row r="239" spans="1:72" x14ac:dyDescent="0.15">
      <c r="A239" t="s">
        <v>72</v>
      </c>
      <c r="B239" t="s">
        <v>4580</v>
      </c>
      <c r="C239" t="s">
        <v>74</v>
      </c>
      <c r="D239" t="s">
        <v>74</v>
      </c>
      <c r="E239" t="s">
        <v>74</v>
      </c>
      <c r="F239" t="s">
        <v>4581</v>
      </c>
      <c r="G239" t="s">
        <v>74</v>
      </c>
      <c r="H239" t="s">
        <v>74</v>
      </c>
      <c r="I239" t="s">
        <v>4582</v>
      </c>
      <c r="J239" t="s">
        <v>4583</v>
      </c>
      <c r="K239" t="s">
        <v>74</v>
      </c>
      <c r="L239" t="s">
        <v>74</v>
      </c>
      <c r="M239" t="s">
        <v>78</v>
      </c>
      <c r="N239" t="s">
        <v>79</v>
      </c>
      <c r="O239" t="s">
        <v>74</v>
      </c>
      <c r="P239" t="s">
        <v>74</v>
      </c>
      <c r="Q239" t="s">
        <v>74</v>
      </c>
      <c r="R239" t="s">
        <v>74</v>
      </c>
      <c r="S239" t="s">
        <v>74</v>
      </c>
      <c r="T239" t="s">
        <v>74</v>
      </c>
      <c r="U239" t="s">
        <v>4584</v>
      </c>
      <c r="V239" t="s">
        <v>4585</v>
      </c>
      <c r="W239" t="s">
        <v>4586</v>
      </c>
      <c r="X239" t="s">
        <v>4587</v>
      </c>
      <c r="Y239" t="s">
        <v>4588</v>
      </c>
      <c r="Z239" t="s">
        <v>4589</v>
      </c>
      <c r="AA239" t="s">
        <v>74</v>
      </c>
      <c r="AB239" t="s">
        <v>4590</v>
      </c>
      <c r="AC239" t="s">
        <v>4591</v>
      </c>
      <c r="AD239" t="s">
        <v>4592</v>
      </c>
      <c r="AE239" t="s">
        <v>4593</v>
      </c>
      <c r="AF239" t="s">
        <v>74</v>
      </c>
      <c r="AG239">
        <v>73</v>
      </c>
      <c r="AH239">
        <v>7</v>
      </c>
      <c r="AI239">
        <v>7</v>
      </c>
      <c r="AJ239">
        <v>0</v>
      </c>
      <c r="AK239">
        <v>0</v>
      </c>
      <c r="AL239" t="s">
        <v>4034</v>
      </c>
      <c r="AM239" t="s">
        <v>4035</v>
      </c>
      <c r="AN239" t="s">
        <v>4036</v>
      </c>
      <c r="AO239" t="s">
        <v>4594</v>
      </c>
      <c r="AP239" t="s">
        <v>4595</v>
      </c>
      <c r="AQ239" t="s">
        <v>74</v>
      </c>
      <c r="AR239" t="s">
        <v>4596</v>
      </c>
      <c r="AS239" t="s">
        <v>4597</v>
      </c>
      <c r="AT239" t="s">
        <v>718</v>
      </c>
      <c r="AU239">
        <v>2019</v>
      </c>
      <c r="AV239">
        <v>124</v>
      </c>
      <c r="AW239">
        <v>1</v>
      </c>
      <c r="AX239" t="s">
        <v>74</v>
      </c>
      <c r="AY239" t="s">
        <v>74</v>
      </c>
      <c r="AZ239" t="s">
        <v>74</v>
      </c>
      <c r="BA239" t="s">
        <v>74</v>
      </c>
      <c r="BB239">
        <v>715</v>
      </c>
      <c r="BC239">
        <v>733</v>
      </c>
      <c r="BD239" t="s">
        <v>74</v>
      </c>
      <c r="BE239" t="s">
        <v>4598</v>
      </c>
      <c r="BF239" t="str">
        <f>HYPERLINK("http://dx.doi.org/10.1029/2018JA026230","http://dx.doi.org/10.1029/2018JA026230")</f>
        <v>http://dx.doi.org/10.1029/2018JA026230</v>
      </c>
      <c r="BG239" t="s">
        <v>74</v>
      </c>
      <c r="BH239" t="s">
        <v>74</v>
      </c>
      <c r="BI239">
        <v>19</v>
      </c>
      <c r="BJ239" t="s">
        <v>2351</v>
      </c>
      <c r="BK239" t="s">
        <v>101</v>
      </c>
      <c r="BL239" t="s">
        <v>2351</v>
      </c>
      <c r="BM239" t="s">
        <v>4599</v>
      </c>
      <c r="BN239" t="s">
        <v>74</v>
      </c>
      <c r="BO239" t="s">
        <v>162</v>
      </c>
      <c r="BP239" t="s">
        <v>74</v>
      </c>
      <c r="BQ239" t="s">
        <v>74</v>
      </c>
      <c r="BR239" t="s">
        <v>104</v>
      </c>
      <c r="BS239" t="s">
        <v>4600</v>
      </c>
      <c r="BT239" t="str">
        <f>HYPERLINK("https%3A%2F%2Fwww.webofscience.com%2Fwos%2Fwoscc%2Ffull-record%2FWOS:000458729500045","View Full Record in Web of Science")</f>
        <v>View Full Record in Web of Science</v>
      </c>
    </row>
    <row r="240" spans="1:72" x14ac:dyDescent="0.15">
      <c r="A240" t="s">
        <v>72</v>
      </c>
      <c r="B240" t="s">
        <v>4601</v>
      </c>
      <c r="C240" t="s">
        <v>74</v>
      </c>
      <c r="D240" t="s">
        <v>74</v>
      </c>
      <c r="E240" t="s">
        <v>74</v>
      </c>
      <c r="F240" t="s">
        <v>4602</v>
      </c>
      <c r="G240" t="s">
        <v>74</v>
      </c>
      <c r="H240" t="s">
        <v>74</v>
      </c>
      <c r="I240" t="s">
        <v>4603</v>
      </c>
      <c r="J240" t="s">
        <v>4583</v>
      </c>
      <c r="K240" t="s">
        <v>74</v>
      </c>
      <c r="L240" t="s">
        <v>74</v>
      </c>
      <c r="M240" t="s">
        <v>78</v>
      </c>
      <c r="N240" t="s">
        <v>79</v>
      </c>
      <c r="O240" t="s">
        <v>74</v>
      </c>
      <c r="P240" t="s">
        <v>74</v>
      </c>
      <c r="Q240" t="s">
        <v>74</v>
      </c>
      <c r="R240" t="s">
        <v>74</v>
      </c>
      <c r="S240" t="s">
        <v>74</v>
      </c>
      <c r="T240" t="s">
        <v>74</v>
      </c>
      <c r="U240" t="s">
        <v>4604</v>
      </c>
      <c r="V240" t="s">
        <v>4605</v>
      </c>
      <c r="W240" t="s">
        <v>4606</v>
      </c>
      <c r="X240" t="s">
        <v>4607</v>
      </c>
      <c r="Y240" t="s">
        <v>4608</v>
      </c>
      <c r="Z240" t="s">
        <v>4609</v>
      </c>
      <c r="AA240" t="s">
        <v>4610</v>
      </c>
      <c r="AB240" t="s">
        <v>4611</v>
      </c>
      <c r="AC240" t="s">
        <v>4612</v>
      </c>
      <c r="AD240" t="s">
        <v>4613</v>
      </c>
      <c r="AE240" t="s">
        <v>4614</v>
      </c>
      <c r="AF240" t="s">
        <v>74</v>
      </c>
      <c r="AG240">
        <v>67</v>
      </c>
      <c r="AH240">
        <v>6</v>
      </c>
      <c r="AI240">
        <v>6</v>
      </c>
      <c r="AJ240">
        <v>0</v>
      </c>
      <c r="AK240">
        <v>3</v>
      </c>
      <c r="AL240" t="s">
        <v>4034</v>
      </c>
      <c r="AM240" t="s">
        <v>4035</v>
      </c>
      <c r="AN240" t="s">
        <v>4036</v>
      </c>
      <c r="AO240" t="s">
        <v>4594</v>
      </c>
      <c r="AP240" t="s">
        <v>4595</v>
      </c>
      <c r="AQ240" t="s">
        <v>74</v>
      </c>
      <c r="AR240" t="s">
        <v>4596</v>
      </c>
      <c r="AS240" t="s">
        <v>4597</v>
      </c>
      <c r="AT240" t="s">
        <v>718</v>
      </c>
      <c r="AU240">
        <v>2019</v>
      </c>
      <c r="AV240">
        <v>124</v>
      </c>
      <c r="AW240">
        <v>1</v>
      </c>
      <c r="AX240" t="s">
        <v>74</v>
      </c>
      <c r="AY240" t="s">
        <v>74</v>
      </c>
      <c r="AZ240" t="s">
        <v>74</v>
      </c>
      <c r="BA240" t="s">
        <v>74</v>
      </c>
      <c r="BB240">
        <v>765</v>
      </c>
      <c r="BC240">
        <v>781</v>
      </c>
      <c r="BD240" t="s">
        <v>74</v>
      </c>
      <c r="BE240" t="s">
        <v>4615</v>
      </c>
      <c r="BF240" t="str">
        <f>HYPERLINK("http://dx.doi.org/10.1029/2018JA026049","http://dx.doi.org/10.1029/2018JA026049")</f>
        <v>http://dx.doi.org/10.1029/2018JA026049</v>
      </c>
      <c r="BG240" t="s">
        <v>74</v>
      </c>
      <c r="BH240" t="s">
        <v>74</v>
      </c>
      <c r="BI240">
        <v>17</v>
      </c>
      <c r="BJ240" t="s">
        <v>2351</v>
      </c>
      <c r="BK240" t="s">
        <v>101</v>
      </c>
      <c r="BL240" t="s">
        <v>2351</v>
      </c>
      <c r="BM240" t="s">
        <v>4599</v>
      </c>
      <c r="BN240" t="s">
        <v>74</v>
      </c>
      <c r="BO240" t="s">
        <v>4345</v>
      </c>
      <c r="BP240" t="s">
        <v>74</v>
      </c>
      <c r="BQ240" t="s">
        <v>74</v>
      </c>
      <c r="BR240" t="s">
        <v>104</v>
      </c>
      <c r="BS240" t="s">
        <v>4616</v>
      </c>
      <c r="BT240" t="str">
        <f>HYPERLINK("https%3A%2F%2Fwww.webofscience.com%2Fwos%2Fwoscc%2Ffull-record%2FWOS:000458729500048","View Full Record in Web of Science")</f>
        <v>View Full Record in Web of Science</v>
      </c>
    </row>
    <row r="241" spans="1:72" x14ac:dyDescent="0.15">
      <c r="A241" t="s">
        <v>72</v>
      </c>
      <c r="B241" t="s">
        <v>4617</v>
      </c>
      <c r="C241" t="s">
        <v>74</v>
      </c>
      <c r="D241" t="s">
        <v>74</v>
      </c>
      <c r="E241" t="s">
        <v>74</v>
      </c>
      <c r="F241" t="s">
        <v>4618</v>
      </c>
      <c r="G241" t="s">
        <v>74</v>
      </c>
      <c r="H241" t="s">
        <v>74</v>
      </c>
      <c r="I241" t="s">
        <v>4619</v>
      </c>
      <c r="J241" t="s">
        <v>4620</v>
      </c>
      <c r="K241" t="s">
        <v>74</v>
      </c>
      <c r="L241" t="s">
        <v>74</v>
      </c>
      <c r="M241" t="s">
        <v>78</v>
      </c>
      <c r="N241" t="s">
        <v>79</v>
      </c>
      <c r="O241" t="s">
        <v>74</v>
      </c>
      <c r="P241" t="s">
        <v>74</v>
      </c>
      <c r="Q241" t="s">
        <v>74</v>
      </c>
      <c r="R241" t="s">
        <v>74</v>
      </c>
      <c r="S241" t="s">
        <v>74</v>
      </c>
      <c r="T241" t="s">
        <v>4621</v>
      </c>
      <c r="U241" t="s">
        <v>4622</v>
      </c>
      <c r="V241" t="s">
        <v>4623</v>
      </c>
      <c r="W241" t="s">
        <v>4624</v>
      </c>
      <c r="X241" t="s">
        <v>4625</v>
      </c>
      <c r="Y241" t="s">
        <v>4626</v>
      </c>
      <c r="Z241" t="s">
        <v>4627</v>
      </c>
      <c r="AA241" t="s">
        <v>4628</v>
      </c>
      <c r="AB241" t="s">
        <v>4629</v>
      </c>
      <c r="AC241" t="s">
        <v>4630</v>
      </c>
      <c r="AD241" t="s">
        <v>4630</v>
      </c>
      <c r="AE241" t="s">
        <v>4631</v>
      </c>
      <c r="AF241" t="s">
        <v>74</v>
      </c>
      <c r="AG241">
        <v>76</v>
      </c>
      <c r="AH241">
        <v>2</v>
      </c>
      <c r="AI241">
        <v>2</v>
      </c>
      <c r="AJ241">
        <v>0</v>
      </c>
      <c r="AK241">
        <v>9</v>
      </c>
      <c r="AL241" t="s">
        <v>4632</v>
      </c>
      <c r="AM241" t="s">
        <v>4633</v>
      </c>
      <c r="AN241" t="s">
        <v>4634</v>
      </c>
      <c r="AO241" t="s">
        <v>4635</v>
      </c>
      <c r="AP241" t="s">
        <v>4636</v>
      </c>
      <c r="AQ241" t="s">
        <v>74</v>
      </c>
      <c r="AR241" t="s">
        <v>4637</v>
      </c>
      <c r="AS241" t="s">
        <v>4638</v>
      </c>
      <c r="AT241" t="s">
        <v>74</v>
      </c>
      <c r="AU241">
        <v>2019</v>
      </c>
      <c r="AV241">
        <v>70</v>
      </c>
      <c r="AW241">
        <v>3</v>
      </c>
      <c r="AX241" t="s">
        <v>74</v>
      </c>
      <c r="AY241" t="s">
        <v>74</v>
      </c>
      <c r="AZ241" t="s">
        <v>74</v>
      </c>
      <c r="BA241" t="s">
        <v>74</v>
      </c>
      <c r="BB241">
        <v>371</v>
      </c>
      <c r="BC241">
        <v>381</v>
      </c>
      <c r="BD241" t="s">
        <v>74</v>
      </c>
      <c r="BE241" t="s">
        <v>4639</v>
      </c>
      <c r="BF241" t="str">
        <f>HYPERLINK("http://dx.doi.org/10.1071/MF17372","http://dx.doi.org/10.1071/MF17372")</f>
        <v>http://dx.doi.org/10.1071/MF17372</v>
      </c>
      <c r="BG241" t="s">
        <v>74</v>
      </c>
      <c r="BH241" t="s">
        <v>74</v>
      </c>
      <c r="BI241">
        <v>11</v>
      </c>
      <c r="BJ241" t="s">
        <v>4640</v>
      </c>
      <c r="BK241" t="s">
        <v>101</v>
      </c>
      <c r="BL241" t="s">
        <v>3759</v>
      </c>
      <c r="BM241" t="s">
        <v>4641</v>
      </c>
      <c r="BN241" t="s">
        <v>74</v>
      </c>
      <c r="BO241" t="s">
        <v>74</v>
      </c>
      <c r="BP241" t="s">
        <v>74</v>
      </c>
      <c r="BQ241" t="s">
        <v>74</v>
      </c>
      <c r="BR241" t="s">
        <v>104</v>
      </c>
      <c r="BS241" t="s">
        <v>4642</v>
      </c>
      <c r="BT241" t="str">
        <f>HYPERLINK("https%3A%2F%2Fwww.webofscience.com%2Fwos%2Fwoscc%2Ffull-record%2FWOS:000458355200005","View Full Record in Web of Science")</f>
        <v>View Full Record in Web of Science</v>
      </c>
    </row>
    <row r="242" spans="1:72" x14ac:dyDescent="0.15">
      <c r="A242" t="s">
        <v>72</v>
      </c>
      <c r="B242" t="s">
        <v>4643</v>
      </c>
      <c r="C242" t="s">
        <v>74</v>
      </c>
      <c r="D242" t="s">
        <v>74</v>
      </c>
      <c r="E242" t="s">
        <v>74</v>
      </c>
      <c r="F242" t="s">
        <v>4644</v>
      </c>
      <c r="G242" t="s">
        <v>74</v>
      </c>
      <c r="H242" t="s">
        <v>74</v>
      </c>
      <c r="I242" t="s">
        <v>4645</v>
      </c>
      <c r="J242" t="s">
        <v>4646</v>
      </c>
      <c r="K242" t="s">
        <v>74</v>
      </c>
      <c r="L242" t="s">
        <v>74</v>
      </c>
      <c r="M242" t="s">
        <v>78</v>
      </c>
      <c r="N242" t="s">
        <v>79</v>
      </c>
      <c r="O242" t="s">
        <v>74</v>
      </c>
      <c r="P242" t="s">
        <v>74</v>
      </c>
      <c r="Q242" t="s">
        <v>74</v>
      </c>
      <c r="R242" t="s">
        <v>74</v>
      </c>
      <c r="S242" t="s">
        <v>74</v>
      </c>
      <c r="T242" t="s">
        <v>74</v>
      </c>
      <c r="U242" t="s">
        <v>4647</v>
      </c>
      <c r="V242" t="s">
        <v>4648</v>
      </c>
      <c r="W242" t="s">
        <v>4649</v>
      </c>
      <c r="X242" t="s">
        <v>4650</v>
      </c>
      <c r="Y242" t="s">
        <v>4651</v>
      </c>
      <c r="Z242" t="s">
        <v>4652</v>
      </c>
      <c r="AA242" t="s">
        <v>4653</v>
      </c>
      <c r="AB242" t="s">
        <v>4654</v>
      </c>
      <c r="AC242" t="s">
        <v>4655</v>
      </c>
      <c r="AD242" t="s">
        <v>4656</v>
      </c>
      <c r="AE242" t="s">
        <v>4657</v>
      </c>
      <c r="AF242" t="s">
        <v>74</v>
      </c>
      <c r="AG242">
        <v>50</v>
      </c>
      <c r="AH242">
        <v>13</v>
      </c>
      <c r="AI242">
        <v>14</v>
      </c>
      <c r="AJ242">
        <v>1</v>
      </c>
      <c r="AK242">
        <v>12</v>
      </c>
      <c r="AL242" t="s">
        <v>4034</v>
      </c>
      <c r="AM242" t="s">
        <v>4035</v>
      </c>
      <c r="AN242" t="s">
        <v>4036</v>
      </c>
      <c r="AO242" t="s">
        <v>4658</v>
      </c>
      <c r="AP242" t="s">
        <v>4659</v>
      </c>
      <c r="AQ242" t="s">
        <v>74</v>
      </c>
      <c r="AR242" t="s">
        <v>4660</v>
      </c>
      <c r="AS242" t="s">
        <v>4661</v>
      </c>
      <c r="AT242" t="s">
        <v>718</v>
      </c>
      <c r="AU242">
        <v>2019</v>
      </c>
      <c r="AV242">
        <v>34</v>
      </c>
      <c r="AW242">
        <v>1</v>
      </c>
      <c r="AX242" t="s">
        <v>74</v>
      </c>
      <c r="AY242" t="s">
        <v>74</v>
      </c>
      <c r="AZ242" t="s">
        <v>74</v>
      </c>
      <c r="BA242" t="s">
        <v>74</v>
      </c>
      <c r="BB242">
        <v>16</v>
      </c>
      <c r="BC242">
        <v>34</v>
      </c>
      <c r="BD242" t="s">
        <v>74</v>
      </c>
      <c r="BE242" t="s">
        <v>4662</v>
      </c>
      <c r="BF242" t="str">
        <f>HYPERLINK("http://dx.doi.org/10.1029/2018PA003380","http://dx.doi.org/10.1029/2018PA003380")</f>
        <v>http://dx.doi.org/10.1029/2018PA003380</v>
      </c>
      <c r="BG242" t="s">
        <v>74</v>
      </c>
      <c r="BH242" t="s">
        <v>74</v>
      </c>
      <c r="BI242">
        <v>19</v>
      </c>
      <c r="BJ242" t="s">
        <v>4663</v>
      </c>
      <c r="BK242" t="s">
        <v>101</v>
      </c>
      <c r="BL242" t="s">
        <v>4664</v>
      </c>
      <c r="BM242" t="s">
        <v>4665</v>
      </c>
      <c r="BN242" t="s">
        <v>74</v>
      </c>
      <c r="BO242" t="s">
        <v>3893</v>
      </c>
      <c r="BP242" t="s">
        <v>74</v>
      </c>
      <c r="BQ242" t="s">
        <v>74</v>
      </c>
      <c r="BR242" t="s">
        <v>104</v>
      </c>
      <c r="BS242" t="s">
        <v>4666</v>
      </c>
      <c r="BT242" t="str">
        <f>HYPERLINK("https%3A%2F%2Fwww.webofscience.com%2Fwos%2Fwoscc%2Ffull-record%2FWOS:000458730100002","View Full Record in Web of Science")</f>
        <v>View Full Record in Web of Science</v>
      </c>
    </row>
    <row r="243" spans="1:72" x14ac:dyDescent="0.15">
      <c r="A243" t="s">
        <v>72</v>
      </c>
      <c r="B243" t="s">
        <v>4667</v>
      </c>
      <c r="C243" t="s">
        <v>74</v>
      </c>
      <c r="D243" t="s">
        <v>74</v>
      </c>
      <c r="E243" t="s">
        <v>74</v>
      </c>
      <c r="F243" t="s">
        <v>4668</v>
      </c>
      <c r="G243" t="s">
        <v>74</v>
      </c>
      <c r="H243" t="s">
        <v>74</v>
      </c>
      <c r="I243" t="s">
        <v>4669</v>
      </c>
      <c r="J243" t="s">
        <v>4670</v>
      </c>
      <c r="K243" t="s">
        <v>74</v>
      </c>
      <c r="L243" t="s">
        <v>74</v>
      </c>
      <c r="M243" t="s">
        <v>78</v>
      </c>
      <c r="N243" t="s">
        <v>79</v>
      </c>
      <c r="O243" t="s">
        <v>74</v>
      </c>
      <c r="P243" t="s">
        <v>74</v>
      </c>
      <c r="Q243" t="s">
        <v>74</v>
      </c>
      <c r="R243" t="s">
        <v>74</v>
      </c>
      <c r="S243" t="s">
        <v>74</v>
      </c>
      <c r="T243" t="s">
        <v>74</v>
      </c>
      <c r="U243" t="s">
        <v>4671</v>
      </c>
      <c r="V243" t="s">
        <v>4672</v>
      </c>
      <c r="W243" t="s">
        <v>4673</v>
      </c>
      <c r="X243" t="s">
        <v>4674</v>
      </c>
      <c r="Y243" t="s">
        <v>4675</v>
      </c>
      <c r="Z243" t="s">
        <v>4676</v>
      </c>
      <c r="AA243" t="s">
        <v>4677</v>
      </c>
      <c r="AB243" t="s">
        <v>4678</v>
      </c>
      <c r="AC243" t="s">
        <v>4679</v>
      </c>
      <c r="AD243" t="s">
        <v>4680</v>
      </c>
      <c r="AE243" t="s">
        <v>4681</v>
      </c>
      <c r="AF243" t="s">
        <v>74</v>
      </c>
      <c r="AG243">
        <v>102</v>
      </c>
      <c r="AH243">
        <v>13</v>
      </c>
      <c r="AI243">
        <v>13</v>
      </c>
      <c r="AJ243">
        <v>0</v>
      </c>
      <c r="AK243">
        <v>7</v>
      </c>
      <c r="AL243" t="s">
        <v>4034</v>
      </c>
      <c r="AM243" t="s">
        <v>4035</v>
      </c>
      <c r="AN243" t="s">
        <v>4036</v>
      </c>
      <c r="AO243" t="s">
        <v>74</v>
      </c>
      <c r="AP243" t="s">
        <v>4682</v>
      </c>
      <c r="AQ243" t="s">
        <v>74</v>
      </c>
      <c r="AR243" t="s">
        <v>4683</v>
      </c>
      <c r="AS243" t="s">
        <v>4684</v>
      </c>
      <c r="AT243" t="s">
        <v>718</v>
      </c>
      <c r="AU243">
        <v>2019</v>
      </c>
      <c r="AV243">
        <v>17</v>
      </c>
      <c r="AW243">
        <v>1</v>
      </c>
      <c r="AX243" t="s">
        <v>74</v>
      </c>
      <c r="AY243" t="s">
        <v>74</v>
      </c>
      <c r="AZ243" t="s">
        <v>74</v>
      </c>
      <c r="BA243" t="s">
        <v>74</v>
      </c>
      <c r="BB243">
        <v>157</v>
      </c>
      <c r="BC243">
        <v>179</v>
      </c>
      <c r="BD243" t="s">
        <v>74</v>
      </c>
      <c r="BE243" t="s">
        <v>4685</v>
      </c>
      <c r="BF243" t="str">
        <f>HYPERLINK("http://dx.doi.org/10.1029/2018SW002016","http://dx.doi.org/10.1029/2018SW002016")</f>
        <v>http://dx.doi.org/10.1029/2018SW002016</v>
      </c>
      <c r="BG243" t="s">
        <v>74</v>
      </c>
      <c r="BH243" t="s">
        <v>74</v>
      </c>
      <c r="BI243">
        <v>23</v>
      </c>
      <c r="BJ243" t="s">
        <v>4686</v>
      </c>
      <c r="BK243" t="s">
        <v>101</v>
      </c>
      <c r="BL243" t="s">
        <v>4686</v>
      </c>
      <c r="BM243" t="s">
        <v>4687</v>
      </c>
      <c r="BN243" t="s">
        <v>74</v>
      </c>
      <c r="BO243" t="s">
        <v>4688</v>
      </c>
      <c r="BP243" t="s">
        <v>74</v>
      </c>
      <c r="BQ243" t="s">
        <v>74</v>
      </c>
      <c r="BR243" t="s">
        <v>104</v>
      </c>
      <c r="BS243" t="s">
        <v>4689</v>
      </c>
      <c r="BT243" t="str">
        <f>HYPERLINK("https%3A%2F%2Fwww.webofscience.com%2Fwos%2Fwoscc%2Ffull-record%2FWOS:000458720400011","View Full Record in Web of Science")</f>
        <v>View Full Record in Web of Science</v>
      </c>
    </row>
    <row r="244" spans="1:72" x14ac:dyDescent="0.15">
      <c r="A244" t="s">
        <v>72</v>
      </c>
      <c r="B244" t="s">
        <v>4667</v>
      </c>
      <c r="C244" t="s">
        <v>74</v>
      </c>
      <c r="D244" t="s">
        <v>74</v>
      </c>
      <c r="E244" t="s">
        <v>74</v>
      </c>
      <c r="F244" t="s">
        <v>4668</v>
      </c>
      <c r="G244" t="s">
        <v>74</v>
      </c>
      <c r="H244" t="s">
        <v>74</v>
      </c>
      <c r="I244" t="s">
        <v>4690</v>
      </c>
      <c r="J244" t="s">
        <v>4670</v>
      </c>
      <c r="K244" t="s">
        <v>74</v>
      </c>
      <c r="L244" t="s">
        <v>74</v>
      </c>
      <c r="M244" t="s">
        <v>78</v>
      </c>
      <c r="N244" t="s">
        <v>79</v>
      </c>
      <c r="O244" t="s">
        <v>74</v>
      </c>
      <c r="P244" t="s">
        <v>74</v>
      </c>
      <c r="Q244" t="s">
        <v>74</v>
      </c>
      <c r="R244" t="s">
        <v>74</v>
      </c>
      <c r="S244" t="s">
        <v>74</v>
      </c>
      <c r="T244" t="s">
        <v>74</v>
      </c>
      <c r="U244" t="s">
        <v>4691</v>
      </c>
      <c r="V244" t="s">
        <v>4692</v>
      </c>
      <c r="W244" t="s">
        <v>4673</v>
      </c>
      <c r="X244" t="s">
        <v>4674</v>
      </c>
      <c r="Y244" t="s">
        <v>4675</v>
      </c>
      <c r="Z244" t="s">
        <v>4693</v>
      </c>
      <c r="AA244" t="s">
        <v>4694</v>
      </c>
      <c r="AB244" t="s">
        <v>4695</v>
      </c>
      <c r="AC244" t="s">
        <v>4696</v>
      </c>
      <c r="AD244" t="s">
        <v>4697</v>
      </c>
      <c r="AE244" t="s">
        <v>4698</v>
      </c>
      <c r="AF244" t="s">
        <v>74</v>
      </c>
      <c r="AG244">
        <v>106</v>
      </c>
      <c r="AH244">
        <v>17</v>
      </c>
      <c r="AI244">
        <v>17</v>
      </c>
      <c r="AJ244">
        <v>0</v>
      </c>
      <c r="AK244">
        <v>5</v>
      </c>
      <c r="AL244" t="s">
        <v>4034</v>
      </c>
      <c r="AM244" t="s">
        <v>4035</v>
      </c>
      <c r="AN244" t="s">
        <v>4036</v>
      </c>
      <c r="AO244" t="s">
        <v>4682</v>
      </c>
      <c r="AP244" t="s">
        <v>74</v>
      </c>
      <c r="AQ244" t="s">
        <v>74</v>
      </c>
      <c r="AR244" t="s">
        <v>4683</v>
      </c>
      <c r="AS244" t="s">
        <v>4684</v>
      </c>
      <c r="AT244" t="s">
        <v>718</v>
      </c>
      <c r="AU244">
        <v>2019</v>
      </c>
      <c r="AV244">
        <v>17</v>
      </c>
      <c r="AW244">
        <v>1</v>
      </c>
      <c r="AX244" t="s">
        <v>74</v>
      </c>
      <c r="AY244" t="s">
        <v>74</v>
      </c>
      <c r="AZ244" t="s">
        <v>74</v>
      </c>
      <c r="BA244" t="s">
        <v>74</v>
      </c>
      <c r="BB244">
        <v>180</v>
      </c>
      <c r="BC244">
        <v>209</v>
      </c>
      <c r="BD244" t="s">
        <v>74</v>
      </c>
      <c r="BE244" t="s">
        <v>4699</v>
      </c>
      <c r="BF244" t="str">
        <f>HYPERLINK("http://dx.doi.org/10.1029/2018SW002017","http://dx.doi.org/10.1029/2018SW002017")</f>
        <v>http://dx.doi.org/10.1029/2018SW002017</v>
      </c>
      <c r="BG244" t="s">
        <v>74</v>
      </c>
      <c r="BH244" t="s">
        <v>74</v>
      </c>
      <c r="BI244">
        <v>30</v>
      </c>
      <c r="BJ244" t="s">
        <v>4686</v>
      </c>
      <c r="BK244" t="s">
        <v>101</v>
      </c>
      <c r="BL244" t="s">
        <v>4686</v>
      </c>
      <c r="BM244" t="s">
        <v>4687</v>
      </c>
      <c r="BN244" t="s">
        <v>74</v>
      </c>
      <c r="BO244" t="s">
        <v>4700</v>
      </c>
      <c r="BP244" t="s">
        <v>74</v>
      </c>
      <c r="BQ244" t="s">
        <v>74</v>
      </c>
      <c r="BR244" t="s">
        <v>104</v>
      </c>
      <c r="BS244" t="s">
        <v>4701</v>
      </c>
      <c r="BT244" t="str">
        <f>HYPERLINK("https%3A%2F%2Fwww.webofscience.com%2Fwos%2Fwoscc%2Ffull-record%2FWOS:000458720400012","View Full Record in Web of Science")</f>
        <v>View Full Record in Web of Science</v>
      </c>
    </row>
    <row r="245" spans="1:72" x14ac:dyDescent="0.15">
      <c r="A245" t="s">
        <v>72</v>
      </c>
      <c r="B245" t="s">
        <v>4702</v>
      </c>
      <c r="C245" t="s">
        <v>74</v>
      </c>
      <c r="D245" t="s">
        <v>74</v>
      </c>
      <c r="E245" t="s">
        <v>74</v>
      </c>
      <c r="F245" t="s">
        <v>4703</v>
      </c>
      <c r="G245" t="s">
        <v>74</v>
      </c>
      <c r="H245" t="s">
        <v>74</v>
      </c>
      <c r="I245" t="s">
        <v>4704</v>
      </c>
      <c r="J245" t="s">
        <v>4705</v>
      </c>
      <c r="K245" t="s">
        <v>74</v>
      </c>
      <c r="L245" t="s">
        <v>74</v>
      </c>
      <c r="M245" t="s">
        <v>78</v>
      </c>
      <c r="N245" t="s">
        <v>79</v>
      </c>
      <c r="O245" t="s">
        <v>74</v>
      </c>
      <c r="P245" t="s">
        <v>74</v>
      </c>
      <c r="Q245" t="s">
        <v>74</v>
      </c>
      <c r="R245" t="s">
        <v>74</v>
      </c>
      <c r="S245" t="s">
        <v>74</v>
      </c>
      <c r="T245" t="s">
        <v>4706</v>
      </c>
      <c r="U245" t="s">
        <v>4707</v>
      </c>
      <c r="V245" t="s">
        <v>4708</v>
      </c>
      <c r="W245" t="s">
        <v>4709</v>
      </c>
      <c r="X245" t="s">
        <v>4710</v>
      </c>
      <c r="Y245" t="s">
        <v>4711</v>
      </c>
      <c r="Z245" t="s">
        <v>4712</v>
      </c>
      <c r="AA245" t="s">
        <v>4713</v>
      </c>
      <c r="AB245" t="s">
        <v>4714</v>
      </c>
      <c r="AC245" t="s">
        <v>4715</v>
      </c>
      <c r="AD245" t="s">
        <v>4716</v>
      </c>
      <c r="AE245" t="s">
        <v>4717</v>
      </c>
      <c r="AF245" t="s">
        <v>74</v>
      </c>
      <c r="AG245">
        <v>52</v>
      </c>
      <c r="AH245">
        <v>7</v>
      </c>
      <c r="AI245">
        <v>7</v>
      </c>
      <c r="AJ245">
        <v>0</v>
      </c>
      <c r="AK245">
        <v>2</v>
      </c>
      <c r="AL245" t="s">
        <v>3352</v>
      </c>
      <c r="AM245" t="s">
        <v>3353</v>
      </c>
      <c r="AN245" t="s">
        <v>3354</v>
      </c>
      <c r="AO245" t="s">
        <v>4718</v>
      </c>
      <c r="AP245" t="s">
        <v>4719</v>
      </c>
      <c r="AQ245" t="s">
        <v>74</v>
      </c>
      <c r="AR245" t="s">
        <v>4720</v>
      </c>
      <c r="AS245" t="s">
        <v>4721</v>
      </c>
      <c r="AT245" t="s">
        <v>718</v>
      </c>
      <c r="AU245">
        <v>2019</v>
      </c>
      <c r="AV245">
        <v>143</v>
      </c>
      <c r="AW245" t="s">
        <v>74</v>
      </c>
      <c r="AX245" t="s">
        <v>74</v>
      </c>
      <c r="AY245" t="s">
        <v>74</v>
      </c>
      <c r="AZ245" t="s">
        <v>74</v>
      </c>
      <c r="BA245" t="s">
        <v>74</v>
      </c>
      <c r="BB245">
        <v>43</v>
      </c>
      <c r="BC245">
        <v>49</v>
      </c>
      <c r="BD245" t="s">
        <v>74</v>
      </c>
      <c r="BE245" t="s">
        <v>4722</v>
      </c>
      <c r="BF245" t="str">
        <f>HYPERLINK("http://dx.doi.org/10.1016/j.dsr.2018.11.011","http://dx.doi.org/10.1016/j.dsr.2018.11.011")</f>
        <v>http://dx.doi.org/10.1016/j.dsr.2018.11.011</v>
      </c>
      <c r="BG245" t="s">
        <v>74</v>
      </c>
      <c r="BH245" t="s">
        <v>74</v>
      </c>
      <c r="BI245">
        <v>7</v>
      </c>
      <c r="BJ245" t="s">
        <v>773</v>
      </c>
      <c r="BK245" t="s">
        <v>101</v>
      </c>
      <c r="BL245" t="s">
        <v>773</v>
      </c>
      <c r="BM245" t="s">
        <v>4723</v>
      </c>
      <c r="BN245" t="s">
        <v>74</v>
      </c>
      <c r="BO245" t="s">
        <v>74</v>
      </c>
      <c r="BP245" t="s">
        <v>74</v>
      </c>
      <c r="BQ245" t="s">
        <v>74</v>
      </c>
      <c r="BR245" t="s">
        <v>104</v>
      </c>
      <c r="BS245" t="s">
        <v>4724</v>
      </c>
      <c r="BT245" t="str">
        <f>HYPERLINK("https%3A%2F%2Fwww.webofscience.com%2Fwos%2Fwoscc%2Ffull-record%2FWOS:000458224400005","View Full Record in Web of Science")</f>
        <v>View Full Record in Web of Science</v>
      </c>
    </row>
    <row r="246" spans="1:72" x14ac:dyDescent="0.15">
      <c r="A246" t="s">
        <v>72</v>
      </c>
      <c r="B246" t="s">
        <v>4725</v>
      </c>
      <c r="C246" t="s">
        <v>74</v>
      </c>
      <c r="D246" t="s">
        <v>74</v>
      </c>
      <c r="E246" t="s">
        <v>74</v>
      </c>
      <c r="F246" t="s">
        <v>4726</v>
      </c>
      <c r="G246" t="s">
        <v>74</v>
      </c>
      <c r="H246" t="s">
        <v>74</v>
      </c>
      <c r="I246" t="s">
        <v>4727</v>
      </c>
      <c r="J246" t="s">
        <v>4705</v>
      </c>
      <c r="K246" t="s">
        <v>74</v>
      </c>
      <c r="L246" t="s">
        <v>74</v>
      </c>
      <c r="M246" t="s">
        <v>78</v>
      </c>
      <c r="N246" t="s">
        <v>79</v>
      </c>
      <c r="O246" t="s">
        <v>74</v>
      </c>
      <c r="P246" t="s">
        <v>74</v>
      </c>
      <c r="Q246" t="s">
        <v>74</v>
      </c>
      <c r="R246" t="s">
        <v>74</v>
      </c>
      <c r="S246" t="s">
        <v>74</v>
      </c>
      <c r="T246" t="s">
        <v>4728</v>
      </c>
      <c r="U246" t="s">
        <v>4729</v>
      </c>
      <c r="V246" t="s">
        <v>4730</v>
      </c>
      <c r="W246" t="s">
        <v>4731</v>
      </c>
      <c r="X246" t="s">
        <v>4732</v>
      </c>
      <c r="Y246" t="s">
        <v>4733</v>
      </c>
      <c r="Z246" t="s">
        <v>4734</v>
      </c>
      <c r="AA246" t="s">
        <v>4735</v>
      </c>
      <c r="AB246" t="s">
        <v>4736</v>
      </c>
      <c r="AC246" t="s">
        <v>4737</v>
      </c>
      <c r="AD246" t="s">
        <v>4738</v>
      </c>
      <c r="AE246" t="s">
        <v>4739</v>
      </c>
      <c r="AF246" t="s">
        <v>74</v>
      </c>
      <c r="AG246">
        <v>107</v>
      </c>
      <c r="AH246">
        <v>5</v>
      </c>
      <c r="AI246">
        <v>5</v>
      </c>
      <c r="AJ246">
        <v>1</v>
      </c>
      <c r="AK246">
        <v>6</v>
      </c>
      <c r="AL246" t="s">
        <v>3352</v>
      </c>
      <c r="AM246" t="s">
        <v>3353</v>
      </c>
      <c r="AN246" t="s">
        <v>3354</v>
      </c>
      <c r="AO246" t="s">
        <v>4718</v>
      </c>
      <c r="AP246" t="s">
        <v>4719</v>
      </c>
      <c r="AQ246" t="s">
        <v>74</v>
      </c>
      <c r="AR246" t="s">
        <v>4720</v>
      </c>
      <c r="AS246" t="s">
        <v>4721</v>
      </c>
      <c r="AT246" t="s">
        <v>718</v>
      </c>
      <c r="AU246">
        <v>2019</v>
      </c>
      <c r="AV246">
        <v>143</v>
      </c>
      <c r="AW246" t="s">
        <v>74</v>
      </c>
      <c r="AX246" t="s">
        <v>74</v>
      </c>
      <c r="AY246" t="s">
        <v>74</v>
      </c>
      <c r="AZ246" t="s">
        <v>74</v>
      </c>
      <c r="BA246" t="s">
        <v>74</v>
      </c>
      <c r="BB246">
        <v>115</v>
      </c>
      <c r="BC246">
        <v>126</v>
      </c>
      <c r="BD246" t="s">
        <v>74</v>
      </c>
      <c r="BE246" t="s">
        <v>4740</v>
      </c>
      <c r="BF246" t="str">
        <f>HYPERLINK("http://dx.doi.org/10.1016/j.dsr.2018.11.005","http://dx.doi.org/10.1016/j.dsr.2018.11.005")</f>
        <v>http://dx.doi.org/10.1016/j.dsr.2018.11.005</v>
      </c>
      <c r="BG246" t="s">
        <v>74</v>
      </c>
      <c r="BH246" t="s">
        <v>74</v>
      </c>
      <c r="BI246">
        <v>12</v>
      </c>
      <c r="BJ246" t="s">
        <v>773</v>
      </c>
      <c r="BK246" t="s">
        <v>101</v>
      </c>
      <c r="BL246" t="s">
        <v>773</v>
      </c>
      <c r="BM246" t="s">
        <v>4723</v>
      </c>
      <c r="BN246" t="s">
        <v>74</v>
      </c>
      <c r="BO246" t="s">
        <v>74</v>
      </c>
      <c r="BP246" t="s">
        <v>74</v>
      </c>
      <c r="BQ246" t="s">
        <v>74</v>
      </c>
      <c r="BR246" t="s">
        <v>104</v>
      </c>
      <c r="BS246" t="s">
        <v>4741</v>
      </c>
      <c r="BT246" t="str">
        <f>HYPERLINK("https%3A%2F%2Fwww.webofscience.com%2Fwos%2Fwoscc%2Ffull-record%2FWOS:000458224400011","View Full Record in Web of Science")</f>
        <v>View Full Record in Web of Science</v>
      </c>
    </row>
    <row r="247" spans="1:72" x14ac:dyDescent="0.15">
      <c r="A247" t="s">
        <v>72</v>
      </c>
      <c r="B247" t="s">
        <v>4742</v>
      </c>
      <c r="C247" t="s">
        <v>74</v>
      </c>
      <c r="D247" t="s">
        <v>74</v>
      </c>
      <c r="E247" t="s">
        <v>74</v>
      </c>
      <c r="F247" t="s">
        <v>4743</v>
      </c>
      <c r="G247" t="s">
        <v>74</v>
      </c>
      <c r="H247" t="s">
        <v>74</v>
      </c>
      <c r="I247" t="s">
        <v>4744</v>
      </c>
      <c r="J247" t="s">
        <v>4745</v>
      </c>
      <c r="K247" t="s">
        <v>74</v>
      </c>
      <c r="L247" t="s">
        <v>74</v>
      </c>
      <c r="M247" t="s">
        <v>78</v>
      </c>
      <c r="N247" t="s">
        <v>79</v>
      </c>
      <c r="O247" t="s">
        <v>74</v>
      </c>
      <c r="P247" t="s">
        <v>74</v>
      </c>
      <c r="Q247" t="s">
        <v>74</v>
      </c>
      <c r="R247" t="s">
        <v>74</v>
      </c>
      <c r="S247" t="s">
        <v>74</v>
      </c>
      <c r="T247" t="s">
        <v>4746</v>
      </c>
      <c r="U247" t="s">
        <v>4747</v>
      </c>
      <c r="V247" t="s">
        <v>4748</v>
      </c>
      <c r="W247" t="s">
        <v>4749</v>
      </c>
      <c r="X247" t="s">
        <v>4750</v>
      </c>
      <c r="Y247" t="s">
        <v>4751</v>
      </c>
      <c r="Z247" t="s">
        <v>4752</v>
      </c>
      <c r="AA247" t="s">
        <v>4753</v>
      </c>
      <c r="AB247" t="s">
        <v>4754</v>
      </c>
      <c r="AC247" t="s">
        <v>4755</v>
      </c>
      <c r="AD247" t="s">
        <v>4755</v>
      </c>
      <c r="AE247" t="s">
        <v>4756</v>
      </c>
      <c r="AF247" t="s">
        <v>74</v>
      </c>
      <c r="AG247">
        <v>63</v>
      </c>
      <c r="AH247">
        <v>20</v>
      </c>
      <c r="AI247">
        <v>24</v>
      </c>
      <c r="AJ247">
        <v>0</v>
      </c>
      <c r="AK247">
        <v>14</v>
      </c>
      <c r="AL247" t="s">
        <v>4010</v>
      </c>
      <c r="AM247" t="s">
        <v>4011</v>
      </c>
      <c r="AN247" t="s">
        <v>4012</v>
      </c>
      <c r="AO247" t="s">
        <v>74</v>
      </c>
      <c r="AP247" t="s">
        <v>4757</v>
      </c>
      <c r="AQ247" t="s">
        <v>74</v>
      </c>
      <c r="AR247" t="s">
        <v>4758</v>
      </c>
      <c r="AS247" t="s">
        <v>4759</v>
      </c>
      <c r="AT247" t="s">
        <v>718</v>
      </c>
      <c r="AU247">
        <v>2019</v>
      </c>
      <c r="AV247">
        <v>11</v>
      </c>
      <c r="AW247">
        <v>2</v>
      </c>
      <c r="AX247" t="s">
        <v>74</v>
      </c>
      <c r="AY247" t="s">
        <v>74</v>
      </c>
      <c r="AZ247" t="s">
        <v>74</v>
      </c>
      <c r="BA247" t="s">
        <v>74</v>
      </c>
      <c r="BB247" t="s">
        <v>74</v>
      </c>
      <c r="BC247" t="s">
        <v>74</v>
      </c>
      <c r="BD247">
        <v>144</v>
      </c>
      <c r="BE247" t="s">
        <v>4760</v>
      </c>
      <c r="BF247" t="str">
        <f>HYPERLINK("http://dx.doi.org/10.3390/rs11020144","http://dx.doi.org/10.3390/rs11020144")</f>
        <v>http://dx.doi.org/10.3390/rs11020144</v>
      </c>
      <c r="BG247" t="s">
        <v>74</v>
      </c>
      <c r="BH247" t="s">
        <v>74</v>
      </c>
      <c r="BI247">
        <v>23</v>
      </c>
      <c r="BJ247" t="s">
        <v>4761</v>
      </c>
      <c r="BK247" t="s">
        <v>101</v>
      </c>
      <c r="BL247" t="s">
        <v>4762</v>
      </c>
      <c r="BM247" t="s">
        <v>4763</v>
      </c>
      <c r="BN247" t="s">
        <v>74</v>
      </c>
      <c r="BO247" t="s">
        <v>193</v>
      </c>
      <c r="BP247" t="s">
        <v>74</v>
      </c>
      <c r="BQ247" t="s">
        <v>74</v>
      </c>
      <c r="BR247" t="s">
        <v>104</v>
      </c>
      <c r="BS247" t="s">
        <v>4764</v>
      </c>
      <c r="BT247" t="str">
        <f>HYPERLINK("https%3A%2F%2Fwww.webofscience.com%2Fwos%2Fwoscc%2Ffull-record%2FWOS:000457939400041","View Full Record in Web of Science")</f>
        <v>View Full Record in Web of Science</v>
      </c>
    </row>
    <row r="248" spans="1:72" x14ac:dyDescent="0.15">
      <c r="A248" t="s">
        <v>72</v>
      </c>
      <c r="B248" t="s">
        <v>4765</v>
      </c>
      <c r="C248" t="s">
        <v>74</v>
      </c>
      <c r="D248" t="s">
        <v>74</v>
      </c>
      <c r="E248" t="s">
        <v>74</v>
      </c>
      <c r="F248" t="s">
        <v>4766</v>
      </c>
      <c r="G248" t="s">
        <v>74</v>
      </c>
      <c r="H248" t="s">
        <v>74</v>
      </c>
      <c r="I248" t="s">
        <v>4767</v>
      </c>
      <c r="J248" t="s">
        <v>4768</v>
      </c>
      <c r="K248" t="s">
        <v>74</v>
      </c>
      <c r="L248" t="s">
        <v>74</v>
      </c>
      <c r="M248" t="s">
        <v>78</v>
      </c>
      <c r="N248" t="s">
        <v>1003</v>
      </c>
      <c r="O248" t="s">
        <v>74</v>
      </c>
      <c r="P248" t="s">
        <v>74</v>
      </c>
      <c r="Q248" t="s">
        <v>74</v>
      </c>
      <c r="R248" t="s">
        <v>74</v>
      </c>
      <c r="S248" t="s">
        <v>74</v>
      </c>
      <c r="T248" t="s">
        <v>4769</v>
      </c>
      <c r="U248" t="s">
        <v>4770</v>
      </c>
      <c r="V248" t="s">
        <v>4771</v>
      </c>
      <c r="W248" t="s">
        <v>4772</v>
      </c>
      <c r="X248" t="s">
        <v>4773</v>
      </c>
      <c r="Y248" t="s">
        <v>4774</v>
      </c>
      <c r="Z248" t="s">
        <v>4775</v>
      </c>
      <c r="AA248" t="s">
        <v>4776</v>
      </c>
      <c r="AB248" t="s">
        <v>74</v>
      </c>
      <c r="AC248" t="s">
        <v>4777</v>
      </c>
      <c r="AD248" t="s">
        <v>4778</v>
      </c>
      <c r="AE248" t="s">
        <v>4779</v>
      </c>
      <c r="AF248" t="s">
        <v>74</v>
      </c>
      <c r="AG248">
        <v>106</v>
      </c>
      <c r="AH248">
        <v>131</v>
      </c>
      <c r="AI248">
        <v>148</v>
      </c>
      <c r="AJ248">
        <v>24</v>
      </c>
      <c r="AK248">
        <v>187</v>
      </c>
      <c r="AL248" t="s">
        <v>3670</v>
      </c>
      <c r="AM248" t="s">
        <v>3671</v>
      </c>
      <c r="AN248" t="s">
        <v>3672</v>
      </c>
      <c r="AO248" t="s">
        <v>4780</v>
      </c>
      <c r="AP248" t="s">
        <v>4781</v>
      </c>
      <c r="AQ248" t="s">
        <v>74</v>
      </c>
      <c r="AR248" t="s">
        <v>4782</v>
      </c>
      <c r="AS248" t="s">
        <v>4783</v>
      </c>
      <c r="AT248" t="s">
        <v>718</v>
      </c>
      <c r="AU248">
        <v>2019</v>
      </c>
      <c r="AV248">
        <v>1436</v>
      </c>
      <c r="AW248">
        <v>1</v>
      </c>
      <c r="AX248" t="s">
        <v>74</v>
      </c>
      <c r="AY248" t="s">
        <v>74</v>
      </c>
      <c r="AZ248" t="s">
        <v>4266</v>
      </c>
      <c r="BA248" t="s">
        <v>74</v>
      </c>
      <c r="BB248">
        <v>36</v>
      </c>
      <c r="BC248">
        <v>53</v>
      </c>
      <c r="BD248" t="s">
        <v>74</v>
      </c>
      <c r="BE248" t="s">
        <v>4784</v>
      </c>
      <c r="BF248" t="str">
        <f>HYPERLINK("http://dx.doi.org/10.1111/nyas.13856","http://dx.doi.org/10.1111/nyas.13856")</f>
        <v>http://dx.doi.org/10.1111/nyas.13856</v>
      </c>
      <c r="BG248" t="s">
        <v>74</v>
      </c>
      <c r="BH248" t="s">
        <v>74</v>
      </c>
      <c r="BI248">
        <v>18</v>
      </c>
      <c r="BJ248" t="s">
        <v>855</v>
      </c>
      <c r="BK248" t="s">
        <v>101</v>
      </c>
      <c r="BL248" t="s">
        <v>856</v>
      </c>
      <c r="BM248" t="s">
        <v>4785</v>
      </c>
      <c r="BN248">
        <v>29806697</v>
      </c>
      <c r="BO248" t="s">
        <v>74</v>
      </c>
      <c r="BP248" t="s">
        <v>4786</v>
      </c>
      <c r="BQ248" t="s">
        <v>4787</v>
      </c>
      <c r="BR248" t="s">
        <v>104</v>
      </c>
      <c r="BS248" t="s">
        <v>4788</v>
      </c>
      <c r="BT248" t="str">
        <f>HYPERLINK("https%3A%2F%2Fwww.webofscience.com%2Fwos%2Fwoscc%2Ffull-record%2FWOS:000457543300003","View Full Record in Web of Science")</f>
        <v>View Full Record in Web of Science</v>
      </c>
    </row>
    <row r="249" spans="1:72" x14ac:dyDescent="0.15">
      <c r="A249" t="s">
        <v>72</v>
      </c>
      <c r="B249" t="s">
        <v>4789</v>
      </c>
      <c r="C249" t="s">
        <v>74</v>
      </c>
      <c r="D249" t="s">
        <v>74</v>
      </c>
      <c r="E249" t="s">
        <v>74</v>
      </c>
      <c r="F249" t="s">
        <v>4790</v>
      </c>
      <c r="G249" t="s">
        <v>74</v>
      </c>
      <c r="H249" t="s">
        <v>74</v>
      </c>
      <c r="I249" t="s">
        <v>4791</v>
      </c>
      <c r="J249" t="s">
        <v>4792</v>
      </c>
      <c r="K249" t="s">
        <v>74</v>
      </c>
      <c r="L249" t="s">
        <v>74</v>
      </c>
      <c r="M249" t="s">
        <v>78</v>
      </c>
      <c r="N249" t="s">
        <v>79</v>
      </c>
      <c r="O249" t="s">
        <v>74</v>
      </c>
      <c r="P249" t="s">
        <v>74</v>
      </c>
      <c r="Q249" t="s">
        <v>74</v>
      </c>
      <c r="R249" t="s">
        <v>74</v>
      </c>
      <c r="S249" t="s">
        <v>74</v>
      </c>
      <c r="T249" t="s">
        <v>4793</v>
      </c>
      <c r="U249" t="s">
        <v>4794</v>
      </c>
      <c r="V249" t="s">
        <v>4795</v>
      </c>
      <c r="W249" t="s">
        <v>4796</v>
      </c>
      <c r="X249" t="s">
        <v>4797</v>
      </c>
      <c r="Y249" t="s">
        <v>4798</v>
      </c>
      <c r="Z249" t="s">
        <v>4799</v>
      </c>
      <c r="AA249" t="s">
        <v>4800</v>
      </c>
      <c r="AB249" t="s">
        <v>4801</v>
      </c>
      <c r="AC249" t="s">
        <v>4802</v>
      </c>
      <c r="AD249" t="s">
        <v>4803</v>
      </c>
      <c r="AE249" t="s">
        <v>4804</v>
      </c>
      <c r="AF249" t="s">
        <v>74</v>
      </c>
      <c r="AG249">
        <v>38</v>
      </c>
      <c r="AH249">
        <v>2</v>
      </c>
      <c r="AI249">
        <v>2</v>
      </c>
      <c r="AJ249">
        <v>1</v>
      </c>
      <c r="AK249">
        <v>5</v>
      </c>
      <c r="AL249" t="s">
        <v>3670</v>
      </c>
      <c r="AM249" t="s">
        <v>3671</v>
      </c>
      <c r="AN249" t="s">
        <v>3672</v>
      </c>
      <c r="AO249" t="s">
        <v>4805</v>
      </c>
      <c r="AP249" t="s">
        <v>74</v>
      </c>
      <c r="AQ249" t="s">
        <v>74</v>
      </c>
      <c r="AR249" t="s">
        <v>4806</v>
      </c>
      <c r="AS249" t="s">
        <v>4807</v>
      </c>
      <c r="AT249" t="s">
        <v>718</v>
      </c>
      <c r="AU249">
        <v>2019</v>
      </c>
      <c r="AV249">
        <v>9</v>
      </c>
      <c r="AW249">
        <v>1</v>
      </c>
      <c r="AX249" t="s">
        <v>74</v>
      </c>
      <c r="AY249" t="s">
        <v>74</v>
      </c>
      <c r="AZ249" t="s">
        <v>74</v>
      </c>
      <c r="BA249" t="s">
        <v>74</v>
      </c>
      <c r="BB249">
        <v>90</v>
      </c>
      <c r="BC249">
        <v>99</v>
      </c>
      <c r="BD249" t="s">
        <v>74</v>
      </c>
      <c r="BE249" t="s">
        <v>4808</v>
      </c>
      <c r="BF249" t="str">
        <f>HYPERLINK("http://dx.doi.org/10.1002/ece3.4633","http://dx.doi.org/10.1002/ece3.4633")</f>
        <v>http://dx.doi.org/10.1002/ece3.4633</v>
      </c>
      <c r="BG249" t="s">
        <v>74</v>
      </c>
      <c r="BH249" t="s">
        <v>74</v>
      </c>
      <c r="BI249">
        <v>10</v>
      </c>
      <c r="BJ249" t="s">
        <v>4809</v>
      </c>
      <c r="BK249" t="s">
        <v>101</v>
      </c>
      <c r="BL249" t="s">
        <v>4810</v>
      </c>
      <c r="BM249" t="s">
        <v>4811</v>
      </c>
      <c r="BN249">
        <v>30680098</v>
      </c>
      <c r="BO249" t="s">
        <v>221</v>
      </c>
      <c r="BP249" t="s">
        <v>74</v>
      </c>
      <c r="BQ249" t="s">
        <v>74</v>
      </c>
      <c r="BR249" t="s">
        <v>104</v>
      </c>
      <c r="BS249" t="s">
        <v>4812</v>
      </c>
      <c r="BT249" t="str">
        <f>HYPERLINK("https%3A%2F%2Fwww.webofscience.com%2Fwos%2Fwoscc%2Ffull-record%2FWOS:000457622300008","View Full Record in Web of Science")</f>
        <v>View Full Record in Web of Science</v>
      </c>
    </row>
    <row r="250" spans="1:72" x14ac:dyDescent="0.15">
      <c r="A250" t="s">
        <v>72</v>
      </c>
      <c r="B250" t="s">
        <v>4813</v>
      </c>
      <c r="C250" t="s">
        <v>74</v>
      </c>
      <c r="D250" t="s">
        <v>74</v>
      </c>
      <c r="E250" t="s">
        <v>74</v>
      </c>
      <c r="F250" t="s">
        <v>4814</v>
      </c>
      <c r="G250" t="s">
        <v>74</v>
      </c>
      <c r="H250" t="s">
        <v>74</v>
      </c>
      <c r="I250" t="s">
        <v>4815</v>
      </c>
      <c r="J250" t="s">
        <v>4792</v>
      </c>
      <c r="K250" t="s">
        <v>74</v>
      </c>
      <c r="L250" t="s">
        <v>74</v>
      </c>
      <c r="M250" t="s">
        <v>78</v>
      </c>
      <c r="N250" t="s">
        <v>79</v>
      </c>
      <c r="O250" t="s">
        <v>74</v>
      </c>
      <c r="P250" t="s">
        <v>74</v>
      </c>
      <c r="Q250" t="s">
        <v>74</v>
      </c>
      <c r="R250" t="s">
        <v>74</v>
      </c>
      <c r="S250" t="s">
        <v>74</v>
      </c>
      <c r="T250" t="s">
        <v>4816</v>
      </c>
      <c r="U250" t="s">
        <v>4817</v>
      </c>
      <c r="V250" t="s">
        <v>4818</v>
      </c>
      <c r="W250" t="s">
        <v>4819</v>
      </c>
      <c r="X250" t="s">
        <v>4820</v>
      </c>
      <c r="Y250" t="s">
        <v>4821</v>
      </c>
      <c r="Z250" t="s">
        <v>4822</v>
      </c>
      <c r="AA250" t="s">
        <v>4823</v>
      </c>
      <c r="AB250" t="s">
        <v>4824</v>
      </c>
      <c r="AC250" t="s">
        <v>4825</v>
      </c>
      <c r="AD250" t="s">
        <v>4826</v>
      </c>
      <c r="AE250" t="s">
        <v>4825</v>
      </c>
      <c r="AF250" t="s">
        <v>74</v>
      </c>
      <c r="AG250">
        <v>109</v>
      </c>
      <c r="AH250">
        <v>48</v>
      </c>
      <c r="AI250">
        <v>49</v>
      </c>
      <c r="AJ250">
        <v>4</v>
      </c>
      <c r="AK250">
        <v>38</v>
      </c>
      <c r="AL250" t="s">
        <v>3670</v>
      </c>
      <c r="AM250" t="s">
        <v>3671</v>
      </c>
      <c r="AN250" t="s">
        <v>3672</v>
      </c>
      <c r="AO250" t="s">
        <v>4805</v>
      </c>
      <c r="AP250" t="s">
        <v>74</v>
      </c>
      <c r="AQ250" t="s">
        <v>74</v>
      </c>
      <c r="AR250" t="s">
        <v>4806</v>
      </c>
      <c r="AS250" t="s">
        <v>4807</v>
      </c>
      <c r="AT250" t="s">
        <v>718</v>
      </c>
      <c r="AU250">
        <v>2019</v>
      </c>
      <c r="AV250">
        <v>9</v>
      </c>
      <c r="AW250">
        <v>1</v>
      </c>
      <c r="AX250" t="s">
        <v>74</v>
      </c>
      <c r="AY250" t="s">
        <v>74</v>
      </c>
      <c r="AZ250" t="s">
        <v>74</v>
      </c>
      <c r="BA250" t="s">
        <v>74</v>
      </c>
      <c r="BB250">
        <v>125</v>
      </c>
      <c r="BC250">
        <v>140</v>
      </c>
      <c r="BD250" t="s">
        <v>74</v>
      </c>
      <c r="BE250" t="s">
        <v>4827</v>
      </c>
      <c r="BF250" t="str">
        <f>HYPERLINK("http://dx.doi.org/10.1002/ece3.4679","http://dx.doi.org/10.1002/ece3.4679")</f>
        <v>http://dx.doi.org/10.1002/ece3.4679</v>
      </c>
      <c r="BG250" t="s">
        <v>74</v>
      </c>
      <c r="BH250" t="s">
        <v>74</v>
      </c>
      <c r="BI250">
        <v>16</v>
      </c>
      <c r="BJ250" t="s">
        <v>4809</v>
      </c>
      <c r="BK250" t="s">
        <v>101</v>
      </c>
      <c r="BL250" t="s">
        <v>4810</v>
      </c>
      <c r="BM250" t="s">
        <v>4811</v>
      </c>
      <c r="BN250">
        <v>30680101</v>
      </c>
      <c r="BO250" t="s">
        <v>270</v>
      </c>
      <c r="BP250" t="s">
        <v>74</v>
      </c>
      <c r="BQ250" t="s">
        <v>74</v>
      </c>
      <c r="BR250" t="s">
        <v>104</v>
      </c>
      <c r="BS250" t="s">
        <v>4828</v>
      </c>
      <c r="BT250" t="str">
        <f>HYPERLINK("https%3A%2F%2Fwww.webofscience.com%2Fwos%2Fwoscc%2Ffull-record%2FWOS:000457622300011","View Full Record in Web of Science")</f>
        <v>View Full Record in Web of Science</v>
      </c>
    </row>
    <row r="251" spans="1:72" x14ac:dyDescent="0.15">
      <c r="A251" t="s">
        <v>72</v>
      </c>
      <c r="B251" t="s">
        <v>4829</v>
      </c>
      <c r="C251" t="s">
        <v>74</v>
      </c>
      <c r="D251" t="s">
        <v>74</v>
      </c>
      <c r="E251" t="s">
        <v>74</v>
      </c>
      <c r="F251" t="s">
        <v>4830</v>
      </c>
      <c r="G251" t="s">
        <v>74</v>
      </c>
      <c r="H251" t="s">
        <v>74</v>
      </c>
      <c r="I251" t="s">
        <v>4831</v>
      </c>
      <c r="J251" t="s">
        <v>4792</v>
      </c>
      <c r="K251" t="s">
        <v>74</v>
      </c>
      <c r="L251" t="s">
        <v>74</v>
      </c>
      <c r="M251" t="s">
        <v>78</v>
      </c>
      <c r="N251" t="s">
        <v>79</v>
      </c>
      <c r="O251" t="s">
        <v>74</v>
      </c>
      <c r="P251" t="s">
        <v>74</v>
      </c>
      <c r="Q251" t="s">
        <v>74</v>
      </c>
      <c r="R251" t="s">
        <v>74</v>
      </c>
      <c r="S251" t="s">
        <v>74</v>
      </c>
      <c r="T251" t="s">
        <v>4832</v>
      </c>
      <c r="U251" t="s">
        <v>4833</v>
      </c>
      <c r="V251" t="s">
        <v>4834</v>
      </c>
      <c r="W251" t="s">
        <v>4835</v>
      </c>
      <c r="X251" t="s">
        <v>4836</v>
      </c>
      <c r="Y251" t="s">
        <v>4837</v>
      </c>
      <c r="Z251" t="s">
        <v>4838</v>
      </c>
      <c r="AA251" t="s">
        <v>4839</v>
      </c>
      <c r="AB251" t="s">
        <v>4840</v>
      </c>
      <c r="AC251" t="s">
        <v>4841</v>
      </c>
      <c r="AD251" t="s">
        <v>4842</v>
      </c>
      <c r="AE251" t="s">
        <v>4843</v>
      </c>
      <c r="AF251" t="s">
        <v>74</v>
      </c>
      <c r="AG251">
        <v>61</v>
      </c>
      <c r="AH251">
        <v>10</v>
      </c>
      <c r="AI251">
        <v>10</v>
      </c>
      <c r="AJ251">
        <v>1</v>
      </c>
      <c r="AK251">
        <v>11</v>
      </c>
      <c r="AL251" t="s">
        <v>3670</v>
      </c>
      <c r="AM251" t="s">
        <v>3671</v>
      </c>
      <c r="AN251" t="s">
        <v>3672</v>
      </c>
      <c r="AO251" t="s">
        <v>4805</v>
      </c>
      <c r="AP251" t="s">
        <v>74</v>
      </c>
      <c r="AQ251" t="s">
        <v>74</v>
      </c>
      <c r="AR251" t="s">
        <v>4806</v>
      </c>
      <c r="AS251" t="s">
        <v>4807</v>
      </c>
      <c r="AT251" t="s">
        <v>718</v>
      </c>
      <c r="AU251">
        <v>2019</v>
      </c>
      <c r="AV251">
        <v>9</v>
      </c>
      <c r="AW251">
        <v>1</v>
      </c>
      <c r="AX251" t="s">
        <v>74</v>
      </c>
      <c r="AY251" t="s">
        <v>74</v>
      </c>
      <c r="AZ251" t="s">
        <v>74</v>
      </c>
      <c r="BA251" t="s">
        <v>74</v>
      </c>
      <c r="BB251">
        <v>201</v>
      </c>
      <c r="BC251">
        <v>211</v>
      </c>
      <c r="BD251" t="s">
        <v>74</v>
      </c>
      <c r="BE251" t="s">
        <v>4844</v>
      </c>
      <c r="BF251" t="str">
        <f>HYPERLINK("http://dx.doi.org/10.1002/ece3.4715","http://dx.doi.org/10.1002/ece3.4715")</f>
        <v>http://dx.doi.org/10.1002/ece3.4715</v>
      </c>
      <c r="BG251" t="s">
        <v>74</v>
      </c>
      <c r="BH251" t="s">
        <v>74</v>
      </c>
      <c r="BI251">
        <v>11</v>
      </c>
      <c r="BJ251" t="s">
        <v>4809</v>
      </c>
      <c r="BK251" t="s">
        <v>101</v>
      </c>
      <c r="BL251" t="s">
        <v>4810</v>
      </c>
      <c r="BM251" t="s">
        <v>4811</v>
      </c>
      <c r="BN251">
        <v>30680107</v>
      </c>
      <c r="BO251" t="s">
        <v>221</v>
      </c>
      <c r="BP251" t="s">
        <v>74</v>
      </c>
      <c r="BQ251" t="s">
        <v>74</v>
      </c>
      <c r="BR251" t="s">
        <v>104</v>
      </c>
      <c r="BS251" t="s">
        <v>4845</v>
      </c>
      <c r="BT251" t="str">
        <f>HYPERLINK("https%3A%2F%2Fwww.webofscience.com%2Fwos%2Fwoscc%2Ffull-record%2FWOS:000457622300017","View Full Record in Web of Science")</f>
        <v>View Full Record in Web of Science</v>
      </c>
    </row>
    <row r="252" spans="1:72" x14ac:dyDescent="0.15">
      <c r="A252" t="s">
        <v>72</v>
      </c>
      <c r="B252" t="s">
        <v>4846</v>
      </c>
      <c r="C252" t="s">
        <v>74</v>
      </c>
      <c r="D252" t="s">
        <v>74</v>
      </c>
      <c r="E252" t="s">
        <v>74</v>
      </c>
      <c r="F252" t="s">
        <v>4847</v>
      </c>
      <c r="G252" t="s">
        <v>74</v>
      </c>
      <c r="H252" t="s">
        <v>74</v>
      </c>
      <c r="I252" t="s">
        <v>4848</v>
      </c>
      <c r="J252" t="s">
        <v>4849</v>
      </c>
      <c r="K252" t="s">
        <v>74</v>
      </c>
      <c r="L252" t="s">
        <v>74</v>
      </c>
      <c r="M252" t="s">
        <v>78</v>
      </c>
      <c r="N252" t="s">
        <v>79</v>
      </c>
      <c r="O252" t="s">
        <v>74</v>
      </c>
      <c r="P252" t="s">
        <v>74</v>
      </c>
      <c r="Q252" t="s">
        <v>74</v>
      </c>
      <c r="R252" t="s">
        <v>74</v>
      </c>
      <c r="S252" t="s">
        <v>74</v>
      </c>
      <c r="T252" t="s">
        <v>4850</v>
      </c>
      <c r="U252" t="s">
        <v>4851</v>
      </c>
      <c r="V252" t="s">
        <v>4852</v>
      </c>
      <c r="W252" t="s">
        <v>4853</v>
      </c>
      <c r="X252" t="s">
        <v>4854</v>
      </c>
      <c r="Y252" t="s">
        <v>4855</v>
      </c>
      <c r="Z252" t="s">
        <v>4856</v>
      </c>
      <c r="AA252" t="s">
        <v>4857</v>
      </c>
      <c r="AB252" t="s">
        <v>4858</v>
      </c>
      <c r="AC252" t="s">
        <v>4859</v>
      </c>
      <c r="AD252" t="s">
        <v>4860</v>
      </c>
      <c r="AE252" t="s">
        <v>4861</v>
      </c>
      <c r="AF252" t="s">
        <v>74</v>
      </c>
      <c r="AG252">
        <v>56</v>
      </c>
      <c r="AH252">
        <v>8</v>
      </c>
      <c r="AI252">
        <v>10</v>
      </c>
      <c r="AJ252">
        <v>2</v>
      </c>
      <c r="AK252">
        <v>17</v>
      </c>
      <c r="AL252" t="s">
        <v>1079</v>
      </c>
      <c r="AM252" t="s">
        <v>4862</v>
      </c>
      <c r="AN252" t="s">
        <v>4863</v>
      </c>
      <c r="AO252" t="s">
        <v>4864</v>
      </c>
      <c r="AP252" t="s">
        <v>4865</v>
      </c>
      <c r="AQ252" t="s">
        <v>74</v>
      </c>
      <c r="AR252" t="s">
        <v>4849</v>
      </c>
      <c r="AS252" t="s">
        <v>4866</v>
      </c>
      <c r="AT252" t="s">
        <v>718</v>
      </c>
      <c r="AU252">
        <v>2019</v>
      </c>
      <c r="AV252">
        <v>28</v>
      </c>
      <c r="AW252">
        <v>1</v>
      </c>
      <c r="AX252" t="s">
        <v>74</v>
      </c>
      <c r="AY252" t="s">
        <v>74</v>
      </c>
      <c r="AZ252" t="s">
        <v>74</v>
      </c>
      <c r="BA252" t="s">
        <v>74</v>
      </c>
      <c r="BB252">
        <v>26</v>
      </c>
      <c r="BC252">
        <v>36</v>
      </c>
      <c r="BD252" t="s">
        <v>74</v>
      </c>
      <c r="BE252" t="s">
        <v>4867</v>
      </c>
      <c r="BF252" t="str">
        <f>HYPERLINK("http://dx.doi.org/10.1007/s10646-018-1995-4","http://dx.doi.org/10.1007/s10646-018-1995-4")</f>
        <v>http://dx.doi.org/10.1007/s10646-018-1995-4</v>
      </c>
      <c r="BG252" t="s">
        <v>74</v>
      </c>
      <c r="BH252" t="s">
        <v>74</v>
      </c>
      <c r="BI252">
        <v>11</v>
      </c>
      <c r="BJ252" t="s">
        <v>4868</v>
      </c>
      <c r="BK252" t="s">
        <v>101</v>
      </c>
      <c r="BL252" t="s">
        <v>4869</v>
      </c>
      <c r="BM252" t="s">
        <v>4870</v>
      </c>
      <c r="BN252">
        <v>30460435</v>
      </c>
      <c r="BO252" t="s">
        <v>74</v>
      </c>
      <c r="BP252" t="s">
        <v>74</v>
      </c>
      <c r="BQ252" t="s">
        <v>74</v>
      </c>
      <c r="BR252" t="s">
        <v>104</v>
      </c>
      <c r="BS252" t="s">
        <v>4871</v>
      </c>
      <c r="BT252" t="str">
        <f>HYPERLINK("https%3A%2F%2Fwww.webofscience.com%2Fwos%2Fwoscc%2Ffull-record%2FWOS:000457391200003","View Full Record in Web of Science")</f>
        <v>View Full Record in Web of Science</v>
      </c>
    </row>
    <row r="253" spans="1:72" x14ac:dyDescent="0.15">
      <c r="A253" t="s">
        <v>72</v>
      </c>
      <c r="B253" t="s">
        <v>4872</v>
      </c>
      <c r="C253" t="s">
        <v>74</v>
      </c>
      <c r="D253" t="s">
        <v>74</v>
      </c>
      <c r="E253" t="s">
        <v>74</v>
      </c>
      <c r="F253" t="s">
        <v>4873</v>
      </c>
      <c r="G253" t="s">
        <v>74</v>
      </c>
      <c r="H253" t="s">
        <v>74</v>
      </c>
      <c r="I253" t="s">
        <v>4874</v>
      </c>
      <c r="J253" t="s">
        <v>4875</v>
      </c>
      <c r="K253" t="s">
        <v>74</v>
      </c>
      <c r="L253" t="s">
        <v>74</v>
      </c>
      <c r="M253" t="s">
        <v>78</v>
      </c>
      <c r="N253" t="s">
        <v>1003</v>
      </c>
      <c r="O253" t="s">
        <v>74</v>
      </c>
      <c r="P253" t="s">
        <v>74</v>
      </c>
      <c r="Q253" t="s">
        <v>74</v>
      </c>
      <c r="R253" t="s">
        <v>74</v>
      </c>
      <c r="S253" t="s">
        <v>74</v>
      </c>
      <c r="T253" t="s">
        <v>4876</v>
      </c>
      <c r="U253" t="s">
        <v>4877</v>
      </c>
      <c r="V253" t="s">
        <v>4878</v>
      </c>
      <c r="W253" t="s">
        <v>4879</v>
      </c>
      <c r="X253" t="s">
        <v>4880</v>
      </c>
      <c r="Y253" t="s">
        <v>4881</v>
      </c>
      <c r="Z253" t="s">
        <v>4882</v>
      </c>
      <c r="AA253" t="s">
        <v>4883</v>
      </c>
      <c r="AB253" t="s">
        <v>4884</v>
      </c>
      <c r="AC253" t="s">
        <v>4885</v>
      </c>
      <c r="AD253" t="s">
        <v>4886</v>
      </c>
      <c r="AE253" t="s">
        <v>4887</v>
      </c>
      <c r="AF253" t="s">
        <v>74</v>
      </c>
      <c r="AG253">
        <v>96</v>
      </c>
      <c r="AH253">
        <v>111</v>
      </c>
      <c r="AI253">
        <v>116</v>
      </c>
      <c r="AJ253">
        <v>6</v>
      </c>
      <c r="AK253">
        <v>76</v>
      </c>
      <c r="AL253" t="s">
        <v>3670</v>
      </c>
      <c r="AM253" t="s">
        <v>3671</v>
      </c>
      <c r="AN253" t="s">
        <v>3672</v>
      </c>
      <c r="AO253" t="s">
        <v>4888</v>
      </c>
      <c r="AP253" t="s">
        <v>4889</v>
      </c>
      <c r="AQ253" t="s">
        <v>74</v>
      </c>
      <c r="AR253" t="s">
        <v>4890</v>
      </c>
      <c r="AS253" t="s">
        <v>4891</v>
      </c>
      <c r="AT253" t="s">
        <v>718</v>
      </c>
      <c r="AU253">
        <v>2019</v>
      </c>
      <c r="AV253">
        <v>28</v>
      </c>
      <c r="AW253">
        <v>2</v>
      </c>
      <c r="AX253" t="s">
        <v>74</v>
      </c>
      <c r="AY253" t="s">
        <v>74</v>
      </c>
      <c r="AZ253" t="s">
        <v>74</v>
      </c>
      <c r="BA253" t="s">
        <v>74</v>
      </c>
      <c r="BB253">
        <v>64</v>
      </c>
      <c r="BC253">
        <v>77</v>
      </c>
      <c r="BD253" t="s">
        <v>74</v>
      </c>
      <c r="BE253" t="s">
        <v>4892</v>
      </c>
      <c r="BF253" t="str">
        <f>HYPERLINK("http://dx.doi.org/10.1111/geb.12847","http://dx.doi.org/10.1111/geb.12847")</f>
        <v>http://dx.doi.org/10.1111/geb.12847</v>
      </c>
      <c r="BG253" t="s">
        <v>74</v>
      </c>
      <c r="BH253" t="s">
        <v>74</v>
      </c>
      <c r="BI253">
        <v>14</v>
      </c>
      <c r="BJ253" t="s">
        <v>4893</v>
      </c>
      <c r="BK253" t="s">
        <v>101</v>
      </c>
      <c r="BL253" t="s">
        <v>219</v>
      </c>
      <c r="BM253" t="s">
        <v>4894</v>
      </c>
      <c r="BN253" t="s">
        <v>74</v>
      </c>
      <c r="BO253" t="s">
        <v>4895</v>
      </c>
      <c r="BP253" t="s">
        <v>74</v>
      </c>
      <c r="BQ253" t="s">
        <v>74</v>
      </c>
      <c r="BR253" t="s">
        <v>104</v>
      </c>
      <c r="BS253" t="s">
        <v>4896</v>
      </c>
      <c r="BT253" t="str">
        <f>HYPERLINK("https%3A%2F%2Fwww.webofscience.com%2Fwos%2Fwoscc%2Ffull-record%2FWOS:000457789900001","View Full Record in Web of Science")</f>
        <v>View Full Record in Web of Science</v>
      </c>
    </row>
    <row r="254" spans="1:72" x14ac:dyDescent="0.15">
      <c r="A254" t="s">
        <v>72</v>
      </c>
      <c r="B254" t="s">
        <v>4897</v>
      </c>
      <c r="C254" t="s">
        <v>74</v>
      </c>
      <c r="D254" t="s">
        <v>74</v>
      </c>
      <c r="E254" t="s">
        <v>74</v>
      </c>
      <c r="F254" t="s">
        <v>4898</v>
      </c>
      <c r="G254" t="s">
        <v>74</v>
      </c>
      <c r="H254" t="s">
        <v>74</v>
      </c>
      <c r="I254" t="s">
        <v>4899</v>
      </c>
      <c r="J254" t="s">
        <v>4900</v>
      </c>
      <c r="K254" t="s">
        <v>74</v>
      </c>
      <c r="L254" t="s">
        <v>74</v>
      </c>
      <c r="M254" t="s">
        <v>78</v>
      </c>
      <c r="N254" t="s">
        <v>79</v>
      </c>
      <c r="O254" t="s">
        <v>74</v>
      </c>
      <c r="P254" t="s">
        <v>74</v>
      </c>
      <c r="Q254" t="s">
        <v>74</v>
      </c>
      <c r="R254" t="s">
        <v>74</v>
      </c>
      <c r="S254" t="s">
        <v>74</v>
      </c>
      <c r="T254" t="s">
        <v>74</v>
      </c>
      <c r="U254" t="s">
        <v>4901</v>
      </c>
      <c r="V254" t="s">
        <v>4902</v>
      </c>
      <c r="W254" t="s">
        <v>4903</v>
      </c>
      <c r="X254" t="s">
        <v>4904</v>
      </c>
      <c r="Y254" t="s">
        <v>4905</v>
      </c>
      <c r="Z254" t="s">
        <v>4906</v>
      </c>
      <c r="AA254" t="s">
        <v>4907</v>
      </c>
      <c r="AB254" t="s">
        <v>4908</v>
      </c>
      <c r="AC254" t="s">
        <v>4909</v>
      </c>
      <c r="AD254" t="s">
        <v>4909</v>
      </c>
      <c r="AE254" t="s">
        <v>4910</v>
      </c>
      <c r="AF254" t="s">
        <v>74</v>
      </c>
      <c r="AG254">
        <v>37</v>
      </c>
      <c r="AH254">
        <v>11</v>
      </c>
      <c r="AI254">
        <v>11</v>
      </c>
      <c r="AJ254">
        <v>0</v>
      </c>
      <c r="AK254">
        <v>18</v>
      </c>
      <c r="AL254" t="s">
        <v>4911</v>
      </c>
      <c r="AM254" t="s">
        <v>2796</v>
      </c>
      <c r="AN254" t="s">
        <v>4912</v>
      </c>
      <c r="AO254" t="s">
        <v>4913</v>
      </c>
      <c r="AP254" t="s">
        <v>4914</v>
      </c>
      <c r="AQ254" t="s">
        <v>74</v>
      </c>
      <c r="AR254" t="s">
        <v>4915</v>
      </c>
      <c r="AS254" t="s">
        <v>4916</v>
      </c>
      <c r="AT254" t="s">
        <v>718</v>
      </c>
      <c r="AU254">
        <v>2019</v>
      </c>
      <c r="AV254">
        <v>145</v>
      </c>
      <c r="AW254">
        <v>1</v>
      </c>
      <c r="AX254" t="s">
        <v>74</v>
      </c>
      <c r="AY254" t="s">
        <v>74</v>
      </c>
      <c r="AZ254" t="s">
        <v>74</v>
      </c>
      <c r="BA254" t="s">
        <v>74</v>
      </c>
      <c r="BB254">
        <v>228</v>
      </c>
      <c r="BC254">
        <v>242</v>
      </c>
      <c r="BD254" t="s">
        <v>74</v>
      </c>
      <c r="BE254" t="s">
        <v>4917</v>
      </c>
      <c r="BF254" t="str">
        <f>HYPERLINK("http://dx.doi.org/10.1121/1.5084040","http://dx.doi.org/10.1121/1.5084040")</f>
        <v>http://dx.doi.org/10.1121/1.5084040</v>
      </c>
      <c r="BG254" t="s">
        <v>74</v>
      </c>
      <c r="BH254" t="s">
        <v>74</v>
      </c>
      <c r="BI254">
        <v>15</v>
      </c>
      <c r="BJ254" t="s">
        <v>4918</v>
      </c>
      <c r="BK254" t="s">
        <v>101</v>
      </c>
      <c r="BL254" t="s">
        <v>4918</v>
      </c>
      <c r="BM254" t="s">
        <v>4919</v>
      </c>
      <c r="BN254">
        <v>30710971</v>
      </c>
      <c r="BO254" t="s">
        <v>74</v>
      </c>
      <c r="BP254" t="s">
        <v>74</v>
      </c>
      <c r="BQ254" t="s">
        <v>74</v>
      </c>
      <c r="BR254" t="s">
        <v>104</v>
      </c>
      <c r="BS254" t="s">
        <v>4920</v>
      </c>
      <c r="BT254" t="str">
        <f>HYPERLINK("https%3A%2F%2Fwww.webofscience.com%2Fwos%2Fwoscc%2Ffull-record%2FWOS:000457528600039","View Full Record in Web of Science")</f>
        <v>View Full Record in Web of Science</v>
      </c>
    </row>
    <row r="255" spans="1:72" x14ac:dyDescent="0.15">
      <c r="A255" t="s">
        <v>72</v>
      </c>
      <c r="B255" t="s">
        <v>4921</v>
      </c>
      <c r="C255" t="s">
        <v>74</v>
      </c>
      <c r="D255" t="s">
        <v>74</v>
      </c>
      <c r="E255" t="s">
        <v>74</v>
      </c>
      <c r="F255" t="s">
        <v>4922</v>
      </c>
      <c r="G255" t="s">
        <v>74</v>
      </c>
      <c r="H255" t="s">
        <v>74</v>
      </c>
      <c r="I255" t="s">
        <v>4923</v>
      </c>
      <c r="J255" t="s">
        <v>4900</v>
      </c>
      <c r="K255" t="s">
        <v>74</v>
      </c>
      <c r="L255" t="s">
        <v>74</v>
      </c>
      <c r="M255" t="s">
        <v>78</v>
      </c>
      <c r="N255" t="s">
        <v>79</v>
      </c>
      <c r="O255" t="s">
        <v>74</v>
      </c>
      <c r="P255" t="s">
        <v>74</v>
      </c>
      <c r="Q255" t="s">
        <v>74</v>
      </c>
      <c r="R255" t="s">
        <v>74</v>
      </c>
      <c r="S255" t="s">
        <v>74</v>
      </c>
      <c r="T255" t="s">
        <v>74</v>
      </c>
      <c r="U255" t="s">
        <v>4924</v>
      </c>
      <c r="V255" t="s">
        <v>4925</v>
      </c>
      <c r="W255" t="s">
        <v>4926</v>
      </c>
      <c r="X255" t="s">
        <v>4927</v>
      </c>
      <c r="Y255" t="s">
        <v>4928</v>
      </c>
      <c r="Z255" t="s">
        <v>4929</v>
      </c>
      <c r="AA255" t="s">
        <v>74</v>
      </c>
      <c r="AB255" t="s">
        <v>4930</v>
      </c>
      <c r="AC255" t="s">
        <v>74</v>
      </c>
      <c r="AD255" t="s">
        <v>74</v>
      </c>
      <c r="AE255" t="s">
        <v>74</v>
      </c>
      <c r="AF255" t="s">
        <v>74</v>
      </c>
      <c r="AG255">
        <v>33</v>
      </c>
      <c r="AH255">
        <v>9</v>
      </c>
      <c r="AI255">
        <v>10</v>
      </c>
      <c r="AJ255">
        <v>1</v>
      </c>
      <c r="AK255">
        <v>9</v>
      </c>
      <c r="AL255" t="s">
        <v>4911</v>
      </c>
      <c r="AM255" t="s">
        <v>2796</v>
      </c>
      <c r="AN255" t="s">
        <v>4912</v>
      </c>
      <c r="AO255" t="s">
        <v>4913</v>
      </c>
      <c r="AP255" t="s">
        <v>4914</v>
      </c>
      <c r="AQ255" t="s">
        <v>74</v>
      </c>
      <c r="AR255" t="s">
        <v>4915</v>
      </c>
      <c r="AS255" t="s">
        <v>4916</v>
      </c>
      <c r="AT255" t="s">
        <v>718</v>
      </c>
      <c r="AU255">
        <v>2019</v>
      </c>
      <c r="AV255">
        <v>145</v>
      </c>
      <c r="AW255">
        <v>1</v>
      </c>
      <c r="AX255" t="s">
        <v>74</v>
      </c>
      <c r="AY255" t="s">
        <v>74</v>
      </c>
      <c r="AZ255" t="s">
        <v>74</v>
      </c>
      <c r="BA255" t="s">
        <v>74</v>
      </c>
      <c r="BB255" t="s">
        <v>4931</v>
      </c>
      <c r="BC255" t="s">
        <v>4932</v>
      </c>
      <c r="BD255" t="s">
        <v>74</v>
      </c>
      <c r="BE255" t="s">
        <v>4933</v>
      </c>
      <c r="BF255" t="str">
        <f>HYPERLINK("http://dx.doi.org/10.1121/1.5085655","http://dx.doi.org/10.1121/1.5085655")</f>
        <v>http://dx.doi.org/10.1121/1.5085655</v>
      </c>
      <c r="BG255" t="s">
        <v>74</v>
      </c>
      <c r="BH255" t="s">
        <v>74</v>
      </c>
      <c r="BI255">
        <v>7</v>
      </c>
      <c r="BJ255" t="s">
        <v>4918</v>
      </c>
      <c r="BK255" t="s">
        <v>101</v>
      </c>
      <c r="BL255" t="s">
        <v>4918</v>
      </c>
      <c r="BM255" t="s">
        <v>4919</v>
      </c>
      <c r="BN255">
        <v>30710911</v>
      </c>
      <c r="BO255" t="s">
        <v>162</v>
      </c>
      <c r="BP255" t="s">
        <v>74</v>
      </c>
      <c r="BQ255" t="s">
        <v>74</v>
      </c>
      <c r="BR255" t="s">
        <v>104</v>
      </c>
      <c r="BS255" t="s">
        <v>4934</v>
      </c>
      <c r="BT255" t="str">
        <f>HYPERLINK("https%3A%2F%2Fwww.webofscience.com%2Fwos%2Fwoscc%2Ffull-record%2FWOS:000457528600018","View Full Record in Web of Science")</f>
        <v>View Full Record in Web of Science</v>
      </c>
    </row>
    <row r="256" spans="1:72" x14ac:dyDescent="0.15">
      <c r="A256" t="s">
        <v>72</v>
      </c>
      <c r="B256" t="s">
        <v>4935</v>
      </c>
      <c r="C256" t="s">
        <v>74</v>
      </c>
      <c r="D256" t="s">
        <v>74</v>
      </c>
      <c r="E256" t="s">
        <v>74</v>
      </c>
      <c r="F256" t="s">
        <v>4935</v>
      </c>
      <c r="G256" t="s">
        <v>74</v>
      </c>
      <c r="H256" t="s">
        <v>74</v>
      </c>
      <c r="I256" t="s">
        <v>4936</v>
      </c>
      <c r="J256" t="s">
        <v>3343</v>
      </c>
      <c r="K256" t="s">
        <v>74</v>
      </c>
      <c r="L256" t="s">
        <v>74</v>
      </c>
      <c r="M256" t="s">
        <v>78</v>
      </c>
      <c r="N256" t="s">
        <v>4937</v>
      </c>
      <c r="O256" t="s">
        <v>74</v>
      </c>
      <c r="P256" t="s">
        <v>74</v>
      </c>
      <c r="Q256" t="s">
        <v>74</v>
      </c>
      <c r="R256" t="s">
        <v>74</v>
      </c>
      <c r="S256" t="s">
        <v>74</v>
      </c>
      <c r="T256" t="s">
        <v>74</v>
      </c>
      <c r="U256" t="s">
        <v>74</v>
      </c>
      <c r="V256" t="s">
        <v>74</v>
      </c>
      <c r="W256" t="s">
        <v>74</v>
      </c>
      <c r="X256" t="s">
        <v>74</v>
      </c>
      <c r="Y256" t="s">
        <v>74</v>
      </c>
      <c r="Z256" t="s">
        <v>74</v>
      </c>
      <c r="AA256" t="s">
        <v>74</v>
      </c>
      <c r="AB256" t="s">
        <v>74</v>
      </c>
      <c r="AC256" t="s">
        <v>74</v>
      </c>
      <c r="AD256" t="s">
        <v>74</v>
      </c>
      <c r="AE256" t="s">
        <v>74</v>
      </c>
      <c r="AF256" t="s">
        <v>74</v>
      </c>
      <c r="AG256">
        <v>0</v>
      </c>
      <c r="AH256">
        <v>0</v>
      </c>
      <c r="AI256">
        <v>0</v>
      </c>
      <c r="AJ256">
        <v>0</v>
      </c>
      <c r="AK256">
        <v>4</v>
      </c>
      <c r="AL256" t="s">
        <v>3352</v>
      </c>
      <c r="AM256" t="s">
        <v>3353</v>
      </c>
      <c r="AN256" t="s">
        <v>3354</v>
      </c>
      <c r="AO256" t="s">
        <v>3355</v>
      </c>
      <c r="AP256" t="s">
        <v>3356</v>
      </c>
      <c r="AQ256" t="s">
        <v>74</v>
      </c>
      <c r="AR256" t="s">
        <v>3357</v>
      </c>
      <c r="AS256" t="s">
        <v>3358</v>
      </c>
      <c r="AT256" t="s">
        <v>718</v>
      </c>
      <c r="AU256">
        <v>2019</v>
      </c>
      <c r="AV256">
        <v>138</v>
      </c>
      <c r="AW256" t="s">
        <v>74</v>
      </c>
      <c r="AX256" t="s">
        <v>74</v>
      </c>
      <c r="AY256" t="s">
        <v>74</v>
      </c>
      <c r="AZ256" t="s">
        <v>74</v>
      </c>
      <c r="BA256" t="s">
        <v>74</v>
      </c>
      <c r="BB256">
        <v>626</v>
      </c>
      <c r="BC256">
        <v>626</v>
      </c>
      <c r="BD256" t="s">
        <v>74</v>
      </c>
      <c r="BE256" t="s">
        <v>74</v>
      </c>
      <c r="BF256" t="s">
        <v>74</v>
      </c>
      <c r="BG256" t="s">
        <v>74</v>
      </c>
      <c r="BH256" t="s">
        <v>74</v>
      </c>
      <c r="BI256">
        <v>1</v>
      </c>
      <c r="BJ256" t="s">
        <v>3360</v>
      </c>
      <c r="BK256" t="s">
        <v>101</v>
      </c>
      <c r="BL256" t="s">
        <v>3361</v>
      </c>
      <c r="BM256" t="s">
        <v>3362</v>
      </c>
      <c r="BN256" t="s">
        <v>74</v>
      </c>
      <c r="BO256" t="s">
        <v>74</v>
      </c>
      <c r="BP256" t="s">
        <v>74</v>
      </c>
      <c r="BQ256" t="s">
        <v>74</v>
      </c>
      <c r="BR256" t="s">
        <v>104</v>
      </c>
      <c r="BS256" t="s">
        <v>4938</v>
      </c>
      <c r="BT256" t="str">
        <f>HYPERLINK("https%3A%2F%2Fwww.webofscience.com%2Fwos%2Fwoscc%2Ffull-record%2FWOS:000457512500072","View Full Record in Web of Science")</f>
        <v>View Full Record in Web of Science</v>
      </c>
    </row>
    <row r="257" spans="1:72" x14ac:dyDescent="0.15">
      <c r="A257" t="s">
        <v>72</v>
      </c>
      <c r="B257" t="s">
        <v>4939</v>
      </c>
      <c r="C257" t="s">
        <v>74</v>
      </c>
      <c r="D257" t="s">
        <v>74</v>
      </c>
      <c r="E257" t="s">
        <v>74</v>
      </c>
      <c r="F257" t="s">
        <v>4940</v>
      </c>
      <c r="G257" t="s">
        <v>74</v>
      </c>
      <c r="H257" t="s">
        <v>74</v>
      </c>
      <c r="I257" t="s">
        <v>4941</v>
      </c>
      <c r="J257" t="s">
        <v>4942</v>
      </c>
      <c r="K257" t="s">
        <v>74</v>
      </c>
      <c r="L257" t="s">
        <v>74</v>
      </c>
      <c r="M257" t="s">
        <v>78</v>
      </c>
      <c r="N257" t="s">
        <v>79</v>
      </c>
      <c r="O257" t="s">
        <v>74</v>
      </c>
      <c r="P257" t="s">
        <v>74</v>
      </c>
      <c r="Q257" t="s">
        <v>74</v>
      </c>
      <c r="R257" t="s">
        <v>74</v>
      </c>
      <c r="S257" t="s">
        <v>74</v>
      </c>
      <c r="T257" t="s">
        <v>4943</v>
      </c>
      <c r="U257" t="s">
        <v>4944</v>
      </c>
      <c r="V257" t="s">
        <v>4945</v>
      </c>
      <c r="W257" t="s">
        <v>4946</v>
      </c>
      <c r="X257" t="s">
        <v>4947</v>
      </c>
      <c r="Y257" t="s">
        <v>4948</v>
      </c>
      <c r="Z257" t="s">
        <v>4949</v>
      </c>
      <c r="AA257" t="s">
        <v>4950</v>
      </c>
      <c r="AB257" t="s">
        <v>4951</v>
      </c>
      <c r="AC257" t="s">
        <v>4952</v>
      </c>
      <c r="AD257" t="s">
        <v>4953</v>
      </c>
      <c r="AE257" t="s">
        <v>4952</v>
      </c>
      <c r="AF257" t="s">
        <v>74</v>
      </c>
      <c r="AG257">
        <v>58</v>
      </c>
      <c r="AH257">
        <v>4</v>
      </c>
      <c r="AI257">
        <v>4</v>
      </c>
      <c r="AJ257">
        <v>0</v>
      </c>
      <c r="AK257">
        <v>10</v>
      </c>
      <c r="AL257" t="s">
        <v>3670</v>
      </c>
      <c r="AM257" t="s">
        <v>3671</v>
      </c>
      <c r="AN257" t="s">
        <v>3672</v>
      </c>
      <c r="AO257" t="s">
        <v>4954</v>
      </c>
      <c r="AP257" t="s">
        <v>4955</v>
      </c>
      <c r="AQ257" t="s">
        <v>74</v>
      </c>
      <c r="AR257" t="s">
        <v>4956</v>
      </c>
      <c r="AS257" t="s">
        <v>4957</v>
      </c>
      <c r="AT257" t="s">
        <v>718</v>
      </c>
      <c r="AU257">
        <v>2019</v>
      </c>
      <c r="AV257">
        <v>29</v>
      </c>
      <c r="AW257">
        <v>1</v>
      </c>
      <c r="AX257" t="s">
        <v>74</v>
      </c>
      <c r="AY257" t="s">
        <v>74</v>
      </c>
      <c r="AZ257" t="s">
        <v>74</v>
      </c>
      <c r="BA257" t="s">
        <v>74</v>
      </c>
      <c r="BB257">
        <v>59</v>
      </c>
      <c r="BC257">
        <v>71</v>
      </c>
      <c r="BD257" t="s">
        <v>74</v>
      </c>
      <c r="BE257" t="s">
        <v>4958</v>
      </c>
      <c r="BF257" t="str">
        <f>HYPERLINK("http://dx.doi.org/10.1002/aqc.2960","http://dx.doi.org/10.1002/aqc.2960")</f>
        <v>http://dx.doi.org/10.1002/aqc.2960</v>
      </c>
      <c r="BG257" t="s">
        <v>74</v>
      </c>
      <c r="BH257" t="s">
        <v>74</v>
      </c>
      <c r="BI257">
        <v>13</v>
      </c>
      <c r="BJ257" t="s">
        <v>4959</v>
      </c>
      <c r="BK257" t="s">
        <v>101</v>
      </c>
      <c r="BL257" t="s">
        <v>4960</v>
      </c>
      <c r="BM257" t="s">
        <v>4961</v>
      </c>
      <c r="BN257" t="s">
        <v>74</v>
      </c>
      <c r="BO257" t="s">
        <v>162</v>
      </c>
      <c r="BP257" t="s">
        <v>74</v>
      </c>
      <c r="BQ257" t="s">
        <v>74</v>
      </c>
      <c r="BR257" t="s">
        <v>104</v>
      </c>
      <c r="BS257" t="s">
        <v>4962</v>
      </c>
      <c r="BT257" t="str">
        <f>HYPERLINK("https%3A%2F%2Fwww.webofscience.com%2Fwos%2Fwoscc%2Ffull-record%2FWOS:000456804200006","View Full Record in Web of Science")</f>
        <v>View Full Record in Web of Science</v>
      </c>
    </row>
    <row r="258" spans="1:72" x14ac:dyDescent="0.15">
      <c r="A258" t="s">
        <v>72</v>
      </c>
      <c r="B258" t="s">
        <v>4963</v>
      </c>
      <c r="C258" t="s">
        <v>74</v>
      </c>
      <c r="D258" t="s">
        <v>74</v>
      </c>
      <c r="E258" t="s">
        <v>74</v>
      </c>
      <c r="F258" t="s">
        <v>4964</v>
      </c>
      <c r="G258" t="s">
        <v>74</v>
      </c>
      <c r="H258" t="s">
        <v>74</v>
      </c>
      <c r="I258" t="s">
        <v>4965</v>
      </c>
      <c r="J258" t="s">
        <v>4966</v>
      </c>
      <c r="K258" t="s">
        <v>74</v>
      </c>
      <c r="L258" t="s">
        <v>74</v>
      </c>
      <c r="M258" t="s">
        <v>78</v>
      </c>
      <c r="N258" t="s">
        <v>79</v>
      </c>
      <c r="O258" t="s">
        <v>74</v>
      </c>
      <c r="P258" t="s">
        <v>74</v>
      </c>
      <c r="Q258" t="s">
        <v>74</v>
      </c>
      <c r="R258" t="s">
        <v>74</v>
      </c>
      <c r="S258" t="s">
        <v>74</v>
      </c>
      <c r="T258" t="s">
        <v>74</v>
      </c>
      <c r="U258" t="s">
        <v>4967</v>
      </c>
      <c r="V258" t="s">
        <v>4968</v>
      </c>
      <c r="W258" t="s">
        <v>4969</v>
      </c>
      <c r="X258" t="s">
        <v>4970</v>
      </c>
      <c r="Y258" t="s">
        <v>4971</v>
      </c>
      <c r="Z258" t="s">
        <v>4972</v>
      </c>
      <c r="AA258" t="s">
        <v>4973</v>
      </c>
      <c r="AB258" t="s">
        <v>4974</v>
      </c>
      <c r="AC258" t="s">
        <v>74</v>
      </c>
      <c r="AD258" t="s">
        <v>74</v>
      </c>
      <c r="AE258" t="s">
        <v>74</v>
      </c>
      <c r="AF258" t="s">
        <v>74</v>
      </c>
      <c r="AG258">
        <v>43</v>
      </c>
      <c r="AH258">
        <v>15</v>
      </c>
      <c r="AI258">
        <v>15</v>
      </c>
      <c r="AJ258">
        <v>0</v>
      </c>
      <c r="AK258">
        <v>4</v>
      </c>
      <c r="AL258" t="s">
        <v>4975</v>
      </c>
      <c r="AM258" t="s">
        <v>3008</v>
      </c>
      <c r="AN258" t="s">
        <v>4976</v>
      </c>
      <c r="AO258" t="s">
        <v>4977</v>
      </c>
      <c r="AP258" t="s">
        <v>4978</v>
      </c>
      <c r="AQ258" t="s">
        <v>74</v>
      </c>
      <c r="AR258" t="s">
        <v>4979</v>
      </c>
      <c r="AS258" t="s">
        <v>4980</v>
      </c>
      <c r="AT258" t="s">
        <v>74</v>
      </c>
      <c r="AU258">
        <v>2019</v>
      </c>
      <c r="AV258">
        <v>2019</v>
      </c>
      <c r="AW258" t="s">
        <v>74</v>
      </c>
      <c r="AX258" t="s">
        <v>74</v>
      </c>
      <c r="AY258" t="s">
        <v>74</v>
      </c>
      <c r="AZ258" t="s">
        <v>74</v>
      </c>
      <c r="BA258" t="s">
        <v>74</v>
      </c>
      <c r="BB258" t="s">
        <v>74</v>
      </c>
      <c r="BC258" t="s">
        <v>74</v>
      </c>
      <c r="BD258">
        <v>2762978</v>
      </c>
      <c r="BE258" t="s">
        <v>4981</v>
      </c>
      <c r="BF258" t="str">
        <f>HYPERLINK("http://dx.doi.org/10.1155/2019/2762978","http://dx.doi.org/10.1155/2019/2762978")</f>
        <v>http://dx.doi.org/10.1155/2019/2762978</v>
      </c>
      <c r="BG258" t="s">
        <v>74</v>
      </c>
      <c r="BH258" t="s">
        <v>74</v>
      </c>
      <c r="BI258">
        <v>9</v>
      </c>
      <c r="BJ258" t="s">
        <v>4982</v>
      </c>
      <c r="BK258" t="s">
        <v>101</v>
      </c>
      <c r="BL258" t="s">
        <v>4982</v>
      </c>
      <c r="BM258" t="s">
        <v>4983</v>
      </c>
      <c r="BN258">
        <v>30800161</v>
      </c>
      <c r="BO258" t="s">
        <v>4984</v>
      </c>
      <c r="BP258" t="s">
        <v>74</v>
      </c>
      <c r="BQ258" t="s">
        <v>74</v>
      </c>
      <c r="BR258" t="s">
        <v>104</v>
      </c>
      <c r="BS258" t="s">
        <v>4985</v>
      </c>
      <c r="BT258" t="str">
        <f>HYPERLINK("https%3A%2F%2Fwww.webofscience.com%2Fwos%2Fwoscc%2Ffull-record%2FWOS:000457010000001","View Full Record in Web of Science")</f>
        <v>View Full Record in Web of Science</v>
      </c>
    </row>
    <row r="259" spans="1:72" x14ac:dyDescent="0.15">
      <c r="A259" t="s">
        <v>72</v>
      </c>
      <c r="B259" t="s">
        <v>4986</v>
      </c>
      <c r="C259" t="s">
        <v>74</v>
      </c>
      <c r="D259" t="s">
        <v>74</v>
      </c>
      <c r="E259" t="s">
        <v>74</v>
      </c>
      <c r="F259" t="s">
        <v>4987</v>
      </c>
      <c r="G259" t="s">
        <v>74</v>
      </c>
      <c r="H259" t="s">
        <v>74</v>
      </c>
      <c r="I259" t="s">
        <v>4988</v>
      </c>
      <c r="J259" t="s">
        <v>4989</v>
      </c>
      <c r="K259" t="s">
        <v>74</v>
      </c>
      <c r="L259" t="s">
        <v>74</v>
      </c>
      <c r="M259" t="s">
        <v>78</v>
      </c>
      <c r="N259" t="s">
        <v>79</v>
      </c>
      <c r="O259" t="s">
        <v>74</v>
      </c>
      <c r="P259" t="s">
        <v>74</v>
      </c>
      <c r="Q259" t="s">
        <v>74</v>
      </c>
      <c r="R259" t="s">
        <v>74</v>
      </c>
      <c r="S259" t="s">
        <v>74</v>
      </c>
      <c r="T259" t="s">
        <v>74</v>
      </c>
      <c r="U259" t="s">
        <v>4990</v>
      </c>
      <c r="V259" t="s">
        <v>4991</v>
      </c>
      <c r="W259" t="s">
        <v>4992</v>
      </c>
      <c r="X259" t="s">
        <v>4993</v>
      </c>
      <c r="Y259" t="s">
        <v>4994</v>
      </c>
      <c r="Z259" t="s">
        <v>4995</v>
      </c>
      <c r="AA259" t="s">
        <v>4996</v>
      </c>
      <c r="AB259" t="s">
        <v>4997</v>
      </c>
      <c r="AC259" t="s">
        <v>4998</v>
      </c>
      <c r="AD259" t="s">
        <v>4999</v>
      </c>
      <c r="AE259" t="s">
        <v>5000</v>
      </c>
      <c r="AF259" t="s">
        <v>74</v>
      </c>
      <c r="AG259">
        <v>77</v>
      </c>
      <c r="AH259">
        <v>5</v>
      </c>
      <c r="AI259">
        <v>5</v>
      </c>
      <c r="AJ259">
        <v>1</v>
      </c>
      <c r="AK259">
        <v>21</v>
      </c>
      <c r="AL259" t="s">
        <v>3670</v>
      </c>
      <c r="AM259" t="s">
        <v>3671</v>
      </c>
      <c r="AN259" t="s">
        <v>3672</v>
      </c>
      <c r="AO259" t="s">
        <v>5001</v>
      </c>
      <c r="AP259" t="s">
        <v>5002</v>
      </c>
      <c r="AQ259" t="s">
        <v>74</v>
      </c>
      <c r="AR259" t="s">
        <v>5003</v>
      </c>
      <c r="AS259" t="s">
        <v>5004</v>
      </c>
      <c r="AT259" t="s">
        <v>718</v>
      </c>
      <c r="AU259">
        <v>2019</v>
      </c>
      <c r="AV259">
        <v>64</v>
      </c>
      <c r="AW259">
        <v>1</v>
      </c>
      <c r="AX259" t="s">
        <v>74</v>
      </c>
      <c r="AY259" t="s">
        <v>74</v>
      </c>
      <c r="AZ259" t="s">
        <v>74</v>
      </c>
      <c r="BA259" t="s">
        <v>74</v>
      </c>
      <c r="BB259">
        <v>217</v>
      </c>
      <c r="BC259">
        <v>237</v>
      </c>
      <c r="BD259" t="s">
        <v>74</v>
      </c>
      <c r="BE259" t="s">
        <v>5005</v>
      </c>
      <c r="BF259" t="str">
        <f>HYPERLINK("http://dx.doi.org/10.1002/lno.11032","http://dx.doi.org/10.1002/lno.11032")</f>
        <v>http://dx.doi.org/10.1002/lno.11032</v>
      </c>
      <c r="BG259" t="s">
        <v>74</v>
      </c>
      <c r="BH259" t="s">
        <v>74</v>
      </c>
      <c r="BI259">
        <v>21</v>
      </c>
      <c r="BJ259" t="s">
        <v>5006</v>
      </c>
      <c r="BK259" t="s">
        <v>101</v>
      </c>
      <c r="BL259" t="s">
        <v>827</v>
      </c>
      <c r="BM259" t="s">
        <v>5007</v>
      </c>
      <c r="BN259" t="s">
        <v>74</v>
      </c>
      <c r="BO259" t="s">
        <v>162</v>
      </c>
      <c r="BP259" t="s">
        <v>74</v>
      </c>
      <c r="BQ259" t="s">
        <v>74</v>
      </c>
      <c r="BR259" t="s">
        <v>104</v>
      </c>
      <c r="BS259" t="s">
        <v>5008</v>
      </c>
      <c r="BT259" t="str">
        <f>HYPERLINK("https%3A%2F%2Fwww.webofscience.com%2Fwos%2Fwoscc%2Ffull-record%2FWOS:000456720900016","View Full Record in Web of Science")</f>
        <v>View Full Record in Web of Science</v>
      </c>
    </row>
    <row r="260" spans="1:72" x14ac:dyDescent="0.15">
      <c r="A260" t="s">
        <v>72</v>
      </c>
      <c r="B260" t="s">
        <v>5009</v>
      </c>
      <c r="C260" t="s">
        <v>74</v>
      </c>
      <c r="D260" t="s">
        <v>74</v>
      </c>
      <c r="E260" t="s">
        <v>74</v>
      </c>
      <c r="F260" t="s">
        <v>5010</v>
      </c>
      <c r="G260" t="s">
        <v>74</v>
      </c>
      <c r="H260" t="s">
        <v>74</v>
      </c>
      <c r="I260" t="s">
        <v>5011</v>
      </c>
      <c r="J260" t="s">
        <v>4989</v>
      </c>
      <c r="K260" t="s">
        <v>74</v>
      </c>
      <c r="L260" t="s">
        <v>74</v>
      </c>
      <c r="M260" t="s">
        <v>78</v>
      </c>
      <c r="N260" t="s">
        <v>79</v>
      </c>
      <c r="O260" t="s">
        <v>74</v>
      </c>
      <c r="P260" t="s">
        <v>74</v>
      </c>
      <c r="Q260" t="s">
        <v>74</v>
      </c>
      <c r="R260" t="s">
        <v>74</v>
      </c>
      <c r="S260" t="s">
        <v>74</v>
      </c>
      <c r="T260" t="s">
        <v>74</v>
      </c>
      <c r="U260" t="s">
        <v>5012</v>
      </c>
      <c r="V260" t="s">
        <v>5013</v>
      </c>
      <c r="W260" t="s">
        <v>5014</v>
      </c>
      <c r="X260" t="s">
        <v>5015</v>
      </c>
      <c r="Y260" t="s">
        <v>5016</v>
      </c>
      <c r="Z260" t="s">
        <v>5017</v>
      </c>
      <c r="AA260" t="s">
        <v>5018</v>
      </c>
      <c r="AB260" t="s">
        <v>5019</v>
      </c>
      <c r="AC260" t="s">
        <v>5020</v>
      </c>
      <c r="AD260" t="s">
        <v>5021</v>
      </c>
      <c r="AE260" t="s">
        <v>5022</v>
      </c>
      <c r="AF260" t="s">
        <v>74</v>
      </c>
      <c r="AG260">
        <v>64</v>
      </c>
      <c r="AH260">
        <v>9</v>
      </c>
      <c r="AI260">
        <v>9</v>
      </c>
      <c r="AJ260">
        <v>1</v>
      </c>
      <c r="AK260">
        <v>16</v>
      </c>
      <c r="AL260" t="s">
        <v>3670</v>
      </c>
      <c r="AM260" t="s">
        <v>3671</v>
      </c>
      <c r="AN260" t="s">
        <v>3672</v>
      </c>
      <c r="AO260" t="s">
        <v>5001</v>
      </c>
      <c r="AP260" t="s">
        <v>5002</v>
      </c>
      <c r="AQ260" t="s">
        <v>74</v>
      </c>
      <c r="AR260" t="s">
        <v>5003</v>
      </c>
      <c r="AS260" t="s">
        <v>5004</v>
      </c>
      <c r="AT260" t="s">
        <v>718</v>
      </c>
      <c r="AU260">
        <v>2019</v>
      </c>
      <c r="AV260">
        <v>64</v>
      </c>
      <c r="AW260">
        <v>1</v>
      </c>
      <c r="AX260" t="s">
        <v>74</v>
      </c>
      <c r="AY260" t="s">
        <v>74</v>
      </c>
      <c r="AZ260" t="s">
        <v>74</v>
      </c>
      <c r="BA260" t="s">
        <v>74</v>
      </c>
      <c r="BB260">
        <v>258</v>
      </c>
      <c r="BC260">
        <v>271</v>
      </c>
      <c r="BD260" t="s">
        <v>74</v>
      </c>
      <c r="BE260" t="s">
        <v>5023</v>
      </c>
      <c r="BF260" t="str">
        <f>HYPERLINK("http://dx.doi.org/10.1002/lno.11035","http://dx.doi.org/10.1002/lno.11035")</f>
        <v>http://dx.doi.org/10.1002/lno.11035</v>
      </c>
      <c r="BG260" t="s">
        <v>74</v>
      </c>
      <c r="BH260" t="s">
        <v>74</v>
      </c>
      <c r="BI260">
        <v>14</v>
      </c>
      <c r="BJ260" t="s">
        <v>5006</v>
      </c>
      <c r="BK260" t="s">
        <v>101</v>
      </c>
      <c r="BL260" t="s">
        <v>827</v>
      </c>
      <c r="BM260" t="s">
        <v>5007</v>
      </c>
      <c r="BN260" t="s">
        <v>74</v>
      </c>
      <c r="BO260" t="s">
        <v>162</v>
      </c>
      <c r="BP260" t="s">
        <v>74</v>
      </c>
      <c r="BQ260" t="s">
        <v>74</v>
      </c>
      <c r="BR260" t="s">
        <v>104</v>
      </c>
      <c r="BS260" t="s">
        <v>5024</v>
      </c>
      <c r="BT260" t="str">
        <f>HYPERLINK("https%3A%2F%2Fwww.webofscience.com%2Fwos%2Fwoscc%2Ffull-record%2FWOS:000456720900018","View Full Record in Web of Science")</f>
        <v>View Full Record in Web of Science</v>
      </c>
    </row>
    <row r="261" spans="1:72" x14ac:dyDescent="0.15">
      <c r="A261" t="s">
        <v>72</v>
      </c>
      <c r="B261" t="s">
        <v>5025</v>
      </c>
      <c r="C261" t="s">
        <v>74</v>
      </c>
      <c r="D261" t="s">
        <v>74</v>
      </c>
      <c r="E261" t="s">
        <v>74</v>
      </c>
      <c r="F261" t="s">
        <v>5026</v>
      </c>
      <c r="G261" t="s">
        <v>74</v>
      </c>
      <c r="H261" t="s">
        <v>74</v>
      </c>
      <c r="I261" t="s">
        <v>5027</v>
      </c>
      <c r="J261" t="s">
        <v>4620</v>
      </c>
      <c r="K261" t="s">
        <v>74</v>
      </c>
      <c r="L261" t="s">
        <v>74</v>
      </c>
      <c r="M261" t="s">
        <v>78</v>
      </c>
      <c r="N261" t="s">
        <v>79</v>
      </c>
      <c r="O261" t="s">
        <v>74</v>
      </c>
      <c r="P261" t="s">
        <v>74</v>
      </c>
      <c r="Q261" t="s">
        <v>74</v>
      </c>
      <c r="R261" t="s">
        <v>74</v>
      </c>
      <c r="S261" t="s">
        <v>74</v>
      </c>
      <c r="T261" t="s">
        <v>5028</v>
      </c>
      <c r="U261" t="s">
        <v>5029</v>
      </c>
      <c r="V261" t="s">
        <v>5030</v>
      </c>
      <c r="W261" t="s">
        <v>5031</v>
      </c>
      <c r="X261" t="s">
        <v>3608</v>
      </c>
      <c r="Y261" t="s">
        <v>5032</v>
      </c>
      <c r="Z261" t="s">
        <v>5033</v>
      </c>
      <c r="AA261" t="s">
        <v>5034</v>
      </c>
      <c r="AB261" t="s">
        <v>5035</v>
      </c>
      <c r="AC261" t="s">
        <v>74</v>
      </c>
      <c r="AD261" t="s">
        <v>74</v>
      </c>
      <c r="AE261" t="s">
        <v>74</v>
      </c>
      <c r="AF261" t="s">
        <v>74</v>
      </c>
      <c r="AG261">
        <v>74</v>
      </c>
      <c r="AH261">
        <v>5</v>
      </c>
      <c r="AI261">
        <v>5</v>
      </c>
      <c r="AJ261">
        <v>4</v>
      </c>
      <c r="AK261">
        <v>49</v>
      </c>
      <c r="AL261" t="s">
        <v>4632</v>
      </c>
      <c r="AM261" t="s">
        <v>4633</v>
      </c>
      <c r="AN261" t="s">
        <v>4634</v>
      </c>
      <c r="AO261" t="s">
        <v>4635</v>
      </c>
      <c r="AP261" t="s">
        <v>4636</v>
      </c>
      <c r="AQ261" t="s">
        <v>74</v>
      </c>
      <c r="AR261" t="s">
        <v>4637</v>
      </c>
      <c r="AS261" t="s">
        <v>4638</v>
      </c>
      <c r="AT261" t="s">
        <v>74</v>
      </c>
      <c r="AU261">
        <v>2019</v>
      </c>
      <c r="AV261">
        <v>70</v>
      </c>
      <c r="AW261">
        <v>2</v>
      </c>
      <c r="AX261" t="s">
        <v>74</v>
      </c>
      <c r="AY261" t="s">
        <v>74</v>
      </c>
      <c r="AZ261" t="s">
        <v>74</v>
      </c>
      <c r="BA261" t="s">
        <v>74</v>
      </c>
      <c r="BB261">
        <v>280</v>
      </c>
      <c r="BC261">
        <v>291</v>
      </c>
      <c r="BD261" t="s">
        <v>74</v>
      </c>
      <c r="BE261" t="s">
        <v>5036</v>
      </c>
      <c r="BF261" t="str">
        <f>HYPERLINK("http://dx.doi.org/10.1071/MF18159","http://dx.doi.org/10.1071/MF18159")</f>
        <v>http://dx.doi.org/10.1071/MF18159</v>
      </c>
      <c r="BG261" t="s">
        <v>74</v>
      </c>
      <c r="BH261" t="s">
        <v>74</v>
      </c>
      <c r="BI261">
        <v>12</v>
      </c>
      <c r="BJ261" t="s">
        <v>4640</v>
      </c>
      <c r="BK261" t="s">
        <v>101</v>
      </c>
      <c r="BL261" t="s">
        <v>3759</v>
      </c>
      <c r="BM261" t="s">
        <v>5037</v>
      </c>
      <c r="BN261" t="s">
        <v>74</v>
      </c>
      <c r="BO261" t="s">
        <v>74</v>
      </c>
      <c r="BP261" t="s">
        <v>74</v>
      </c>
      <c r="BQ261" t="s">
        <v>74</v>
      </c>
      <c r="BR261" t="s">
        <v>104</v>
      </c>
      <c r="BS261" t="s">
        <v>5038</v>
      </c>
      <c r="BT261" t="str">
        <f>HYPERLINK("https%3A%2F%2Fwww.webofscience.com%2Fwos%2Fwoscc%2Ffull-record%2FWOS:000457015000009","View Full Record in Web of Science")</f>
        <v>View Full Record in Web of Science</v>
      </c>
    </row>
    <row r="262" spans="1:72" x14ac:dyDescent="0.15">
      <c r="A262" t="s">
        <v>72</v>
      </c>
      <c r="B262" t="s">
        <v>5039</v>
      </c>
      <c r="C262" t="s">
        <v>74</v>
      </c>
      <c r="D262" t="s">
        <v>74</v>
      </c>
      <c r="E262" t="s">
        <v>74</v>
      </c>
      <c r="F262" t="s">
        <v>5040</v>
      </c>
      <c r="G262" t="s">
        <v>74</v>
      </c>
      <c r="H262" t="s">
        <v>74</v>
      </c>
      <c r="I262" t="s">
        <v>5041</v>
      </c>
      <c r="J262" t="s">
        <v>5042</v>
      </c>
      <c r="K262" t="s">
        <v>74</v>
      </c>
      <c r="L262" t="s">
        <v>74</v>
      </c>
      <c r="M262" t="s">
        <v>78</v>
      </c>
      <c r="N262" t="s">
        <v>79</v>
      </c>
      <c r="O262" t="s">
        <v>74</v>
      </c>
      <c r="P262" t="s">
        <v>74</v>
      </c>
      <c r="Q262" t="s">
        <v>74</v>
      </c>
      <c r="R262" t="s">
        <v>74</v>
      </c>
      <c r="S262" t="s">
        <v>74</v>
      </c>
      <c r="T262" t="s">
        <v>5043</v>
      </c>
      <c r="U262" t="s">
        <v>5044</v>
      </c>
      <c r="V262" t="s">
        <v>5045</v>
      </c>
      <c r="W262" t="s">
        <v>5046</v>
      </c>
      <c r="X262" t="s">
        <v>5047</v>
      </c>
      <c r="Y262" t="s">
        <v>5048</v>
      </c>
      <c r="Z262" t="s">
        <v>5049</v>
      </c>
      <c r="AA262" t="s">
        <v>5050</v>
      </c>
      <c r="AB262" t="s">
        <v>5051</v>
      </c>
      <c r="AC262" t="s">
        <v>74</v>
      </c>
      <c r="AD262" t="s">
        <v>74</v>
      </c>
      <c r="AE262" t="s">
        <v>74</v>
      </c>
      <c r="AF262" t="s">
        <v>74</v>
      </c>
      <c r="AG262">
        <v>65</v>
      </c>
      <c r="AH262">
        <v>21</v>
      </c>
      <c r="AI262">
        <v>21</v>
      </c>
      <c r="AJ262">
        <v>4</v>
      </c>
      <c r="AK262">
        <v>37</v>
      </c>
      <c r="AL262" t="s">
        <v>5052</v>
      </c>
      <c r="AM262" t="s">
        <v>5053</v>
      </c>
      <c r="AN262" t="s">
        <v>5054</v>
      </c>
      <c r="AO262" t="s">
        <v>5055</v>
      </c>
      <c r="AP262" t="s">
        <v>74</v>
      </c>
      <c r="AQ262" t="s">
        <v>74</v>
      </c>
      <c r="AR262" t="s">
        <v>5056</v>
      </c>
      <c r="AS262" t="s">
        <v>5057</v>
      </c>
      <c r="AT262" t="s">
        <v>74</v>
      </c>
      <c r="AU262">
        <v>2019</v>
      </c>
      <c r="AV262">
        <v>218</v>
      </c>
      <c r="AW262" t="s">
        <v>74</v>
      </c>
      <c r="AX262" t="s">
        <v>74</v>
      </c>
      <c r="AY262" t="s">
        <v>74</v>
      </c>
      <c r="AZ262" t="s">
        <v>74</v>
      </c>
      <c r="BA262" t="s">
        <v>74</v>
      </c>
      <c r="BB262">
        <v>66</v>
      </c>
      <c r="BC262">
        <v>75</v>
      </c>
      <c r="BD262" t="s">
        <v>74</v>
      </c>
      <c r="BE262" t="s">
        <v>5058</v>
      </c>
      <c r="BF262" t="str">
        <f>HYPERLINK("http://dx.doi.org/10.1016/j.micres.2018.09.010","http://dx.doi.org/10.1016/j.micres.2018.09.010")</f>
        <v>http://dx.doi.org/10.1016/j.micres.2018.09.010</v>
      </c>
      <c r="BG262" t="s">
        <v>74</v>
      </c>
      <c r="BH262" t="s">
        <v>74</v>
      </c>
      <c r="BI262">
        <v>10</v>
      </c>
      <c r="BJ262" t="s">
        <v>4119</v>
      </c>
      <c r="BK262" t="s">
        <v>101</v>
      </c>
      <c r="BL262" t="s">
        <v>4119</v>
      </c>
      <c r="BM262" t="s">
        <v>5059</v>
      </c>
      <c r="BN262">
        <v>30454660</v>
      </c>
      <c r="BO262" t="s">
        <v>3810</v>
      </c>
      <c r="BP262" t="s">
        <v>74</v>
      </c>
      <c r="BQ262" t="s">
        <v>74</v>
      </c>
      <c r="BR262" t="s">
        <v>104</v>
      </c>
      <c r="BS262" t="s">
        <v>5060</v>
      </c>
      <c r="BT262" t="str">
        <f>HYPERLINK("https%3A%2F%2Fwww.webofscience.com%2Fwos%2Fwoscc%2Ffull-record%2FWOS:000456897900008","View Full Record in Web of Science")</f>
        <v>View Full Record in Web of Science</v>
      </c>
    </row>
    <row r="263" spans="1:72" x14ac:dyDescent="0.15">
      <c r="A263" t="s">
        <v>72</v>
      </c>
      <c r="B263" t="s">
        <v>5061</v>
      </c>
      <c r="C263" t="s">
        <v>74</v>
      </c>
      <c r="D263" t="s">
        <v>74</v>
      </c>
      <c r="E263" t="s">
        <v>74</v>
      </c>
      <c r="F263" t="s">
        <v>5062</v>
      </c>
      <c r="G263" t="s">
        <v>74</v>
      </c>
      <c r="H263" t="s">
        <v>74</v>
      </c>
      <c r="I263" t="s">
        <v>5063</v>
      </c>
      <c r="J263" t="s">
        <v>5064</v>
      </c>
      <c r="K263" t="s">
        <v>74</v>
      </c>
      <c r="L263" t="s">
        <v>74</v>
      </c>
      <c r="M263" t="s">
        <v>78</v>
      </c>
      <c r="N263" t="s">
        <v>79</v>
      </c>
      <c r="O263" t="s">
        <v>74</v>
      </c>
      <c r="P263" t="s">
        <v>74</v>
      </c>
      <c r="Q263" t="s">
        <v>74</v>
      </c>
      <c r="R263" t="s">
        <v>74</v>
      </c>
      <c r="S263" t="s">
        <v>74</v>
      </c>
      <c r="T263" t="s">
        <v>74</v>
      </c>
      <c r="U263" t="s">
        <v>5065</v>
      </c>
      <c r="V263" t="s">
        <v>5066</v>
      </c>
      <c r="W263" t="s">
        <v>5067</v>
      </c>
      <c r="X263" t="s">
        <v>5068</v>
      </c>
      <c r="Y263" t="s">
        <v>5069</v>
      </c>
      <c r="Z263" t="s">
        <v>5070</v>
      </c>
      <c r="AA263" t="s">
        <v>5071</v>
      </c>
      <c r="AB263" t="s">
        <v>5072</v>
      </c>
      <c r="AC263" t="s">
        <v>5073</v>
      </c>
      <c r="AD263" t="s">
        <v>5074</v>
      </c>
      <c r="AE263" t="s">
        <v>5075</v>
      </c>
      <c r="AF263" t="s">
        <v>74</v>
      </c>
      <c r="AG263">
        <v>88</v>
      </c>
      <c r="AH263">
        <v>4</v>
      </c>
      <c r="AI263">
        <v>4</v>
      </c>
      <c r="AJ263">
        <v>0</v>
      </c>
      <c r="AK263">
        <v>10</v>
      </c>
      <c r="AL263" t="s">
        <v>3670</v>
      </c>
      <c r="AM263" t="s">
        <v>3671</v>
      </c>
      <c r="AN263" t="s">
        <v>3672</v>
      </c>
      <c r="AO263" t="s">
        <v>5076</v>
      </c>
      <c r="AP263" t="s">
        <v>5077</v>
      </c>
      <c r="AQ263" t="s">
        <v>74</v>
      </c>
      <c r="AR263" t="s">
        <v>5078</v>
      </c>
      <c r="AS263" t="s">
        <v>5079</v>
      </c>
      <c r="AT263" t="s">
        <v>2446</v>
      </c>
      <c r="AU263">
        <v>2019</v>
      </c>
      <c r="AV263">
        <v>95</v>
      </c>
      <c r="AW263">
        <v>1</v>
      </c>
      <c r="AX263" t="s">
        <v>74</v>
      </c>
      <c r="AY263" t="s">
        <v>74</v>
      </c>
      <c r="AZ263" t="s">
        <v>74</v>
      </c>
      <c r="BA263" t="s">
        <v>74</v>
      </c>
      <c r="BB263">
        <v>306</v>
      </c>
      <c r="BC263">
        <v>314</v>
      </c>
      <c r="BD263" t="s">
        <v>74</v>
      </c>
      <c r="BE263" t="s">
        <v>5080</v>
      </c>
      <c r="BF263" t="str">
        <f>HYPERLINK("http://dx.doi.org/10.1111/php.13014","http://dx.doi.org/10.1111/php.13014")</f>
        <v>http://dx.doi.org/10.1111/php.13014</v>
      </c>
      <c r="BG263" t="s">
        <v>74</v>
      </c>
      <c r="BH263" t="s">
        <v>74</v>
      </c>
      <c r="BI263">
        <v>9</v>
      </c>
      <c r="BJ263" t="s">
        <v>5081</v>
      </c>
      <c r="BK263" t="s">
        <v>101</v>
      </c>
      <c r="BL263" t="s">
        <v>5081</v>
      </c>
      <c r="BM263" t="s">
        <v>5082</v>
      </c>
      <c r="BN263">
        <v>30222196</v>
      </c>
      <c r="BO263" t="s">
        <v>162</v>
      </c>
      <c r="BP263" t="s">
        <v>74</v>
      </c>
      <c r="BQ263" t="s">
        <v>74</v>
      </c>
      <c r="BR263" t="s">
        <v>104</v>
      </c>
      <c r="BS263" t="s">
        <v>5083</v>
      </c>
      <c r="BT263" t="str">
        <f>HYPERLINK("https%3A%2F%2Fwww.webofscience.com%2Fwos%2Fwoscc%2Ffull-record%2FWOS:000456839400029","View Full Record in Web of Science")</f>
        <v>View Full Record in Web of Science</v>
      </c>
    </row>
    <row r="264" spans="1:72" x14ac:dyDescent="0.15">
      <c r="A264" t="s">
        <v>72</v>
      </c>
      <c r="B264" t="s">
        <v>5084</v>
      </c>
      <c r="C264" t="s">
        <v>74</v>
      </c>
      <c r="D264" t="s">
        <v>74</v>
      </c>
      <c r="E264" t="s">
        <v>74</v>
      </c>
      <c r="F264" t="s">
        <v>5085</v>
      </c>
      <c r="G264" t="s">
        <v>74</v>
      </c>
      <c r="H264" t="s">
        <v>74</v>
      </c>
      <c r="I264" t="s">
        <v>5086</v>
      </c>
      <c r="J264" t="s">
        <v>5087</v>
      </c>
      <c r="K264" t="s">
        <v>74</v>
      </c>
      <c r="L264" t="s">
        <v>74</v>
      </c>
      <c r="M264" t="s">
        <v>78</v>
      </c>
      <c r="N264" t="s">
        <v>1003</v>
      </c>
      <c r="O264" t="s">
        <v>74</v>
      </c>
      <c r="P264" t="s">
        <v>74</v>
      </c>
      <c r="Q264" t="s">
        <v>74</v>
      </c>
      <c r="R264" t="s">
        <v>74</v>
      </c>
      <c r="S264" t="s">
        <v>74</v>
      </c>
      <c r="T264" t="s">
        <v>5088</v>
      </c>
      <c r="U264" t="s">
        <v>5089</v>
      </c>
      <c r="V264" t="s">
        <v>5090</v>
      </c>
      <c r="W264" t="s">
        <v>5091</v>
      </c>
      <c r="X264" t="s">
        <v>5092</v>
      </c>
      <c r="Y264" t="s">
        <v>5093</v>
      </c>
      <c r="Z264" t="s">
        <v>5094</v>
      </c>
      <c r="AA264" t="s">
        <v>5095</v>
      </c>
      <c r="AB264" t="s">
        <v>5096</v>
      </c>
      <c r="AC264" t="s">
        <v>5097</v>
      </c>
      <c r="AD264" t="s">
        <v>5098</v>
      </c>
      <c r="AE264" t="s">
        <v>5099</v>
      </c>
      <c r="AF264" t="s">
        <v>74</v>
      </c>
      <c r="AG264">
        <v>75</v>
      </c>
      <c r="AH264">
        <v>35</v>
      </c>
      <c r="AI264">
        <v>36</v>
      </c>
      <c r="AJ264">
        <v>2</v>
      </c>
      <c r="AK264">
        <v>44</v>
      </c>
      <c r="AL264" t="s">
        <v>4010</v>
      </c>
      <c r="AM264" t="s">
        <v>4011</v>
      </c>
      <c r="AN264" t="s">
        <v>4012</v>
      </c>
      <c r="AO264" t="s">
        <v>74</v>
      </c>
      <c r="AP264" t="s">
        <v>5100</v>
      </c>
      <c r="AQ264" t="s">
        <v>74</v>
      </c>
      <c r="AR264" t="s">
        <v>5101</v>
      </c>
      <c r="AS264" t="s">
        <v>5102</v>
      </c>
      <c r="AT264" t="s">
        <v>3269</v>
      </c>
      <c r="AU264">
        <v>2019</v>
      </c>
      <c r="AV264">
        <v>11</v>
      </c>
      <c r="AW264">
        <v>1</v>
      </c>
      <c r="AX264" t="s">
        <v>74</v>
      </c>
      <c r="AY264" t="s">
        <v>74</v>
      </c>
      <c r="AZ264" t="s">
        <v>74</v>
      </c>
      <c r="BA264" t="s">
        <v>74</v>
      </c>
      <c r="BB264" t="s">
        <v>74</v>
      </c>
      <c r="BC264" t="s">
        <v>74</v>
      </c>
      <c r="BD264">
        <v>149</v>
      </c>
      <c r="BE264" t="s">
        <v>5103</v>
      </c>
      <c r="BF264" t="str">
        <f>HYPERLINK("http://dx.doi.org/10.3390/su11010149","http://dx.doi.org/10.3390/su11010149")</f>
        <v>http://dx.doi.org/10.3390/su11010149</v>
      </c>
      <c r="BG264" t="s">
        <v>74</v>
      </c>
      <c r="BH264" t="s">
        <v>74</v>
      </c>
      <c r="BI264">
        <v>20</v>
      </c>
      <c r="BJ264" t="s">
        <v>5104</v>
      </c>
      <c r="BK264" t="s">
        <v>3493</v>
      </c>
      <c r="BL264" t="s">
        <v>5105</v>
      </c>
      <c r="BM264" t="s">
        <v>5106</v>
      </c>
      <c r="BN264" t="s">
        <v>74</v>
      </c>
      <c r="BO264" t="s">
        <v>1693</v>
      </c>
      <c r="BP264" t="s">
        <v>74</v>
      </c>
      <c r="BQ264" t="s">
        <v>74</v>
      </c>
      <c r="BR264" t="s">
        <v>104</v>
      </c>
      <c r="BS264" t="s">
        <v>5107</v>
      </c>
      <c r="BT264" t="str">
        <f>HYPERLINK("https%3A%2F%2Fwww.webofscience.com%2Fwos%2Fwoscc%2Ffull-record%2FWOS:000457127300149","View Full Record in Web of Science")</f>
        <v>View Full Record in Web of Science</v>
      </c>
    </row>
    <row r="265" spans="1:72" x14ac:dyDescent="0.15">
      <c r="A265" t="s">
        <v>72</v>
      </c>
      <c r="B265" t="s">
        <v>5108</v>
      </c>
      <c r="C265" t="s">
        <v>74</v>
      </c>
      <c r="D265" t="s">
        <v>74</v>
      </c>
      <c r="E265" t="s">
        <v>74</v>
      </c>
      <c r="F265" t="s">
        <v>5109</v>
      </c>
      <c r="G265" t="s">
        <v>74</v>
      </c>
      <c r="H265" t="s">
        <v>74</v>
      </c>
      <c r="I265" t="s">
        <v>5110</v>
      </c>
      <c r="J265" t="s">
        <v>5111</v>
      </c>
      <c r="K265" t="s">
        <v>74</v>
      </c>
      <c r="L265" t="s">
        <v>74</v>
      </c>
      <c r="M265" t="s">
        <v>78</v>
      </c>
      <c r="N265" t="s">
        <v>79</v>
      </c>
      <c r="O265" t="s">
        <v>74</v>
      </c>
      <c r="P265" t="s">
        <v>74</v>
      </c>
      <c r="Q265" t="s">
        <v>74</v>
      </c>
      <c r="R265" t="s">
        <v>74</v>
      </c>
      <c r="S265" t="s">
        <v>74</v>
      </c>
      <c r="T265" t="s">
        <v>5112</v>
      </c>
      <c r="U265" t="s">
        <v>5113</v>
      </c>
      <c r="V265" t="s">
        <v>5114</v>
      </c>
      <c r="W265" t="s">
        <v>5115</v>
      </c>
      <c r="X265" t="s">
        <v>5116</v>
      </c>
      <c r="Y265" t="s">
        <v>5117</v>
      </c>
      <c r="Z265" t="s">
        <v>5118</v>
      </c>
      <c r="AA265" t="s">
        <v>5119</v>
      </c>
      <c r="AB265" t="s">
        <v>5120</v>
      </c>
      <c r="AC265" t="s">
        <v>5121</v>
      </c>
      <c r="AD265" t="s">
        <v>5122</v>
      </c>
      <c r="AE265" t="s">
        <v>5123</v>
      </c>
      <c r="AF265" t="s">
        <v>74</v>
      </c>
      <c r="AG265">
        <v>31</v>
      </c>
      <c r="AH265">
        <v>17</v>
      </c>
      <c r="AI265">
        <v>17</v>
      </c>
      <c r="AJ265">
        <v>0</v>
      </c>
      <c r="AK265">
        <v>10</v>
      </c>
      <c r="AL265" t="s">
        <v>5124</v>
      </c>
      <c r="AM265" t="s">
        <v>5125</v>
      </c>
      <c r="AN265" t="s">
        <v>5126</v>
      </c>
      <c r="AO265" t="s">
        <v>5127</v>
      </c>
      <c r="AP265" t="s">
        <v>5128</v>
      </c>
      <c r="AQ265" t="s">
        <v>74</v>
      </c>
      <c r="AR265" t="s">
        <v>5129</v>
      </c>
      <c r="AS265" t="s">
        <v>5130</v>
      </c>
      <c r="AT265" t="s">
        <v>74</v>
      </c>
      <c r="AU265">
        <v>2019</v>
      </c>
      <c r="AV265">
        <v>53</v>
      </c>
      <c r="AW265">
        <v>1</v>
      </c>
      <c r="AX265" t="s">
        <v>74</v>
      </c>
      <c r="AY265" t="s">
        <v>74</v>
      </c>
      <c r="AZ265" t="s">
        <v>74</v>
      </c>
      <c r="BA265" t="s">
        <v>74</v>
      </c>
      <c r="BB265">
        <v>33</v>
      </c>
      <c r="BC265">
        <v>40</v>
      </c>
      <c r="BD265" t="s">
        <v>74</v>
      </c>
      <c r="BE265" t="s">
        <v>5131</v>
      </c>
      <c r="BF265" t="str">
        <f>HYPERLINK("http://dx.doi.org/10.2343/geochemj.2.0546","http://dx.doi.org/10.2343/geochemj.2.0546")</f>
        <v>http://dx.doi.org/10.2343/geochemj.2.0546</v>
      </c>
      <c r="BG265" t="s">
        <v>74</v>
      </c>
      <c r="BH265" t="s">
        <v>74</v>
      </c>
      <c r="BI265">
        <v>8</v>
      </c>
      <c r="BJ265" t="s">
        <v>746</v>
      </c>
      <c r="BK265" t="s">
        <v>101</v>
      </c>
      <c r="BL265" t="s">
        <v>746</v>
      </c>
      <c r="BM265" t="s">
        <v>5132</v>
      </c>
      <c r="BN265" t="s">
        <v>74</v>
      </c>
      <c r="BO265" t="s">
        <v>131</v>
      </c>
      <c r="BP265" t="s">
        <v>74</v>
      </c>
      <c r="BQ265" t="s">
        <v>74</v>
      </c>
      <c r="BR265" t="s">
        <v>104</v>
      </c>
      <c r="BS265" t="s">
        <v>5133</v>
      </c>
      <c r="BT265" t="str">
        <f>HYPERLINK("https%3A%2F%2Fwww.webofscience.com%2Fwos%2Fwoscc%2Ffull-record%2FWOS:000456279400004","View Full Record in Web of Science")</f>
        <v>View Full Record in Web of Science</v>
      </c>
    </row>
    <row r="266" spans="1:72" x14ac:dyDescent="0.15">
      <c r="A266" t="s">
        <v>72</v>
      </c>
      <c r="B266" t="s">
        <v>5134</v>
      </c>
      <c r="C266" t="s">
        <v>74</v>
      </c>
      <c r="D266" t="s">
        <v>74</v>
      </c>
      <c r="E266" t="s">
        <v>74</v>
      </c>
      <c r="F266" t="s">
        <v>5135</v>
      </c>
      <c r="G266" t="s">
        <v>74</v>
      </c>
      <c r="H266" t="s">
        <v>74</v>
      </c>
      <c r="I266" t="s">
        <v>5136</v>
      </c>
      <c r="J266" t="s">
        <v>5137</v>
      </c>
      <c r="K266" t="s">
        <v>74</v>
      </c>
      <c r="L266" t="s">
        <v>74</v>
      </c>
      <c r="M266" t="s">
        <v>78</v>
      </c>
      <c r="N266" t="s">
        <v>79</v>
      </c>
      <c r="O266" t="s">
        <v>74</v>
      </c>
      <c r="P266" t="s">
        <v>74</v>
      </c>
      <c r="Q266" t="s">
        <v>74</v>
      </c>
      <c r="R266" t="s">
        <v>74</v>
      </c>
      <c r="S266" t="s">
        <v>74</v>
      </c>
      <c r="T266" t="s">
        <v>5138</v>
      </c>
      <c r="U266" t="s">
        <v>5139</v>
      </c>
      <c r="V266" t="s">
        <v>5140</v>
      </c>
      <c r="W266" t="s">
        <v>5141</v>
      </c>
      <c r="X266" t="s">
        <v>5142</v>
      </c>
      <c r="Y266" t="s">
        <v>5143</v>
      </c>
      <c r="Z266" t="s">
        <v>5144</v>
      </c>
      <c r="AA266" t="s">
        <v>5145</v>
      </c>
      <c r="AB266" t="s">
        <v>5146</v>
      </c>
      <c r="AC266" t="s">
        <v>5147</v>
      </c>
      <c r="AD266" t="s">
        <v>5148</v>
      </c>
      <c r="AE266" t="s">
        <v>5149</v>
      </c>
      <c r="AF266" t="s">
        <v>74</v>
      </c>
      <c r="AG266">
        <v>51</v>
      </c>
      <c r="AH266">
        <v>40</v>
      </c>
      <c r="AI266">
        <v>42</v>
      </c>
      <c r="AJ266">
        <v>22</v>
      </c>
      <c r="AK266">
        <v>139</v>
      </c>
      <c r="AL266" t="s">
        <v>2519</v>
      </c>
      <c r="AM266" t="s">
        <v>2520</v>
      </c>
      <c r="AN266" t="s">
        <v>3313</v>
      </c>
      <c r="AO266" t="s">
        <v>5150</v>
      </c>
      <c r="AP266" t="s">
        <v>5151</v>
      </c>
      <c r="AQ266" t="s">
        <v>74</v>
      </c>
      <c r="AR266" t="s">
        <v>5152</v>
      </c>
      <c r="AS266" t="s">
        <v>5153</v>
      </c>
      <c r="AT266" t="s">
        <v>718</v>
      </c>
      <c r="AU266">
        <v>2019</v>
      </c>
      <c r="AV266">
        <v>172</v>
      </c>
      <c r="AW266" t="s">
        <v>74</v>
      </c>
      <c r="AX266" t="s">
        <v>74</v>
      </c>
      <c r="AY266" t="s">
        <v>74</v>
      </c>
      <c r="AZ266" t="s">
        <v>74</v>
      </c>
      <c r="BA266" t="s">
        <v>74</v>
      </c>
      <c r="BB266">
        <v>454</v>
      </c>
      <c r="BC266">
        <v>463</v>
      </c>
      <c r="BD266" t="s">
        <v>74</v>
      </c>
      <c r="BE266" t="s">
        <v>5154</v>
      </c>
      <c r="BF266" t="str">
        <f>HYPERLINK("http://dx.doi.org/10.1016/j.gloplacha.2018.11.005","http://dx.doi.org/10.1016/j.gloplacha.2018.11.005")</f>
        <v>http://dx.doi.org/10.1016/j.gloplacha.2018.11.005</v>
      </c>
      <c r="BG266" t="s">
        <v>74</v>
      </c>
      <c r="BH266" t="s">
        <v>74</v>
      </c>
      <c r="BI266">
        <v>10</v>
      </c>
      <c r="BJ266" t="s">
        <v>1480</v>
      </c>
      <c r="BK266" t="s">
        <v>101</v>
      </c>
      <c r="BL266" t="s">
        <v>1481</v>
      </c>
      <c r="BM266" t="s">
        <v>5155</v>
      </c>
      <c r="BN266" t="s">
        <v>74</v>
      </c>
      <c r="BO266" t="s">
        <v>4426</v>
      </c>
      <c r="BP266" t="s">
        <v>74</v>
      </c>
      <c r="BQ266" t="s">
        <v>74</v>
      </c>
      <c r="BR266" t="s">
        <v>104</v>
      </c>
      <c r="BS266" t="s">
        <v>5156</v>
      </c>
      <c r="BT266" t="str">
        <f>HYPERLINK("https%3A%2F%2Fwww.webofscience.com%2Fwos%2Fwoscc%2Ffull-record%2FWOS:000456222800033","View Full Record in Web of Science")</f>
        <v>View Full Record in Web of Science</v>
      </c>
    </row>
    <row r="267" spans="1:72" x14ac:dyDescent="0.15">
      <c r="A267" t="s">
        <v>72</v>
      </c>
      <c r="B267" t="s">
        <v>5157</v>
      </c>
      <c r="C267" t="s">
        <v>74</v>
      </c>
      <c r="D267" t="s">
        <v>74</v>
      </c>
      <c r="E267" t="s">
        <v>74</v>
      </c>
      <c r="F267" t="s">
        <v>5158</v>
      </c>
      <c r="G267" t="s">
        <v>74</v>
      </c>
      <c r="H267" t="s">
        <v>74</v>
      </c>
      <c r="I267" t="s">
        <v>5159</v>
      </c>
      <c r="J267" t="s">
        <v>5160</v>
      </c>
      <c r="K267" t="s">
        <v>74</v>
      </c>
      <c r="L267" t="s">
        <v>74</v>
      </c>
      <c r="M267" t="s">
        <v>78</v>
      </c>
      <c r="N267" t="s">
        <v>79</v>
      </c>
      <c r="O267" t="s">
        <v>74</v>
      </c>
      <c r="P267" t="s">
        <v>74</v>
      </c>
      <c r="Q267" t="s">
        <v>74</v>
      </c>
      <c r="R267" t="s">
        <v>74</v>
      </c>
      <c r="S267" t="s">
        <v>74</v>
      </c>
      <c r="T267" t="s">
        <v>74</v>
      </c>
      <c r="U267" t="s">
        <v>5161</v>
      </c>
      <c r="V267" t="s">
        <v>5162</v>
      </c>
      <c r="W267" t="s">
        <v>5163</v>
      </c>
      <c r="X267" t="s">
        <v>5164</v>
      </c>
      <c r="Y267" t="s">
        <v>5165</v>
      </c>
      <c r="Z267" t="s">
        <v>5166</v>
      </c>
      <c r="AA267" t="s">
        <v>74</v>
      </c>
      <c r="AB267" t="s">
        <v>5167</v>
      </c>
      <c r="AC267" t="s">
        <v>5168</v>
      </c>
      <c r="AD267" t="s">
        <v>5169</v>
      </c>
      <c r="AE267" t="s">
        <v>5170</v>
      </c>
      <c r="AF267" t="s">
        <v>74</v>
      </c>
      <c r="AG267">
        <v>60</v>
      </c>
      <c r="AH267">
        <v>5</v>
      </c>
      <c r="AI267">
        <v>6</v>
      </c>
      <c r="AJ267">
        <v>0</v>
      </c>
      <c r="AK267">
        <v>1</v>
      </c>
      <c r="AL267" t="s">
        <v>3290</v>
      </c>
      <c r="AM267" t="s">
        <v>2520</v>
      </c>
      <c r="AN267" t="s">
        <v>3291</v>
      </c>
      <c r="AO267" t="s">
        <v>5171</v>
      </c>
      <c r="AP267" t="s">
        <v>5172</v>
      </c>
      <c r="AQ267" t="s">
        <v>74</v>
      </c>
      <c r="AR267" t="s">
        <v>5173</v>
      </c>
      <c r="AS267" t="s">
        <v>5174</v>
      </c>
      <c r="AT267" t="s">
        <v>718</v>
      </c>
      <c r="AU267">
        <v>2019</v>
      </c>
      <c r="AV267">
        <v>407</v>
      </c>
      <c r="AW267" t="s">
        <v>74</v>
      </c>
      <c r="AX267" t="s">
        <v>74</v>
      </c>
      <c r="AY267" t="s">
        <v>74</v>
      </c>
      <c r="AZ267" t="s">
        <v>74</v>
      </c>
      <c r="BA267" t="s">
        <v>74</v>
      </c>
      <c r="BB267">
        <v>248</v>
      </c>
      <c r="BC267">
        <v>260</v>
      </c>
      <c r="BD267" t="s">
        <v>74</v>
      </c>
      <c r="BE267" t="s">
        <v>5175</v>
      </c>
      <c r="BF267" t="str">
        <f>HYPERLINK("http://dx.doi.org/10.1016/j.margeo.2018.11.001","http://dx.doi.org/10.1016/j.margeo.2018.11.001")</f>
        <v>http://dx.doi.org/10.1016/j.margeo.2018.11.001</v>
      </c>
      <c r="BG267" t="s">
        <v>74</v>
      </c>
      <c r="BH267" t="s">
        <v>74</v>
      </c>
      <c r="BI267">
        <v>13</v>
      </c>
      <c r="BJ267" t="s">
        <v>5176</v>
      </c>
      <c r="BK267" t="s">
        <v>101</v>
      </c>
      <c r="BL267" t="s">
        <v>5177</v>
      </c>
      <c r="BM267" t="s">
        <v>5178</v>
      </c>
      <c r="BN267" t="s">
        <v>74</v>
      </c>
      <c r="BO267" t="s">
        <v>3810</v>
      </c>
      <c r="BP267" t="s">
        <v>74</v>
      </c>
      <c r="BQ267" t="s">
        <v>74</v>
      </c>
      <c r="BR267" t="s">
        <v>104</v>
      </c>
      <c r="BS267" t="s">
        <v>5179</v>
      </c>
      <c r="BT267" t="str">
        <f>HYPERLINK("https%3A%2F%2Fwww.webofscience.com%2Fwos%2Fwoscc%2Ffull-record%2FWOS:000456222900016","View Full Record in Web of Science")</f>
        <v>View Full Record in Web of Science</v>
      </c>
    </row>
    <row r="268" spans="1:72" x14ac:dyDescent="0.15">
      <c r="A268" t="s">
        <v>72</v>
      </c>
      <c r="B268" t="s">
        <v>5180</v>
      </c>
      <c r="C268" t="s">
        <v>74</v>
      </c>
      <c r="D268" t="s">
        <v>74</v>
      </c>
      <c r="E268" t="s">
        <v>74</v>
      </c>
      <c r="F268" t="s">
        <v>5181</v>
      </c>
      <c r="G268" t="s">
        <v>74</v>
      </c>
      <c r="H268" t="s">
        <v>74</v>
      </c>
      <c r="I268" t="s">
        <v>5182</v>
      </c>
      <c r="J268" t="s">
        <v>4989</v>
      </c>
      <c r="K268" t="s">
        <v>74</v>
      </c>
      <c r="L268" t="s">
        <v>74</v>
      </c>
      <c r="M268" t="s">
        <v>78</v>
      </c>
      <c r="N268" t="s">
        <v>79</v>
      </c>
      <c r="O268" t="s">
        <v>74</v>
      </c>
      <c r="P268" t="s">
        <v>74</v>
      </c>
      <c r="Q268" t="s">
        <v>74</v>
      </c>
      <c r="R268" t="s">
        <v>74</v>
      </c>
      <c r="S268" t="s">
        <v>74</v>
      </c>
      <c r="T268" t="s">
        <v>74</v>
      </c>
      <c r="U268" t="s">
        <v>5183</v>
      </c>
      <c r="V268" t="s">
        <v>5184</v>
      </c>
      <c r="W268" t="s">
        <v>5185</v>
      </c>
      <c r="X268" t="s">
        <v>5186</v>
      </c>
      <c r="Y268" t="s">
        <v>5187</v>
      </c>
      <c r="Z268" t="s">
        <v>5188</v>
      </c>
      <c r="AA268" t="s">
        <v>74</v>
      </c>
      <c r="AB268" t="s">
        <v>5189</v>
      </c>
      <c r="AC268" t="s">
        <v>5190</v>
      </c>
      <c r="AD268" t="s">
        <v>5191</v>
      </c>
      <c r="AE268" t="s">
        <v>5192</v>
      </c>
      <c r="AF268" t="s">
        <v>74</v>
      </c>
      <c r="AG268">
        <v>77</v>
      </c>
      <c r="AH268">
        <v>30</v>
      </c>
      <c r="AI268">
        <v>33</v>
      </c>
      <c r="AJ268">
        <v>0</v>
      </c>
      <c r="AK268">
        <v>15</v>
      </c>
      <c r="AL268" t="s">
        <v>3670</v>
      </c>
      <c r="AM268" t="s">
        <v>3671</v>
      </c>
      <c r="AN268" t="s">
        <v>3672</v>
      </c>
      <c r="AO268" t="s">
        <v>5001</v>
      </c>
      <c r="AP268" t="s">
        <v>5002</v>
      </c>
      <c r="AQ268" t="s">
        <v>74</v>
      </c>
      <c r="AR268" t="s">
        <v>5003</v>
      </c>
      <c r="AS268" t="s">
        <v>5004</v>
      </c>
      <c r="AT268" t="s">
        <v>718</v>
      </c>
      <c r="AU268">
        <v>2019</v>
      </c>
      <c r="AV268">
        <v>64</v>
      </c>
      <c r="AW268" t="s">
        <v>74</v>
      </c>
      <c r="AX268" t="s">
        <v>74</v>
      </c>
      <c r="AY268">
        <v>1</v>
      </c>
      <c r="AZ268" t="s">
        <v>4266</v>
      </c>
      <c r="BA268" t="s">
        <v>74</v>
      </c>
      <c r="BB268" t="s">
        <v>5193</v>
      </c>
      <c r="BC268" t="s">
        <v>5194</v>
      </c>
      <c r="BD268" t="s">
        <v>74</v>
      </c>
      <c r="BE268" t="s">
        <v>5195</v>
      </c>
      <c r="BF268" t="str">
        <f>HYPERLINK("http://dx.doi.org/10.1002/lno.11041","http://dx.doi.org/10.1002/lno.11041")</f>
        <v>http://dx.doi.org/10.1002/lno.11041</v>
      </c>
      <c r="BG268" t="s">
        <v>74</v>
      </c>
      <c r="BH268" t="s">
        <v>74</v>
      </c>
      <c r="BI268">
        <v>17</v>
      </c>
      <c r="BJ268" t="s">
        <v>5006</v>
      </c>
      <c r="BK268" t="s">
        <v>101</v>
      </c>
      <c r="BL268" t="s">
        <v>827</v>
      </c>
      <c r="BM268" t="s">
        <v>5196</v>
      </c>
      <c r="BN268" t="s">
        <v>74</v>
      </c>
      <c r="BO268" t="s">
        <v>4470</v>
      </c>
      <c r="BP268" t="s">
        <v>74</v>
      </c>
      <c r="BQ268" t="s">
        <v>74</v>
      </c>
      <c r="BR268" t="s">
        <v>104</v>
      </c>
      <c r="BS268" t="s">
        <v>5197</v>
      </c>
      <c r="BT268" t="str">
        <f>HYPERLINK("https%3A%2F%2Fwww.webofscience.com%2Fwos%2Fwoscc%2Ffull-record%2FWOS:000456164100019","View Full Record in Web of Science")</f>
        <v>View Full Record in Web of Science</v>
      </c>
    </row>
    <row r="269" spans="1:72" x14ac:dyDescent="0.15">
      <c r="A269" t="s">
        <v>72</v>
      </c>
      <c r="B269" t="s">
        <v>5198</v>
      </c>
      <c r="C269" t="s">
        <v>74</v>
      </c>
      <c r="D269" t="s">
        <v>74</v>
      </c>
      <c r="E269" t="s">
        <v>74</v>
      </c>
      <c r="F269" t="s">
        <v>5199</v>
      </c>
      <c r="G269" t="s">
        <v>74</v>
      </c>
      <c r="H269" t="s">
        <v>74</v>
      </c>
      <c r="I269" t="s">
        <v>5200</v>
      </c>
      <c r="J269" t="s">
        <v>5201</v>
      </c>
      <c r="K269" t="s">
        <v>74</v>
      </c>
      <c r="L269" t="s">
        <v>74</v>
      </c>
      <c r="M269" t="s">
        <v>78</v>
      </c>
      <c r="N269" t="s">
        <v>79</v>
      </c>
      <c r="O269" t="s">
        <v>74</v>
      </c>
      <c r="P269" t="s">
        <v>74</v>
      </c>
      <c r="Q269" t="s">
        <v>74</v>
      </c>
      <c r="R269" t="s">
        <v>74</v>
      </c>
      <c r="S269" t="s">
        <v>74</v>
      </c>
      <c r="T269" t="s">
        <v>5202</v>
      </c>
      <c r="U269" t="s">
        <v>5203</v>
      </c>
      <c r="V269" t="s">
        <v>5204</v>
      </c>
      <c r="W269" t="s">
        <v>5205</v>
      </c>
      <c r="X269" t="s">
        <v>5206</v>
      </c>
      <c r="Y269" t="s">
        <v>5207</v>
      </c>
      <c r="Z269" t="s">
        <v>5208</v>
      </c>
      <c r="AA269" t="s">
        <v>5209</v>
      </c>
      <c r="AB269" t="s">
        <v>5210</v>
      </c>
      <c r="AC269" t="s">
        <v>5211</v>
      </c>
      <c r="AD269" t="s">
        <v>5212</v>
      </c>
      <c r="AE269" t="s">
        <v>5213</v>
      </c>
      <c r="AF269" t="s">
        <v>74</v>
      </c>
      <c r="AG269">
        <v>33</v>
      </c>
      <c r="AH269">
        <v>12</v>
      </c>
      <c r="AI269">
        <v>13</v>
      </c>
      <c r="AJ269">
        <v>0</v>
      </c>
      <c r="AK269">
        <v>31</v>
      </c>
      <c r="AL269" t="s">
        <v>3511</v>
      </c>
      <c r="AM269" t="s">
        <v>547</v>
      </c>
      <c r="AN269" t="s">
        <v>3512</v>
      </c>
      <c r="AO269" t="s">
        <v>5214</v>
      </c>
      <c r="AP269" t="s">
        <v>5215</v>
      </c>
      <c r="AQ269" t="s">
        <v>74</v>
      </c>
      <c r="AR269" t="s">
        <v>5201</v>
      </c>
      <c r="AS269" t="s">
        <v>5216</v>
      </c>
      <c r="AT269" t="s">
        <v>718</v>
      </c>
      <c r="AU269">
        <v>2019</v>
      </c>
      <c r="AV269">
        <v>156</v>
      </c>
      <c r="AW269">
        <v>1</v>
      </c>
      <c r="AX269" t="s">
        <v>74</v>
      </c>
      <c r="AY269" t="s">
        <v>74</v>
      </c>
      <c r="AZ269" t="s">
        <v>74</v>
      </c>
      <c r="BA269" t="s">
        <v>74</v>
      </c>
      <c r="BB269">
        <v>59</v>
      </c>
      <c r="BC269" t="s">
        <v>642</v>
      </c>
      <c r="BD269" t="s">
        <v>74</v>
      </c>
      <c r="BE269" t="s">
        <v>5217</v>
      </c>
      <c r="BF269" t="str">
        <f>HYPERLINK("http://dx.doi.org/10.1163/1568539X-00003530","http://dx.doi.org/10.1163/1568539X-00003530")</f>
        <v>http://dx.doi.org/10.1163/1568539X-00003530</v>
      </c>
      <c r="BG269" t="s">
        <v>74</v>
      </c>
      <c r="BH269" t="s">
        <v>74</v>
      </c>
      <c r="BI269">
        <v>26</v>
      </c>
      <c r="BJ269" t="s">
        <v>5218</v>
      </c>
      <c r="BK269" t="s">
        <v>3493</v>
      </c>
      <c r="BL269" t="s">
        <v>5218</v>
      </c>
      <c r="BM269" t="s">
        <v>5219</v>
      </c>
      <c r="BN269" t="s">
        <v>74</v>
      </c>
      <c r="BO269" t="s">
        <v>74</v>
      </c>
      <c r="BP269" t="s">
        <v>74</v>
      </c>
      <c r="BQ269" t="s">
        <v>74</v>
      </c>
      <c r="BR269" t="s">
        <v>104</v>
      </c>
      <c r="BS269" t="s">
        <v>5220</v>
      </c>
      <c r="BT269" t="str">
        <f>HYPERLINK("https%3A%2F%2Fwww.webofscience.com%2Fwos%2Fwoscc%2Ffull-record%2FWOS:000455950600003","View Full Record in Web of Science")</f>
        <v>View Full Record in Web of Science</v>
      </c>
    </row>
    <row r="270" spans="1:72" x14ac:dyDescent="0.15">
      <c r="A270" t="s">
        <v>72</v>
      </c>
      <c r="B270" t="s">
        <v>5221</v>
      </c>
      <c r="C270" t="s">
        <v>74</v>
      </c>
      <c r="D270" t="s">
        <v>74</v>
      </c>
      <c r="E270" t="s">
        <v>74</v>
      </c>
      <c r="F270" t="s">
        <v>5222</v>
      </c>
      <c r="G270" t="s">
        <v>74</v>
      </c>
      <c r="H270" t="s">
        <v>74</v>
      </c>
      <c r="I270" t="s">
        <v>5223</v>
      </c>
      <c r="J270" t="s">
        <v>5224</v>
      </c>
      <c r="K270" t="s">
        <v>74</v>
      </c>
      <c r="L270" t="s">
        <v>74</v>
      </c>
      <c r="M270" t="s">
        <v>78</v>
      </c>
      <c r="N270" t="s">
        <v>79</v>
      </c>
      <c r="O270" t="s">
        <v>74</v>
      </c>
      <c r="P270" t="s">
        <v>74</v>
      </c>
      <c r="Q270" t="s">
        <v>74</v>
      </c>
      <c r="R270" t="s">
        <v>74</v>
      </c>
      <c r="S270" t="s">
        <v>74</v>
      </c>
      <c r="T270" t="s">
        <v>5225</v>
      </c>
      <c r="U270" t="s">
        <v>74</v>
      </c>
      <c r="V270" t="s">
        <v>5226</v>
      </c>
      <c r="W270" t="s">
        <v>5227</v>
      </c>
      <c r="X270" t="s">
        <v>5228</v>
      </c>
      <c r="Y270" t="s">
        <v>5229</v>
      </c>
      <c r="Z270" t="s">
        <v>5230</v>
      </c>
      <c r="AA270" t="s">
        <v>5231</v>
      </c>
      <c r="AB270" t="s">
        <v>5232</v>
      </c>
      <c r="AC270" t="s">
        <v>5233</v>
      </c>
      <c r="AD270" t="s">
        <v>5234</v>
      </c>
      <c r="AE270" t="s">
        <v>5235</v>
      </c>
      <c r="AF270" t="s">
        <v>74</v>
      </c>
      <c r="AG270">
        <v>38</v>
      </c>
      <c r="AH270">
        <v>17</v>
      </c>
      <c r="AI270">
        <v>17</v>
      </c>
      <c r="AJ270">
        <v>1</v>
      </c>
      <c r="AK270">
        <v>14</v>
      </c>
      <c r="AL270" t="s">
        <v>5236</v>
      </c>
      <c r="AM270" t="s">
        <v>5125</v>
      </c>
      <c r="AN270" t="s">
        <v>5237</v>
      </c>
      <c r="AO270" t="s">
        <v>5238</v>
      </c>
      <c r="AP270" t="s">
        <v>5239</v>
      </c>
      <c r="AQ270" t="s">
        <v>74</v>
      </c>
      <c r="AR270" t="s">
        <v>5224</v>
      </c>
      <c r="AS270" t="s">
        <v>5240</v>
      </c>
      <c r="AT270" t="s">
        <v>718</v>
      </c>
      <c r="AU270">
        <v>2019</v>
      </c>
      <c r="AV270">
        <v>23</v>
      </c>
      <c r="AW270">
        <v>1</v>
      </c>
      <c r="AX270" t="s">
        <v>74</v>
      </c>
      <c r="AY270" t="s">
        <v>74</v>
      </c>
      <c r="AZ270" t="s">
        <v>74</v>
      </c>
      <c r="BA270" t="s">
        <v>74</v>
      </c>
      <c r="BB270">
        <v>49</v>
      </c>
      <c r="BC270">
        <v>57</v>
      </c>
      <c r="BD270" t="s">
        <v>74</v>
      </c>
      <c r="BE270" t="s">
        <v>5241</v>
      </c>
      <c r="BF270" t="str">
        <f>HYPERLINK("http://dx.doi.org/10.1007/s00792-018-1059-y","http://dx.doi.org/10.1007/s00792-018-1059-y")</f>
        <v>http://dx.doi.org/10.1007/s00792-018-1059-y</v>
      </c>
      <c r="BG270" t="s">
        <v>74</v>
      </c>
      <c r="BH270" t="s">
        <v>74</v>
      </c>
      <c r="BI270">
        <v>9</v>
      </c>
      <c r="BJ270" t="s">
        <v>5242</v>
      </c>
      <c r="BK270" t="s">
        <v>101</v>
      </c>
      <c r="BL270" t="s">
        <v>5242</v>
      </c>
      <c r="BM270" t="s">
        <v>5243</v>
      </c>
      <c r="BN270">
        <v>30267301</v>
      </c>
      <c r="BO270" t="s">
        <v>74</v>
      </c>
      <c r="BP270" t="s">
        <v>74</v>
      </c>
      <c r="BQ270" t="s">
        <v>74</v>
      </c>
      <c r="BR270" t="s">
        <v>104</v>
      </c>
      <c r="BS270" t="s">
        <v>5244</v>
      </c>
      <c r="BT270" t="str">
        <f>HYPERLINK("https%3A%2F%2Fwww.webofscience.com%2Fwos%2Fwoscc%2Ffull-record%2FWOS:000456024600005","View Full Record in Web of Science")</f>
        <v>View Full Record in Web of Science</v>
      </c>
    </row>
    <row r="271" spans="1:72" x14ac:dyDescent="0.15">
      <c r="A271" t="s">
        <v>72</v>
      </c>
      <c r="B271" t="s">
        <v>5245</v>
      </c>
      <c r="C271" t="s">
        <v>74</v>
      </c>
      <c r="D271" t="s">
        <v>74</v>
      </c>
      <c r="E271" t="s">
        <v>74</v>
      </c>
      <c r="F271" t="s">
        <v>5246</v>
      </c>
      <c r="G271" t="s">
        <v>74</v>
      </c>
      <c r="H271" t="s">
        <v>74</v>
      </c>
      <c r="I271" t="s">
        <v>5247</v>
      </c>
      <c r="J271" t="s">
        <v>5224</v>
      </c>
      <c r="K271" t="s">
        <v>74</v>
      </c>
      <c r="L271" t="s">
        <v>74</v>
      </c>
      <c r="M271" t="s">
        <v>78</v>
      </c>
      <c r="N271" t="s">
        <v>79</v>
      </c>
      <c r="O271" t="s">
        <v>74</v>
      </c>
      <c r="P271" t="s">
        <v>74</v>
      </c>
      <c r="Q271" t="s">
        <v>74</v>
      </c>
      <c r="R271" t="s">
        <v>74</v>
      </c>
      <c r="S271" t="s">
        <v>74</v>
      </c>
      <c r="T271" t="s">
        <v>5248</v>
      </c>
      <c r="U271" t="s">
        <v>5249</v>
      </c>
      <c r="V271" t="s">
        <v>5250</v>
      </c>
      <c r="W271" t="s">
        <v>5251</v>
      </c>
      <c r="X271" t="s">
        <v>5252</v>
      </c>
      <c r="Y271" t="s">
        <v>5253</v>
      </c>
      <c r="Z271" t="s">
        <v>5254</v>
      </c>
      <c r="AA271" t="s">
        <v>5255</v>
      </c>
      <c r="AB271" t="s">
        <v>5256</v>
      </c>
      <c r="AC271" t="s">
        <v>5257</v>
      </c>
      <c r="AD271" t="s">
        <v>5258</v>
      </c>
      <c r="AE271" t="s">
        <v>5259</v>
      </c>
      <c r="AF271" t="s">
        <v>74</v>
      </c>
      <c r="AG271">
        <v>42</v>
      </c>
      <c r="AH271">
        <v>11</v>
      </c>
      <c r="AI271">
        <v>14</v>
      </c>
      <c r="AJ271">
        <v>0</v>
      </c>
      <c r="AK271">
        <v>16</v>
      </c>
      <c r="AL271" t="s">
        <v>5236</v>
      </c>
      <c r="AM271" t="s">
        <v>5125</v>
      </c>
      <c r="AN271" t="s">
        <v>5237</v>
      </c>
      <c r="AO271" t="s">
        <v>5238</v>
      </c>
      <c r="AP271" t="s">
        <v>5239</v>
      </c>
      <c r="AQ271" t="s">
        <v>74</v>
      </c>
      <c r="AR271" t="s">
        <v>5224</v>
      </c>
      <c r="AS271" t="s">
        <v>5240</v>
      </c>
      <c r="AT271" t="s">
        <v>718</v>
      </c>
      <c r="AU271">
        <v>2019</v>
      </c>
      <c r="AV271">
        <v>23</v>
      </c>
      <c r="AW271">
        <v>1</v>
      </c>
      <c r="AX271" t="s">
        <v>74</v>
      </c>
      <c r="AY271" t="s">
        <v>74</v>
      </c>
      <c r="AZ271" t="s">
        <v>74</v>
      </c>
      <c r="BA271" t="s">
        <v>74</v>
      </c>
      <c r="BB271">
        <v>151</v>
      </c>
      <c r="BC271">
        <v>159</v>
      </c>
      <c r="BD271" t="s">
        <v>74</v>
      </c>
      <c r="BE271" t="s">
        <v>5260</v>
      </c>
      <c r="BF271" t="str">
        <f>HYPERLINK("http://dx.doi.org/10.1007/s00792-018-1069-9","http://dx.doi.org/10.1007/s00792-018-1069-9")</f>
        <v>http://dx.doi.org/10.1007/s00792-018-1069-9</v>
      </c>
      <c r="BG271" t="s">
        <v>74</v>
      </c>
      <c r="BH271" t="s">
        <v>74</v>
      </c>
      <c r="BI271">
        <v>9</v>
      </c>
      <c r="BJ271" t="s">
        <v>5242</v>
      </c>
      <c r="BK271" t="s">
        <v>101</v>
      </c>
      <c r="BL271" t="s">
        <v>5242</v>
      </c>
      <c r="BM271" t="s">
        <v>5243</v>
      </c>
      <c r="BN271">
        <v>30499002</v>
      </c>
      <c r="BO271" t="s">
        <v>74</v>
      </c>
      <c r="BP271" t="s">
        <v>74</v>
      </c>
      <c r="BQ271" t="s">
        <v>74</v>
      </c>
      <c r="BR271" t="s">
        <v>104</v>
      </c>
      <c r="BS271" t="s">
        <v>5261</v>
      </c>
      <c r="BT271" t="str">
        <f>HYPERLINK("https%3A%2F%2Fwww.webofscience.com%2Fwos%2Fwoscc%2Ffull-record%2FWOS:000456024600014","View Full Record in Web of Science")</f>
        <v>View Full Record in Web of Science</v>
      </c>
    </row>
    <row r="272" spans="1:72" x14ac:dyDescent="0.15">
      <c r="A272" t="s">
        <v>72</v>
      </c>
      <c r="B272" t="s">
        <v>5262</v>
      </c>
      <c r="C272" t="s">
        <v>74</v>
      </c>
      <c r="D272" t="s">
        <v>74</v>
      </c>
      <c r="E272" t="s">
        <v>74</v>
      </c>
      <c r="F272" t="s">
        <v>5263</v>
      </c>
      <c r="G272" t="s">
        <v>74</v>
      </c>
      <c r="H272" t="s">
        <v>74</v>
      </c>
      <c r="I272" t="s">
        <v>5264</v>
      </c>
      <c r="J272" t="s">
        <v>5265</v>
      </c>
      <c r="K272" t="s">
        <v>74</v>
      </c>
      <c r="L272" t="s">
        <v>74</v>
      </c>
      <c r="M272" t="s">
        <v>78</v>
      </c>
      <c r="N272" t="s">
        <v>79</v>
      </c>
      <c r="O272" t="s">
        <v>74</v>
      </c>
      <c r="P272" t="s">
        <v>74</v>
      </c>
      <c r="Q272" t="s">
        <v>74</v>
      </c>
      <c r="R272" t="s">
        <v>74</v>
      </c>
      <c r="S272" t="s">
        <v>74</v>
      </c>
      <c r="T272" t="s">
        <v>5266</v>
      </c>
      <c r="U272" t="s">
        <v>5267</v>
      </c>
      <c r="V272" t="s">
        <v>5268</v>
      </c>
      <c r="W272" t="s">
        <v>5269</v>
      </c>
      <c r="X272" t="s">
        <v>5270</v>
      </c>
      <c r="Y272" t="s">
        <v>5271</v>
      </c>
      <c r="Z272" t="s">
        <v>5272</v>
      </c>
      <c r="AA272" t="s">
        <v>5273</v>
      </c>
      <c r="AB272" t="s">
        <v>5274</v>
      </c>
      <c r="AC272" t="s">
        <v>5275</v>
      </c>
      <c r="AD272" t="s">
        <v>5276</v>
      </c>
      <c r="AE272" t="s">
        <v>5277</v>
      </c>
      <c r="AF272" t="s">
        <v>74</v>
      </c>
      <c r="AG272">
        <v>33</v>
      </c>
      <c r="AH272">
        <v>12</v>
      </c>
      <c r="AI272">
        <v>12</v>
      </c>
      <c r="AJ272">
        <v>0</v>
      </c>
      <c r="AK272">
        <v>30</v>
      </c>
      <c r="AL272" t="s">
        <v>1079</v>
      </c>
      <c r="AM272" t="s">
        <v>1080</v>
      </c>
      <c r="AN272" t="s">
        <v>1081</v>
      </c>
      <c r="AO272" t="s">
        <v>5278</v>
      </c>
      <c r="AP272" t="s">
        <v>5279</v>
      </c>
      <c r="AQ272" t="s">
        <v>74</v>
      </c>
      <c r="AR272" t="s">
        <v>5280</v>
      </c>
      <c r="AS272" t="s">
        <v>5281</v>
      </c>
      <c r="AT272" t="s">
        <v>718</v>
      </c>
      <c r="AU272">
        <v>2019</v>
      </c>
      <c r="AV272">
        <v>102</v>
      </c>
      <c r="AW272">
        <v>1</v>
      </c>
      <c r="AX272" t="s">
        <v>74</v>
      </c>
      <c r="AY272" t="s">
        <v>74</v>
      </c>
      <c r="AZ272" t="s">
        <v>74</v>
      </c>
      <c r="BA272" t="s">
        <v>74</v>
      </c>
      <c r="BB272">
        <v>13</v>
      </c>
      <c r="BC272">
        <v>18</v>
      </c>
      <c r="BD272" t="s">
        <v>74</v>
      </c>
      <c r="BE272" t="s">
        <v>5282</v>
      </c>
      <c r="BF272" t="str">
        <f>HYPERLINK("http://dx.doi.org/10.1007/s00128-018-2497-z","http://dx.doi.org/10.1007/s00128-018-2497-z")</f>
        <v>http://dx.doi.org/10.1007/s00128-018-2497-z</v>
      </c>
      <c r="BG272" t="s">
        <v>74</v>
      </c>
      <c r="BH272" t="s">
        <v>74</v>
      </c>
      <c r="BI272">
        <v>6</v>
      </c>
      <c r="BJ272" t="s">
        <v>5283</v>
      </c>
      <c r="BK272" t="s">
        <v>101</v>
      </c>
      <c r="BL272" t="s">
        <v>4869</v>
      </c>
      <c r="BM272" t="s">
        <v>5284</v>
      </c>
      <c r="BN272">
        <v>30443660</v>
      </c>
      <c r="BO272" t="s">
        <v>74</v>
      </c>
      <c r="BP272" t="s">
        <v>74</v>
      </c>
      <c r="BQ272" t="s">
        <v>74</v>
      </c>
      <c r="BR272" t="s">
        <v>104</v>
      </c>
      <c r="BS272" t="s">
        <v>5285</v>
      </c>
      <c r="BT272" t="str">
        <f>HYPERLINK("https%3A%2F%2Fwww.webofscience.com%2Fwos%2Fwoscc%2Ffull-record%2FWOS:000455525200003","View Full Record in Web of Science")</f>
        <v>View Full Record in Web of Science</v>
      </c>
    </row>
    <row r="273" spans="1:72" x14ac:dyDescent="0.15">
      <c r="A273" t="s">
        <v>72</v>
      </c>
      <c r="B273" t="s">
        <v>5286</v>
      </c>
      <c r="C273" t="s">
        <v>74</v>
      </c>
      <c r="D273" t="s">
        <v>74</v>
      </c>
      <c r="E273" t="s">
        <v>74</v>
      </c>
      <c r="F273" t="s">
        <v>5287</v>
      </c>
      <c r="G273" t="s">
        <v>74</v>
      </c>
      <c r="H273" t="s">
        <v>74</v>
      </c>
      <c r="I273" t="s">
        <v>5288</v>
      </c>
      <c r="J273" t="s">
        <v>5289</v>
      </c>
      <c r="K273" t="s">
        <v>74</v>
      </c>
      <c r="L273" t="s">
        <v>74</v>
      </c>
      <c r="M273" t="s">
        <v>78</v>
      </c>
      <c r="N273" t="s">
        <v>79</v>
      </c>
      <c r="O273" t="s">
        <v>74</v>
      </c>
      <c r="P273" t="s">
        <v>74</v>
      </c>
      <c r="Q273" t="s">
        <v>74</v>
      </c>
      <c r="R273" t="s">
        <v>74</v>
      </c>
      <c r="S273" t="s">
        <v>74</v>
      </c>
      <c r="T273" t="s">
        <v>74</v>
      </c>
      <c r="U273" t="s">
        <v>5290</v>
      </c>
      <c r="V273" t="s">
        <v>5291</v>
      </c>
      <c r="W273" t="s">
        <v>5292</v>
      </c>
      <c r="X273" t="s">
        <v>5293</v>
      </c>
      <c r="Y273" t="s">
        <v>5294</v>
      </c>
      <c r="Z273" t="s">
        <v>5295</v>
      </c>
      <c r="AA273" t="s">
        <v>5296</v>
      </c>
      <c r="AB273" t="s">
        <v>5297</v>
      </c>
      <c r="AC273" t="s">
        <v>5298</v>
      </c>
      <c r="AD273" t="s">
        <v>5299</v>
      </c>
      <c r="AE273" t="s">
        <v>5300</v>
      </c>
      <c r="AF273" t="s">
        <v>74</v>
      </c>
      <c r="AG273">
        <v>72</v>
      </c>
      <c r="AH273">
        <v>16</v>
      </c>
      <c r="AI273">
        <v>18</v>
      </c>
      <c r="AJ273">
        <v>1</v>
      </c>
      <c r="AK273">
        <v>12</v>
      </c>
      <c r="AL273" t="s">
        <v>3670</v>
      </c>
      <c r="AM273" t="s">
        <v>3671</v>
      </c>
      <c r="AN273" t="s">
        <v>3672</v>
      </c>
      <c r="AO273" t="s">
        <v>5301</v>
      </c>
      <c r="AP273" t="s">
        <v>5302</v>
      </c>
      <c r="AQ273" t="s">
        <v>74</v>
      </c>
      <c r="AR273" t="s">
        <v>5303</v>
      </c>
      <c r="AS273" t="s">
        <v>5304</v>
      </c>
      <c r="AT273" t="s">
        <v>718</v>
      </c>
      <c r="AU273">
        <v>2019</v>
      </c>
      <c r="AV273">
        <v>54</v>
      </c>
      <c r="AW273">
        <v>1</v>
      </c>
      <c r="AX273" t="s">
        <v>74</v>
      </c>
      <c r="AY273" t="s">
        <v>74</v>
      </c>
      <c r="AZ273" t="s">
        <v>74</v>
      </c>
      <c r="BA273" t="s">
        <v>74</v>
      </c>
      <c r="BB273">
        <v>157</v>
      </c>
      <c r="BC273">
        <v>180</v>
      </c>
      <c r="BD273" t="s">
        <v>74</v>
      </c>
      <c r="BE273" t="s">
        <v>5305</v>
      </c>
      <c r="BF273" t="str">
        <f>HYPERLINK("http://dx.doi.org/10.1111/maps.13203","http://dx.doi.org/10.1111/maps.13203")</f>
        <v>http://dx.doi.org/10.1111/maps.13203</v>
      </c>
      <c r="BG273" t="s">
        <v>74</v>
      </c>
      <c r="BH273" t="s">
        <v>74</v>
      </c>
      <c r="BI273">
        <v>24</v>
      </c>
      <c r="BJ273" t="s">
        <v>746</v>
      </c>
      <c r="BK273" t="s">
        <v>101</v>
      </c>
      <c r="BL273" t="s">
        <v>746</v>
      </c>
      <c r="BM273" t="s">
        <v>5306</v>
      </c>
      <c r="BN273" t="s">
        <v>74</v>
      </c>
      <c r="BO273" t="s">
        <v>162</v>
      </c>
      <c r="BP273" t="s">
        <v>74</v>
      </c>
      <c r="BQ273" t="s">
        <v>74</v>
      </c>
      <c r="BR273" t="s">
        <v>104</v>
      </c>
      <c r="BS273" t="s">
        <v>5307</v>
      </c>
      <c r="BT273" t="str">
        <f>HYPERLINK("https%3A%2F%2Fwww.webofscience.com%2Fwos%2Fwoscc%2Ffull-record%2FWOS:000455507700008","View Full Record in Web of Science")</f>
        <v>View Full Record in Web of Science</v>
      </c>
    </row>
    <row r="274" spans="1:72" x14ac:dyDescent="0.15">
      <c r="A274" t="s">
        <v>72</v>
      </c>
      <c r="B274" t="s">
        <v>5308</v>
      </c>
      <c r="C274" t="s">
        <v>74</v>
      </c>
      <c r="D274" t="s">
        <v>74</v>
      </c>
      <c r="E274" t="s">
        <v>74</v>
      </c>
      <c r="F274" t="s">
        <v>5309</v>
      </c>
      <c r="G274" t="s">
        <v>74</v>
      </c>
      <c r="H274" t="s">
        <v>74</v>
      </c>
      <c r="I274" t="s">
        <v>5310</v>
      </c>
      <c r="J274" t="s">
        <v>3856</v>
      </c>
      <c r="K274" t="s">
        <v>74</v>
      </c>
      <c r="L274" t="s">
        <v>74</v>
      </c>
      <c r="M274" t="s">
        <v>78</v>
      </c>
      <c r="N274" t="s">
        <v>79</v>
      </c>
      <c r="O274" t="s">
        <v>74</v>
      </c>
      <c r="P274" t="s">
        <v>74</v>
      </c>
      <c r="Q274" t="s">
        <v>74</v>
      </c>
      <c r="R274" t="s">
        <v>74</v>
      </c>
      <c r="S274" t="s">
        <v>74</v>
      </c>
      <c r="T274" t="s">
        <v>5311</v>
      </c>
      <c r="U274" t="s">
        <v>5312</v>
      </c>
      <c r="V274" t="s">
        <v>5313</v>
      </c>
      <c r="W274" t="s">
        <v>5314</v>
      </c>
      <c r="X274" t="s">
        <v>5315</v>
      </c>
      <c r="Y274" t="s">
        <v>5316</v>
      </c>
      <c r="Z274" t="s">
        <v>5317</v>
      </c>
      <c r="AA274" t="s">
        <v>5318</v>
      </c>
      <c r="AB274" t="s">
        <v>5319</v>
      </c>
      <c r="AC274" t="s">
        <v>5320</v>
      </c>
      <c r="AD274" t="s">
        <v>5321</v>
      </c>
      <c r="AE274" t="s">
        <v>5322</v>
      </c>
      <c r="AF274" t="s">
        <v>74</v>
      </c>
      <c r="AG274">
        <v>62</v>
      </c>
      <c r="AH274">
        <v>5</v>
      </c>
      <c r="AI274">
        <v>6</v>
      </c>
      <c r="AJ274">
        <v>1</v>
      </c>
      <c r="AK274">
        <v>16</v>
      </c>
      <c r="AL274" t="s">
        <v>3861</v>
      </c>
      <c r="AM274" t="s">
        <v>3862</v>
      </c>
      <c r="AN274" t="s">
        <v>3863</v>
      </c>
      <c r="AO274" t="s">
        <v>3864</v>
      </c>
      <c r="AP274" t="s">
        <v>74</v>
      </c>
      <c r="AQ274" t="s">
        <v>74</v>
      </c>
      <c r="AR274" t="s">
        <v>3865</v>
      </c>
      <c r="AS274" t="s">
        <v>3866</v>
      </c>
      <c r="AT274" t="s">
        <v>74</v>
      </c>
      <c r="AU274">
        <v>2019</v>
      </c>
      <c r="AV274">
        <v>45</v>
      </c>
      <c r="AW274">
        <v>1</v>
      </c>
      <c r="AX274" t="s">
        <v>74</v>
      </c>
      <c r="AY274" t="s">
        <v>74</v>
      </c>
      <c r="AZ274" t="s">
        <v>74</v>
      </c>
      <c r="BA274" t="s">
        <v>74</v>
      </c>
      <c r="BB274">
        <v>1</v>
      </c>
      <c r="BC274">
        <v>13</v>
      </c>
      <c r="BD274" t="s">
        <v>74</v>
      </c>
      <c r="BE274" t="s">
        <v>5323</v>
      </c>
      <c r="BF274" t="str">
        <f>HYPERLINK("http://dx.doi.org/10.1578/AM.45.1.2019.1","http://dx.doi.org/10.1578/AM.45.1.2019.1")</f>
        <v>http://dx.doi.org/10.1578/AM.45.1.2019.1</v>
      </c>
      <c r="BG274" t="s">
        <v>74</v>
      </c>
      <c r="BH274" t="s">
        <v>74</v>
      </c>
      <c r="BI274">
        <v>13</v>
      </c>
      <c r="BJ274" t="s">
        <v>3808</v>
      </c>
      <c r="BK274" t="s">
        <v>101</v>
      </c>
      <c r="BL274" t="s">
        <v>3808</v>
      </c>
      <c r="BM274" t="s">
        <v>5324</v>
      </c>
      <c r="BN274" t="s">
        <v>74</v>
      </c>
      <c r="BO274" t="s">
        <v>74</v>
      </c>
      <c r="BP274" t="s">
        <v>74</v>
      </c>
      <c r="BQ274" t="s">
        <v>74</v>
      </c>
      <c r="BR274" t="s">
        <v>104</v>
      </c>
      <c r="BS274" t="s">
        <v>5325</v>
      </c>
      <c r="BT274" t="str">
        <f>HYPERLINK("https%3A%2F%2Fwww.webofscience.com%2Fwos%2Fwoscc%2Ffull-record%2FWOS:000455564300001","View Full Record in Web of Science")</f>
        <v>View Full Record in Web of Science</v>
      </c>
    </row>
    <row r="275" spans="1:72" x14ac:dyDescent="0.15">
      <c r="A275" t="s">
        <v>72</v>
      </c>
      <c r="B275" t="s">
        <v>5326</v>
      </c>
      <c r="C275" t="s">
        <v>74</v>
      </c>
      <c r="D275" t="s">
        <v>74</v>
      </c>
      <c r="E275" t="s">
        <v>74</v>
      </c>
      <c r="F275" t="s">
        <v>5327</v>
      </c>
      <c r="G275" t="s">
        <v>74</v>
      </c>
      <c r="H275" t="s">
        <v>74</v>
      </c>
      <c r="I275" t="s">
        <v>5328</v>
      </c>
      <c r="J275" t="s">
        <v>5329</v>
      </c>
      <c r="K275" t="s">
        <v>74</v>
      </c>
      <c r="L275" t="s">
        <v>74</v>
      </c>
      <c r="M275" t="s">
        <v>78</v>
      </c>
      <c r="N275" t="s">
        <v>5330</v>
      </c>
      <c r="O275" t="s">
        <v>5331</v>
      </c>
      <c r="P275" t="s">
        <v>5332</v>
      </c>
      <c r="Q275" t="s">
        <v>5333</v>
      </c>
      <c r="R275" t="s">
        <v>74</v>
      </c>
      <c r="S275" t="s">
        <v>5334</v>
      </c>
      <c r="T275" t="s">
        <v>5335</v>
      </c>
      <c r="U275" t="s">
        <v>5336</v>
      </c>
      <c r="V275" t="s">
        <v>5337</v>
      </c>
      <c r="W275" t="s">
        <v>5338</v>
      </c>
      <c r="X275" t="s">
        <v>5339</v>
      </c>
      <c r="Y275" t="s">
        <v>5340</v>
      </c>
      <c r="Z275" t="s">
        <v>5341</v>
      </c>
      <c r="AA275" t="s">
        <v>5342</v>
      </c>
      <c r="AB275" t="s">
        <v>5343</v>
      </c>
      <c r="AC275" t="s">
        <v>5344</v>
      </c>
      <c r="AD275" t="s">
        <v>5345</v>
      </c>
      <c r="AE275" t="s">
        <v>5346</v>
      </c>
      <c r="AF275" t="s">
        <v>74</v>
      </c>
      <c r="AG275">
        <v>77</v>
      </c>
      <c r="AH275">
        <v>6</v>
      </c>
      <c r="AI275">
        <v>8</v>
      </c>
      <c r="AJ275">
        <v>0</v>
      </c>
      <c r="AK275">
        <v>14</v>
      </c>
      <c r="AL275" t="s">
        <v>5347</v>
      </c>
      <c r="AM275" t="s">
        <v>5348</v>
      </c>
      <c r="AN275" t="s">
        <v>5349</v>
      </c>
      <c r="AO275" t="s">
        <v>5350</v>
      </c>
      <c r="AP275" t="s">
        <v>74</v>
      </c>
      <c r="AQ275" t="s">
        <v>74</v>
      </c>
      <c r="AR275" t="s">
        <v>5351</v>
      </c>
      <c r="AS275" t="s">
        <v>5352</v>
      </c>
      <c r="AT275" t="s">
        <v>74</v>
      </c>
      <c r="AU275">
        <v>2019</v>
      </c>
      <c r="AV275">
        <v>71</v>
      </c>
      <c r="AW275">
        <v>1</v>
      </c>
      <c r="AX275" t="s">
        <v>74</v>
      </c>
      <c r="AY275" t="s">
        <v>74</v>
      </c>
      <c r="AZ275" t="s">
        <v>74</v>
      </c>
      <c r="BA275" t="s">
        <v>74</v>
      </c>
      <c r="BB275">
        <v>43</v>
      </c>
      <c r="BC275">
        <v>63</v>
      </c>
      <c r="BD275" t="s">
        <v>74</v>
      </c>
      <c r="BE275" t="s">
        <v>5353</v>
      </c>
      <c r="BF275" t="str">
        <f>HYPERLINK("http://dx.doi.org/10.18268/BSGM2019v71n1a4","http://dx.doi.org/10.18268/BSGM2019v71n1a4")</f>
        <v>http://dx.doi.org/10.18268/BSGM2019v71n1a4</v>
      </c>
      <c r="BG275" t="s">
        <v>74</v>
      </c>
      <c r="BH275" t="s">
        <v>74</v>
      </c>
      <c r="BI275">
        <v>21</v>
      </c>
      <c r="BJ275" t="s">
        <v>528</v>
      </c>
      <c r="BK275" t="s">
        <v>5354</v>
      </c>
      <c r="BL275" t="s">
        <v>528</v>
      </c>
      <c r="BM275" t="s">
        <v>5355</v>
      </c>
      <c r="BN275" t="s">
        <v>74</v>
      </c>
      <c r="BO275" t="s">
        <v>193</v>
      </c>
      <c r="BP275" t="s">
        <v>74</v>
      </c>
      <c r="BQ275" t="s">
        <v>74</v>
      </c>
      <c r="BR275" t="s">
        <v>104</v>
      </c>
      <c r="BS275" t="s">
        <v>5356</v>
      </c>
      <c r="BT275" t="str">
        <f>HYPERLINK("https%3A%2F%2Fwww.webofscience.com%2Fwos%2Fwoscc%2Ffull-record%2FWOS:000455704700005","View Full Record in Web of Science")</f>
        <v>View Full Record in Web of Science</v>
      </c>
    </row>
    <row r="276" spans="1:72" x14ac:dyDescent="0.15">
      <c r="A276" t="s">
        <v>72</v>
      </c>
      <c r="B276" t="s">
        <v>5357</v>
      </c>
      <c r="C276" t="s">
        <v>74</v>
      </c>
      <c r="D276" t="s">
        <v>74</v>
      </c>
      <c r="E276" t="s">
        <v>74</v>
      </c>
      <c r="F276" t="s">
        <v>5358</v>
      </c>
      <c r="G276" t="s">
        <v>74</v>
      </c>
      <c r="H276" t="s">
        <v>74</v>
      </c>
      <c r="I276" t="s">
        <v>5359</v>
      </c>
      <c r="J276" t="s">
        <v>5360</v>
      </c>
      <c r="K276" t="s">
        <v>74</v>
      </c>
      <c r="L276" t="s">
        <v>74</v>
      </c>
      <c r="M276" t="s">
        <v>78</v>
      </c>
      <c r="N276" t="s">
        <v>1003</v>
      </c>
      <c r="O276" t="s">
        <v>74</v>
      </c>
      <c r="P276" t="s">
        <v>74</v>
      </c>
      <c r="Q276" t="s">
        <v>74</v>
      </c>
      <c r="R276" t="s">
        <v>74</v>
      </c>
      <c r="S276" t="s">
        <v>74</v>
      </c>
      <c r="T276" t="s">
        <v>5361</v>
      </c>
      <c r="U276" t="s">
        <v>5362</v>
      </c>
      <c r="V276" t="s">
        <v>5363</v>
      </c>
      <c r="W276" t="s">
        <v>5364</v>
      </c>
      <c r="X276" t="s">
        <v>5365</v>
      </c>
      <c r="Y276" t="s">
        <v>5366</v>
      </c>
      <c r="Z276" t="s">
        <v>5367</v>
      </c>
      <c r="AA276" t="s">
        <v>74</v>
      </c>
      <c r="AB276" t="s">
        <v>74</v>
      </c>
      <c r="AC276" t="s">
        <v>74</v>
      </c>
      <c r="AD276" t="s">
        <v>74</v>
      </c>
      <c r="AE276" t="s">
        <v>74</v>
      </c>
      <c r="AF276" t="s">
        <v>74</v>
      </c>
      <c r="AG276">
        <v>153</v>
      </c>
      <c r="AH276">
        <v>47</v>
      </c>
      <c r="AI276">
        <v>49</v>
      </c>
      <c r="AJ276">
        <v>10</v>
      </c>
      <c r="AK276">
        <v>47</v>
      </c>
      <c r="AL276" t="s">
        <v>3670</v>
      </c>
      <c r="AM276" t="s">
        <v>3671</v>
      </c>
      <c r="AN276" t="s">
        <v>3672</v>
      </c>
      <c r="AO276" t="s">
        <v>5368</v>
      </c>
      <c r="AP276" t="s">
        <v>5369</v>
      </c>
      <c r="AQ276" t="s">
        <v>74</v>
      </c>
      <c r="AR276" t="s">
        <v>5370</v>
      </c>
      <c r="AS276" t="s">
        <v>5371</v>
      </c>
      <c r="AT276" t="s">
        <v>718</v>
      </c>
      <c r="AU276">
        <v>2019</v>
      </c>
      <c r="AV276">
        <v>34</v>
      </c>
      <c r="AW276">
        <v>1</v>
      </c>
      <c r="AX276" t="s">
        <v>74</v>
      </c>
      <c r="AY276" t="s">
        <v>74</v>
      </c>
      <c r="AZ276" t="s">
        <v>74</v>
      </c>
      <c r="BA276" t="s">
        <v>74</v>
      </c>
      <c r="BB276">
        <v>1</v>
      </c>
      <c r="BC276">
        <v>15</v>
      </c>
      <c r="BD276" t="s">
        <v>74</v>
      </c>
      <c r="BE276" t="s">
        <v>5372</v>
      </c>
      <c r="BF276" t="str">
        <f>HYPERLINK("http://dx.doi.org/10.1002/jqs.3070","http://dx.doi.org/10.1002/jqs.3070")</f>
        <v>http://dx.doi.org/10.1002/jqs.3070</v>
      </c>
      <c r="BG276" t="s">
        <v>74</v>
      </c>
      <c r="BH276" t="s">
        <v>74</v>
      </c>
      <c r="BI276">
        <v>15</v>
      </c>
      <c r="BJ276" t="s">
        <v>1480</v>
      </c>
      <c r="BK276" t="s">
        <v>101</v>
      </c>
      <c r="BL276" t="s">
        <v>1481</v>
      </c>
      <c r="BM276" t="s">
        <v>5373</v>
      </c>
      <c r="BN276" t="s">
        <v>74</v>
      </c>
      <c r="BO276" t="s">
        <v>5374</v>
      </c>
      <c r="BP276" t="s">
        <v>74</v>
      </c>
      <c r="BQ276" t="s">
        <v>74</v>
      </c>
      <c r="BR276" t="s">
        <v>104</v>
      </c>
      <c r="BS276" t="s">
        <v>5375</v>
      </c>
      <c r="BT276" t="str">
        <f>HYPERLINK("https%3A%2F%2Fwww.webofscience.com%2Fwos%2Fwoscc%2Ffull-record%2FWOS:000455535800001","View Full Record in Web of Science")</f>
        <v>View Full Record in Web of Science</v>
      </c>
    </row>
    <row r="277" spans="1:72" x14ac:dyDescent="0.15">
      <c r="A277" t="s">
        <v>72</v>
      </c>
      <c r="B277" t="s">
        <v>5376</v>
      </c>
      <c r="C277" t="s">
        <v>74</v>
      </c>
      <c r="D277" t="s">
        <v>74</v>
      </c>
      <c r="E277" t="s">
        <v>74</v>
      </c>
      <c r="F277" t="s">
        <v>5377</v>
      </c>
      <c r="G277" t="s">
        <v>74</v>
      </c>
      <c r="H277" t="s">
        <v>74</v>
      </c>
      <c r="I277" t="s">
        <v>5378</v>
      </c>
      <c r="J277" t="s">
        <v>5379</v>
      </c>
      <c r="K277" t="s">
        <v>74</v>
      </c>
      <c r="L277" t="s">
        <v>74</v>
      </c>
      <c r="M277" t="s">
        <v>78</v>
      </c>
      <c r="N277" t="s">
        <v>79</v>
      </c>
      <c r="O277" t="s">
        <v>74</v>
      </c>
      <c r="P277" t="s">
        <v>74</v>
      </c>
      <c r="Q277" t="s">
        <v>74</v>
      </c>
      <c r="R277" t="s">
        <v>74</v>
      </c>
      <c r="S277" t="s">
        <v>74</v>
      </c>
      <c r="T277" t="s">
        <v>5380</v>
      </c>
      <c r="U277" t="s">
        <v>5381</v>
      </c>
      <c r="V277" t="s">
        <v>5382</v>
      </c>
      <c r="W277" t="s">
        <v>5383</v>
      </c>
      <c r="X277" t="s">
        <v>5384</v>
      </c>
      <c r="Y277" t="s">
        <v>5385</v>
      </c>
      <c r="Z277" t="s">
        <v>5386</v>
      </c>
      <c r="AA277" t="s">
        <v>5387</v>
      </c>
      <c r="AB277" t="s">
        <v>5388</v>
      </c>
      <c r="AC277" t="s">
        <v>5389</v>
      </c>
      <c r="AD277" t="s">
        <v>5390</v>
      </c>
      <c r="AE277" t="s">
        <v>5391</v>
      </c>
      <c r="AF277" t="s">
        <v>74</v>
      </c>
      <c r="AG277">
        <v>50</v>
      </c>
      <c r="AH277">
        <v>29</v>
      </c>
      <c r="AI277">
        <v>29</v>
      </c>
      <c r="AJ277">
        <v>2</v>
      </c>
      <c r="AK277">
        <v>42</v>
      </c>
      <c r="AL277" t="s">
        <v>5392</v>
      </c>
      <c r="AM277" t="s">
        <v>5393</v>
      </c>
      <c r="AN277" t="s">
        <v>5394</v>
      </c>
      <c r="AO277" t="s">
        <v>5395</v>
      </c>
      <c r="AP277" t="s">
        <v>5396</v>
      </c>
      <c r="AQ277" t="s">
        <v>74</v>
      </c>
      <c r="AR277" t="s">
        <v>5397</v>
      </c>
      <c r="AS277" t="s">
        <v>5398</v>
      </c>
      <c r="AT277" t="s">
        <v>718</v>
      </c>
      <c r="AU277">
        <v>2019</v>
      </c>
      <c r="AV277">
        <v>134</v>
      </c>
      <c r="AW277" t="s">
        <v>74</v>
      </c>
      <c r="AX277" t="s">
        <v>74</v>
      </c>
      <c r="AY277" t="s">
        <v>74</v>
      </c>
      <c r="AZ277" t="s">
        <v>4266</v>
      </c>
      <c r="BA277" t="s">
        <v>74</v>
      </c>
      <c r="BB277">
        <v>113</v>
      </c>
      <c r="BC277">
        <v>122</v>
      </c>
      <c r="BD277" t="s">
        <v>74</v>
      </c>
      <c r="BE277" t="s">
        <v>5399</v>
      </c>
      <c r="BF277" t="str">
        <f>HYPERLINK("http://dx.doi.org/10.1016/j.plaphy.2018.10.034","http://dx.doi.org/10.1016/j.plaphy.2018.10.034")</f>
        <v>http://dx.doi.org/10.1016/j.plaphy.2018.10.034</v>
      </c>
      <c r="BG277" t="s">
        <v>74</v>
      </c>
      <c r="BH277" t="s">
        <v>74</v>
      </c>
      <c r="BI277">
        <v>10</v>
      </c>
      <c r="BJ277" t="s">
        <v>720</v>
      </c>
      <c r="BK277" t="s">
        <v>101</v>
      </c>
      <c r="BL277" t="s">
        <v>720</v>
      </c>
      <c r="BM277" t="s">
        <v>5400</v>
      </c>
      <c r="BN277">
        <v>30448024</v>
      </c>
      <c r="BO277" t="s">
        <v>74</v>
      </c>
      <c r="BP277" t="s">
        <v>74</v>
      </c>
      <c r="BQ277" t="s">
        <v>74</v>
      </c>
      <c r="BR277" t="s">
        <v>104</v>
      </c>
      <c r="BS277" t="s">
        <v>5401</v>
      </c>
      <c r="BT277" t="str">
        <f>HYPERLINK("https%3A%2F%2Fwww.webofscience.com%2Fwos%2Fwoscc%2Ffull-record%2FWOS:000455692000012","View Full Record in Web of Science")</f>
        <v>View Full Record in Web of Science</v>
      </c>
    </row>
    <row r="278" spans="1:72" x14ac:dyDescent="0.15">
      <c r="A278" t="s">
        <v>72</v>
      </c>
      <c r="B278" t="s">
        <v>5402</v>
      </c>
      <c r="C278" t="s">
        <v>74</v>
      </c>
      <c r="D278" t="s">
        <v>74</v>
      </c>
      <c r="E278" t="s">
        <v>74</v>
      </c>
      <c r="F278" t="s">
        <v>5403</v>
      </c>
      <c r="G278" t="s">
        <v>74</v>
      </c>
      <c r="H278" t="s">
        <v>74</v>
      </c>
      <c r="I278" t="s">
        <v>5404</v>
      </c>
      <c r="J278" t="s">
        <v>5379</v>
      </c>
      <c r="K278" t="s">
        <v>74</v>
      </c>
      <c r="L278" t="s">
        <v>74</v>
      </c>
      <c r="M278" t="s">
        <v>78</v>
      </c>
      <c r="N278" t="s">
        <v>79</v>
      </c>
      <c r="O278" t="s">
        <v>74</v>
      </c>
      <c r="P278" t="s">
        <v>74</v>
      </c>
      <c r="Q278" t="s">
        <v>74</v>
      </c>
      <c r="R278" t="s">
        <v>74</v>
      </c>
      <c r="S278" t="s">
        <v>74</v>
      </c>
      <c r="T278" t="s">
        <v>5405</v>
      </c>
      <c r="U278" t="s">
        <v>5406</v>
      </c>
      <c r="V278" t="s">
        <v>5407</v>
      </c>
      <c r="W278" t="s">
        <v>5408</v>
      </c>
      <c r="X278" t="s">
        <v>5409</v>
      </c>
      <c r="Y278" t="s">
        <v>5410</v>
      </c>
      <c r="Z278" t="s">
        <v>5411</v>
      </c>
      <c r="AA278" t="s">
        <v>5412</v>
      </c>
      <c r="AB278" t="s">
        <v>5413</v>
      </c>
      <c r="AC278" t="s">
        <v>5414</v>
      </c>
      <c r="AD278" t="s">
        <v>5415</v>
      </c>
      <c r="AE278" t="s">
        <v>5416</v>
      </c>
      <c r="AF278" t="s">
        <v>74</v>
      </c>
      <c r="AG278">
        <v>39</v>
      </c>
      <c r="AH278">
        <v>18</v>
      </c>
      <c r="AI278">
        <v>18</v>
      </c>
      <c r="AJ278">
        <v>1</v>
      </c>
      <c r="AK278">
        <v>24</v>
      </c>
      <c r="AL278" t="s">
        <v>5392</v>
      </c>
      <c r="AM278" t="s">
        <v>5393</v>
      </c>
      <c r="AN278" t="s">
        <v>5394</v>
      </c>
      <c r="AO278" t="s">
        <v>5395</v>
      </c>
      <c r="AP278" t="s">
        <v>74</v>
      </c>
      <c r="AQ278" t="s">
        <v>74</v>
      </c>
      <c r="AR278" t="s">
        <v>5397</v>
      </c>
      <c r="AS278" t="s">
        <v>5398</v>
      </c>
      <c r="AT278" t="s">
        <v>718</v>
      </c>
      <c r="AU278">
        <v>2019</v>
      </c>
      <c r="AV278">
        <v>134</v>
      </c>
      <c r="AW278" t="s">
        <v>74</v>
      </c>
      <c r="AX278" t="s">
        <v>74</v>
      </c>
      <c r="AY278" t="s">
        <v>74</v>
      </c>
      <c r="AZ278" t="s">
        <v>4266</v>
      </c>
      <c r="BA278" t="s">
        <v>74</v>
      </c>
      <c r="BB278">
        <v>137</v>
      </c>
      <c r="BC278">
        <v>144</v>
      </c>
      <c r="BD278" t="s">
        <v>74</v>
      </c>
      <c r="BE278" t="s">
        <v>5417</v>
      </c>
      <c r="BF278" t="str">
        <f>HYPERLINK("http://dx.doi.org/10.1016/j.plaphy.2018.07.020","http://dx.doi.org/10.1016/j.plaphy.2018.07.020")</f>
        <v>http://dx.doi.org/10.1016/j.plaphy.2018.07.020</v>
      </c>
      <c r="BG278" t="s">
        <v>74</v>
      </c>
      <c r="BH278" t="s">
        <v>74</v>
      </c>
      <c r="BI278">
        <v>8</v>
      </c>
      <c r="BJ278" t="s">
        <v>720</v>
      </c>
      <c r="BK278" t="s">
        <v>101</v>
      </c>
      <c r="BL278" t="s">
        <v>720</v>
      </c>
      <c r="BM278" t="s">
        <v>5400</v>
      </c>
      <c r="BN278">
        <v>30037765</v>
      </c>
      <c r="BO278" t="s">
        <v>74</v>
      </c>
      <c r="BP278" t="s">
        <v>74</v>
      </c>
      <c r="BQ278" t="s">
        <v>74</v>
      </c>
      <c r="BR278" t="s">
        <v>104</v>
      </c>
      <c r="BS278" t="s">
        <v>5418</v>
      </c>
      <c r="BT278" t="str">
        <f>HYPERLINK("https%3A%2F%2Fwww.webofscience.com%2Fwos%2Fwoscc%2Ffull-record%2FWOS:000455692000015","View Full Record in Web of Science")</f>
        <v>View Full Record in Web of Science</v>
      </c>
    </row>
    <row r="279" spans="1:72" x14ac:dyDescent="0.15">
      <c r="A279" t="s">
        <v>72</v>
      </c>
      <c r="B279" t="s">
        <v>5419</v>
      </c>
      <c r="C279" t="s">
        <v>74</v>
      </c>
      <c r="D279" t="s">
        <v>74</v>
      </c>
      <c r="E279" t="s">
        <v>74</v>
      </c>
      <c r="F279" t="s">
        <v>5420</v>
      </c>
      <c r="G279" t="s">
        <v>74</v>
      </c>
      <c r="H279" t="s">
        <v>74</v>
      </c>
      <c r="I279" t="s">
        <v>5421</v>
      </c>
      <c r="J279" t="s">
        <v>5422</v>
      </c>
      <c r="K279" t="s">
        <v>74</v>
      </c>
      <c r="L279" t="s">
        <v>74</v>
      </c>
      <c r="M279" t="s">
        <v>78</v>
      </c>
      <c r="N279" t="s">
        <v>4937</v>
      </c>
      <c r="O279" t="s">
        <v>74</v>
      </c>
      <c r="P279" t="s">
        <v>74</v>
      </c>
      <c r="Q279" t="s">
        <v>74</v>
      </c>
      <c r="R279" t="s">
        <v>74</v>
      </c>
      <c r="S279" t="s">
        <v>74</v>
      </c>
      <c r="T279" t="s">
        <v>74</v>
      </c>
      <c r="U279" t="s">
        <v>74</v>
      </c>
      <c r="V279" t="s">
        <v>74</v>
      </c>
      <c r="W279" t="s">
        <v>74</v>
      </c>
      <c r="X279" t="s">
        <v>74</v>
      </c>
      <c r="Y279" t="s">
        <v>74</v>
      </c>
      <c r="Z279" t="s">
        <v>74</v>
      </c>
      <c r="AA279" t="s">
        <v>74</v>
      </c>
      <c r="AB279" t="s">
        <v>74</v>
      </c>
      <c r="AC279" t="s">
        <v>74</v>
      </c>
      <c r="AD279" t="s">
        <v>74</v>
      </c>
      <c r="AE279" t="s">
        <v>74</v>
      </c>
      <c r="AF279" t="s">
        <v>74</v>
      </c>
      <c r="AG279">
        <v>0</v>
      </c>
      <c r="AH279">
        <v>0</v>
      </c>
      <c r="AI279">
        <v>0</v>
      </c>
      <c r="AJ279">
        <v>0</v>
      </c>
      <c r="AK279">
        <v>1</v>
      </c>
      <c r="AL279" t="s">
        <v>5423</v>
      </c>
      <c r="AM279" t="s">
        <v>1080</v>
      </c>
      <c r="AN279" t="s">
        <v>5424</v>
      </c>
      <c r="AO279" t="s">
        <v>5425</v>
      </c>
      <c r="AP279" t="s">
        <v>74</v>
      </c>
      <c r="AQ279" t="s">
        <v>74</v>
      </c>
      <c r="AR279" t="s">
        <v>5426</v>
      </c>
      <c r="AS279" t="s">
        <v>5427</v>
      </c>
      <c r="AT279" t="s">
        <v>718</v>
      </c>
      <c r="AU279">
        <v>2019</v>
      </c>
      <c r="AV279">
        <v>207</v>
      </c>
      <c r="AW279">
        <v>1</v>
      </c>
      <c r="AX279" t="s">
        <v>74</v>
      </c>
      <c r="AY279" t="s">
        <v>74</v>
      </c>
      <c r="AZ279" t="s">
        <v>74</v>
      </c>
      <c r="BA279" t="s">
        <v>74</v>
      </c>
      <c r="BB279">
        <v>17</v>
      </c>
      <c r="BC279">
        <v>17</v>
      </c>
      <c r="BD279" t="s">
        <v>74</v>
      </c>
      <c r="BE279" t="s">
        <v>74</v>
      </c>
      <c r="BF279" t="s">
        <v>74</v>
      </c>
      <c r="BG279" t="s">
        <v>74</v>
      </c>
      <c r="BH279" t="s">
        <v>74</v>
      </c>
      <c r="BI279">
        <v>1</v>
      </c>
      <c r="BJ279" t="s">
        <v>5428</v>
      </c>
      <c r="BK279" t="s">
        <v>645</v>
      </c>
      <c r="BL279" t="s">
        <v>5428</v>
      </c>
      <c r="BM279" t="s">
        <v>5429</v>
      </c>
      <c r="BN279" t="s">
        <v>74</v>
      </c>
      <c r="BO279" t="s">
        <v>74</v>
      </c>
      <c r="BP279" t="s">
        <v>74</v>
      </c>
      <c r="BQ279" t="s">
        <v>74</v>
      </c>
      <c r="BR279" t="s">
        <v>104</v>
      </c>
      <c r="BS279" t="s">
        <v>5430</v>
      </c>
      <c r="BT279" t="str">
        <f>HYPERLINK("https%3A%2F%2Fwww.webofscience.com%2Fwos%2Fwoscc%2Ffull-record%2FWOS:000455169600002","View Full Record in Web of Science")</f>
        <v>View Full Record in Web of Science</v>
      </c>
    </row>
    <row r="280" spans="1:72" x14ac:dyDescent="0.15">
      <c r="A280" t="s">
        <v>72</v>
      </c>
      <c r="B280" t="s">
        <v>5431</v>
      </c>
      <c r="C280" t="s">
        <v>74</v>
      </c>
      <c r="D280" t="s">
        <v>74</v>
      </c>
      <c r="E280" t="s">
        <v>74</v>
      </c>
      <c r="F280" t="s">
        <v>5432</v>
      </c>
      <c r="G280" t="s">
        <v>74</v>
      </c>
      <c r="H280" t="s">
        <v>74</v>
      </c>
      <c r="I280" t="s">
        <v>5433</v>
      </c>
      <c r="J280" t="s">
        <v>5434</v>
      </c>
      <c r="K280" t="s">
        <v>74</v>
      </c>
      <c r="L280" t="s">
        <v>74</v>
      </c>
      <c r="M280" t="s">
        <v>78</v>
      </c>
      <c r="N280" t="s">
        <v>1003</v>
      </c>
      <c r="O280" t="s">
        <v>74</v>
      </c>
      <c r="P280" t="s">
        <v>74</v>
      </c>
      <c r="Q280" t="s">
        <v>74</v>
      </c>
      <c r="R280" t="s">
        <v>74</v>
      </c>
      <c r="S280" t="s">
        <v>74</v>
      </c>
      <c r="T280" t="s">
        <v>5435</v>
      </c>
      <c r="U280" t="s">
        <v>5436</v>
      </c>
      <c r="V280" t="s">
        <v>5437</v>
      </c>
      <c r="W280" t="s">
        <v>5438</v>
      </c>
      <c r="X280" t="s">
        <v>5439</v>
      </c>
      <c r="Y280" t="s">
        <v>5440</v>
      </c>
      <c r="Z280" t="s">
        <v>5441</v>
      </c>
      <c r="AA280" t="s">
        <v>5442</v>
      </c>
      <c r="AB280" t="s">
        <v>5443</v>
      </c>
      <c r="AC280" t="s">
        <v>5444</v>
      </c>
      <c r="AD280" t="s">
        <v>5445</v>
      </c>
      <c r="AE280" t="s">
        <v>5446</v>
      </c>
      <c r="AF280" t="s">
        <v>74</v>
      </c>
      <c r="AG280">
        <v>174</v>
      </c>
      <c r="AH280">
        <v>26</v>
      </c>
      <c r="AI280">
        <v>28</v>
      </c>
      <c r="AJ280">
        <v>10</v>
      </c>
      <c r="AK280">
        <v>101</v>
      </c>
      <c r="AL280" t="s">
        <v>1079</v>
      </c>
      <c r="AM280" t="s">
        <v>1080</v>
      </c>
      <c r="AN280" t="s">
        <v>1106</v>
      </c>
      <c r="AO280" t="s">
        <v>5447</v>
      </c>
      <c r="AP280" t="s">
        <v>5448</v>
      </c>
      <c r="AQ280" t="s">
        <v>74</v>
      </c>
      <c r="AR280" t="s">
        <v>5449</v>
      </c>
      <c r="AS280" t="s">
        <v>5450</v>
      </c>
      <c r="AT280" t="s">
        <v>718</v>
      </c>
      <c r="AU280">
        <v>2019</v>
      </c>
      <c r="AV280">
        <v>201</v>
      </c>
      <c r="AW280">
        <v>1</v>
      </c>
      <c r="AX280" t="s">
        <v>74</v>
      </c>
      <c r="AY280" t="s">
        <v>74</v>
      </c>
      <c r="AZ280" t="s">
        <v>74</v>
      </c>
      <c r="BA280" t="s">
        <v>74</v>
      </c>
      <c r="BB280">
        <v>1</v>
      </c>
      <c r="BC280">
        <v>16</v>
      </c>
      <c r="BD280" t="s">
        <v>74</v>
      </c>
      <c r="BE280" t="s">
        <v>5451</v>
      </c>
      <c r="BF280" t="str">
        <f>HYPERLINK("http://dx.doi.org/10.1007/s00203-018-1602-3","http://dx.doi.org/10.1007/s00203-018-1602-3")</f>
        <v>http://dx.doi.org/10.1007/s00203-018-1602-3</v>
      </c>
      <c r="BG280" t="s">
        <v>74</v>
      </c>
      <c r="BH280" t="s">
        <v>74</v>
      </c>
      <c r="BI280">
        <v>16</v>
      </c>
      <c r="BJ280" t="s">
        <v>4119</v>
      </c>
      <c r="BK280" t="s">
        <v>101</v>
      </c>
      <c r="BL280" t="s">
        <v>4119</v>
      </c>
      <c r="BM280" t="s">
        <v>5452</v>
      </c>
      <c r="BN280">
        <v>30478730</v>
      </c>
      <c r="BO280" t="s">
        <v>74</v>
      </c>
      <c r="BP280" t="s">
        <v>74</v>
      </c>
      <c r="BQ280" t="s">
        <v>74</v>
      </c>
      <c r="BR280" t="s">
        <v>104</v>
      </c>
      <c r="BS280" t="s">
        <v>5453</v>
      </c>
      <c r="BT280" t="str">
        <f>HYPERLINK("https%3A%2F%2Fwww.webofscience.com%2Fwos%2Fwoscc%2Ffull-record%2FWOS:000454775000001","View Full Record in Web of Science")</f>
        <v>View Full Record in Web of Science</v>
      </c>
    </row>
    <row r="281" spans="1:72" x14ac:dyDescent="0.15">
      <c r="A281" t="s">
        <v>72</v>
      </c>
      <c r="B281" t="s">
        <v>5454</v>
      </c>
      <c r="C281" t="s">
        <v>74</v>
      </c>
      <c r="D281" t="s">
        <v>74</v>
      </c>
      <c r="E281" t="s">
        <v>74</v>
      </c>
      <c r="F281" t="s">
        <v>5455</v>
      </c>
      <c r="G281" t="s">
        <v>74</v>
      </c>
      <c r="H281" t="s">
        <v>74</v>
      </c>
      <c r="I281" t="s">
        <v>5456</v>
      </c>
      <c r="J281" t="s">
        <v>5457</v>
      </c>
      <c r="K281" t="s">
        <v>74</v>
      </c>
      <c r="L281" t="s">
        <v>74</v>
      </c>
      <c r="M281" t="s">
        <v>78</v>
      </c>
      <c r="N281" t="s">
        <v>79</v>
      </c>
      <c r="O281" t="s">
        <v>74</v>
      </c>
      <c r="P281" t="s">
        <v>74</v>
      </c>
      <c r="Q281" t="s">
        <v>74</v>
      </c>
      <c r="R281" t="s">
        <v>74</v>
      </c>
      <c r="S281" t="s">
        <v>74</v>
      </c>
      <c r="T281" t="s">
        <v>5458</v>
      </c>
      <c r="U281" t="s">
        <v>5459</v>
      </c>
      <c r="V281" t="s">
        <v>5460</v>
      </c>
      <c r="W281" t="s">
        <v>5461</v>
      </c>
      <c r="X281" t="s">
        <v>5462</v>
      </c>
      <c r="Y281" t="s">
        <v>5463</v>
      </c>
      <c r="Z281" t="s">
        <v>5464</v>
      </c>
      <c r="AA281" t="s">
        <v>5465</v>
      </c>
      <c r="AB281" t="s">
        <v>5466</v>
      </c>
      <c r="AC281" t="s">
        <v>5467</v>
      </c>
      <c r="AD281" t="s">
        <v>5468</v>
      </c>
      <c r="AE281" t="s">
        <v>5469</v>
      </c>
      <c r="AF281" t="s">
        <v>74</v>
      </c>
      <c r="AG281">
        <v>130</v>
      </c>
      <c r="AH281">
        <v>14</v>
      </c>
      <c r="AI281">
        <v>14</v>
      </c>
      <c r="AJ281">
        <v>2</v>
      </c>
      <c r="AK281">
        <v>19</v>
      </c>
      <c r="AL281" t="s">
        <v>3670</v>
      </c>
      <c r="AM281" t="s">
        <v>3671</v>
      </c>
      <c r="AN281" t="s">
        <v>3672</v>
      </c>
      <c r="AO281" t="s">
        <v>5470</v>
      </c>
      <c r="AP281" t="s">
        <v>5471</v>
      </c>
      <c r="AQ281" t="s">
        <v>74</v>
      </c>
      <c r="AR281" t="s">
        <v>5472</v>
      </c>
      <c r="AS281" t="s">
        <v>5473</v>
      </c>
      <c r="AT281" t="s">
        <v>718</v>
      </c>
      <c r="AU281">
        <v>2019</v>
      </c>
      <c r="AV281">
        <v>25</v>
      </c>
      <c r="AW281">
        <v>1</v>
      </c>
      <c r="AX281" t="s">
        <v>74</v>
      </c>
      <c r="AY281" t="s">
        <v>74</v>
      </c>
      <c r="AZ281" t="s">
        <v>74</v>
      </c>
      <c r="BA281" t="s">
        <v>74</v>
      </c>
      <c r="BB281">
        <v>21</v>
      </c>
      <c r="BC281">
        <v>37</v>
      </c>
      <c r="BD281" t="s">
        <v>74</v>
      </c>
      <c r="BE281" t="s">
        <v>5474</v>
      </c>
      <c r="BF281" t="str">
        <f>HYPERLINK("http://dx.doi.org/10.1111/ddi.12835","http://dx.doi.org/10.1111/ddi.12835")</f>
        <v>http://dx.doi.org/10.1111/ddi.12835</v>
      </c>
      <c r="BG281" t="s">
        <v>74</v>
      </c>
      <c r="BH281" t="s">
        <v>74</v>
      </c>
      <c r="BI281">
        <v>17</v>
      </c>
      <c r="BJ281" t="s">
        <v>1087</v>
      </c>
      <c r="BK281" t="s">
        <v>101</v>
      </c>
      <c r="BL281" t="s">
        <v>102</v>
      </c>
      <c r="BM281" t="s">
        <v>5475</v>
      </c>
      <c r="BN281" t="s">
        <v>74</v>
      </c>
      <c r="BO281" t="s">
        <v>5476</v>
      </c>
      <c r="BP281" t="s">
        <v>74</v>
      </c>
      <c r="BQ281" t="s">
        <v>74</v>
      </c>
      <c r="BR281" t="s">
        <v>104</v>
      </c>
      <c r="BS281" t="s">
        <v>5477</v>
      </c>
      <c r="BT281" t="str">
        <f>HYPERLINK("https%3A%2F%2Fwww.webofscience.com%2Fwos%2Fwoscc%2Ffull-record%2FWOS:000455265600004","View Full Record in Web of Science")</f>
        <v>View Full Record in Web of Science</v>
      </c>
    </row>
    <row r="282" spans="1:72" x14ac:dyDescent="0.15">
      <c r="A282" t="s">
        <v>72</v>
      </c>
      <c r="B282" t="s">
        <v>5478</v>
      </c>
      <c r="C282" t="s">
        <v>74</v>
      </c>
      <c r="D282" t="s">
        <v>74</v>
      </c>
      <c r="E282" t="s">
        <v>74</v>
      </c>
      <c r="F282" t="s">
        <v>5479</v>
      </c>
      <c r="G282" t="s">
        <v>74</v>
      </c>
      <c r="H282" t="s">
        <v>74</v>
      </c>
      <c r="I282" t="s">
        <v>5480</v>
      </c>
      <c r="J282" t="s">
        <v>5481</v>
      </c>
      <c r="K282" t="s">
        <v>74</v>
      </c>
      <c r="L282" t="s">
        <v>74</v>
      </c>
      <c r="M282" t="s">
        <v>78</v>
      </c>
      <c r="N282" t="s">
        <v>79</v>
      </c>
      <c r="O282" t="s">
        <v>74</v>
      </c>
      <c r="P282" t="s">
        <v>74</v>
      </c>
      <c r="Q282" t="s">
        <v>74</v>
      </c>
      <c r="R282" t="s">
        <v>74</v>
      </c>
      <c r="S282" t="s">
        <v>74</v>
      </c>
      <c r="T282" t="s">
        <v>5482</v>
      </c>
      <c r="U282" t="s">
        <v>5483</v>
      </c>
      <c r="V282" t="s">
        <v>5484</v>
      </c>
      <c r="W282" t="s">
        <v>5485</v>
      </c>
      <c r="X282" t="s">
        <v>5486</v>
      </c>
      <c r="Y282" t="s">
        <v>5487</v>
      </c>
      <c r="Z282" t="s">
        <v>5488</v>
      </c>
      <c r="AA282" t="s">
        <v>5489</v>
      </c>
      <c r="AB282" t="s">
        <v>5490</v>
      </c>
      <c r="AC282" t="s">
        <v>5491</v>
      </c>
      <c r="AD282" t="s">
        <v>5492</v>
      </c>
      <c r="AE282" t="s">
        <v>5493</v>
      </c>
      <c r="AF282" t="s">
        <v>74</v>
      </c>
      <c r="AG282">
        <v>53</v>
      </c>
      <c r="AH282">
        <v>18</v>
      </c>
      <c r="AI282">
        <v>19</v>
      </c>
      <c r="AJ282">
        <v>8</v>
      </c>
      <c r="AK282">
        <v>90</v>
      </c>
      <c r="AL282" t="s">
        <v>1079</v>
      </c>
      <c r="AM282" t="s">
        <v>1080</v>
      </c>
      <c r="AN282" t="s">
        <v>1081</v>
      </c>
      <c r="AO282" t="s">
        <v>5494</v>
      </c>
      <c r="AP282" t="s">
        <v>5495</v>
      </c>
      <c r="AQ282" t="s">
        <v>74</v>
      </c>
      <c r="AR282" t="s">
        <v>5496</v>
      </c>
      <c r="AS282" t="s">
        <v>5497</v>
      </c>
      <c r="AT282" t="s">
        <v>718</v>
      </c>
      <c r="AU282">
        <v>2019</v>
      </c>
      <c r="AV282">
        <v>245</v>
      </c>
      <c r="AW282">
        <v>1</v>
      </c>
      <c r="AX282" t="s">
        <v>74</v>
      </c>
      <c r="AY282" t="s">
        <v>74</v>
      </c>
      <c r="AZ282" t="s">
        <v>74</v>
      </c>
      <c r="BA282" t="s">
        <v>74</v>
      </c>
      <c r="BB282">
        <v>243</v>
      </c>
      <c r="BC282">
        <v>255</v>
      </c>
      <c r="BD282" t="s">
        <v>74</v>
      </c>
      <c r="BE282" t="s">
        <v>5498</v>
      </c>
      <c r="BF282" t="str">
        <f>HYPERLINK("http://dx.doi.org/10.1007/s00217-018-3157-6","http://dx.doi.org/10.1007/s00217-018-3157-6")</f>
        <v>http://dx.doi.org/10.1007/s00217-018-3157-6</v>
      </c>
      <c r="BG282" t="s">
        <v>74</v>
      </c>
      <c r="BH282" t="s">
        <v>74</v>
      </c>
      <c r="BI282">
        <v>13</v>
      </c>
      <c r="BJ282" t="s">
        <v>5499</v>
      </c>
      <c r="BK282" t="s">
        <v>101</v>
      </c>
      <c r="BL282" t="s">
        <v>5499</v>
      </c>
      <c r="BM282" t="s">
        <v>5500</v>
      </c>
      <c r="BN282" t="s">
        <v>74</v>
      </c>
      <c r="BO282" t="s">
        <v>74</v>
      </c>
      <c r="BP282" t="s">
        <v>74</v>
      </c>
      <c r="BQ282" t="s">
        <v>74</v>
      </c>
      <c r="BR282" t="s">
        <v>104</v>
      </c>
      <c r="BS282" t="s">
        <v>5501</v>
      </c>
      <c r="BT282" t="str">
        <f>HYPERLINK("https%3A%2F%2Fwww.webofscience.com%2Fwos%2Fwoscc%2Ffull-record%2FWOS:000454942900022","View Full Record in Web of Science")</f>
        <v>View Full Record in Web of Science</v>
      </c>
    </row>
    <row r="283" spans="1:72" x14ac:dyDescent="0.15">
      <c r="A283" t="s">
        <v>72</v>
      </c>
      <c r="B283" t="s">
        <v>5502</v>
      </c>
      <c r="C283" t="s">
        <v>74</v>
      </c>
      <c r="D283" t="s">
        <v>74</v>
      </c>
      <c r="E283" t="s">
        <v>74</v>
      </c>
      <c r="F283" t="s">
        <v>5503</v>
      </c>
      <c r="G283" t="s">
        <v>74</v>
      </c>
      <c r="H283" t="s">
        <v>74</v>
      </c>
      <c r="I283" t="s">
        <v>5504</v>
      </c>
      <c r="J283" t="s">
        <v>5505</v>
      </c>
      <c r="K283" t="s">
        <v>74</v>
      </c>
      <c r="L283" t="s">
        <v>74</v>
      </c>
      <c r="M283" t="s">
        <v>78</v>
      </c>
      <c r="N283" t="s">
        <v>79</v>
      </c>
      <c r="O283" t="s">
        <v>74</v>
      </c>
      <c r="P283" t="s">
        <v>74</v>
      </c>
      <c r="Q283" t="s">
        <v>74</v>
      </c>
      <c r="R283" t="s">
        <v>74</v>
      </c>
      <c r="S283" t="s">
        <v>74</v>
      </c>
      <c r="T283" t="s">
        <v>5506</v>
      </c>
      <c r="U283" t="s">
        <v>5507</v>
      </c>
      <c r="V283" t="s">
        <v>5508</v>
      </c>
      <c r="W283" t="s">
        <v>5509</v>
      </c>
      <c r="X283" t="s">
        <v>5510</v>
      </c>
      <c r="Y283" t="s">
        <v>5511</v>
      </c>
      <c r="Z283" t="s">
        <v>5512</v>
      </c>
      <c r="AA283" t="s">
        <v>5513</v>
      </c>
      <c r="AB283" t="s">
        <v>5514</v>
      </c>
      <c r="AC283" t="s">
        <v>5515</v>
      </c>
      <c r="AD283" t="s">
        <v>5516</v>
      </c>
      <c r="AE283" t="s">
        <v>5517</v>
      </c>
      <c r="AF283" t="s">
        <v>74</v>
      </c>
      <c r="AG283">
        <v>53</v>
      </c>
      <c r="AH283">
        <v>22</v>
      </c>
      <c r="AI283">
        <v>23</v>
      </c>
      <c r="AJ283">
        <v>5</v>
      </c>
      <c r="AK283">
        <v>20</v>
      </c>
      <c r="AL283" t="s">
        <v>122</v>
      </c>
      <c r="AM283" t="s">
        <v>123</v>
      </c>
      <c r="AN283" t="s">
        <v>124</v>
      </c>
      <c r="AO283" t="s">
        <v>5518</v>
      </c>
      <c r="AP283" t="s">
        <v>5519</v>
      </c>
      <c r="AQ283" t="s">
        <v>74</v>
      </c>
      <c r="AR283" t="s">
        <v>5520</v>
      </c>
      <c r="AS283" t="s">
        <v>5521</v>
      </c>
      <c r="AT283" t="s">
        <v>718</v>
      </c>
      <c r="AU283">
        <v>2019</v>
      </c>
      <c r="AV283">
        <v>57</v>
      </c>
      <c r="AW283">
        <v>1</v>
      </c>
      <c r="AX283" t="s">
        <v>74</v>
      </c>
      <c r="AY283" t="s">
        <v>74</v>
      </c>
      <c r="AZ283" t="s">
        <v>74</v>
      </c>
      <c r="BA283" t="s">
        <v>74</v>
      </c>
      <c r="BB283">
        <v>263</v>
      </c>
      <c r="BC283">
        <v>276</v>
      </c>
      <c r="BD283" t="s">
        <v>74</v>
      </c>
      <c r="BE283" t="s">
        <v>5522</v>
      </c>
      <c r="BF283" t="str">
        <f>HYPERLINK("http://dx.doi.org/10.1109/TGRS.2018.2853590","http://dx.doi.org/10.1109/TGRS.2018.2853590")</f>
        <v>http://dx.doi.org/10.1109/TGRS.2018.2853590</v>
      </c>
      <c r="BG283" t="s">
        <v>74</v>
      </c>
      <c r="BH283" t="s">
        <v>74</v>
      </c>
      <c r="BI283">
        <v>14</v>
      </c>
      <c r="BJ283" t="s">
        <v>5523</v>
      </c>
      <c r="BK283" t="s">
        <v>101</v>
      </c>
      <c r="BL283" t="s">
        <v>5524</v>
      </c>
      <c r="BM283" t="s">
        <v>5525</v>
      </c>
      <c r="BN283" t="s">
        <v>74</v>
      </c>
      <c r="BO283" t="s">
        <v>74</v>
      </c>
      <c r="BP283" t="s">
        <v>74</v>
      </c>
      <c r="BQ283" t="s">
        <v>74</v>
      </c>
      <c r="BR283" t="s">
        <v>104</v>
      </c>
      <c r="BS283" t="s">
        <v>5526</v>
      </c>
      <c r="BT283" t="str">
        <f>HYPERLINK("https%3A%2F%2Fwww.webofscience.com%2Fwos%2Fwoscc%2Ffull-record%2FWOS:000455089000020","View Full Record in Web of Science")</f>
        <v>View Full Record in Web of Science</v>
      </c>
    </row>
    <row r="284" spans="1:72" x14ac:dyDescent="0.15">
      <c r="A284" t="s">
        <v>72</v>
      </c>
      <c r="B284" t="s">
        <v>5527</v>
      </c>
      <c r="C284" t="s">
        <v>74</v>
      </c>
      <c r="D284" t="s">
        <v>74</v>
      </c>
      <c r="E284" t="s">
        <v>74</v>
      </c>
      <c r="F284" t="s">
        <v>5528</v>
      </c>
      <c r="G284" t="s">
        <v>74</v>
      </c>
      <c r="H284" t="s">
        <v>74</v>
      </c>
      <c r="I284" t="s">
        <v>5529</v>
      </c>
      <c r="J284" t="s">
        <v>5530</v>
      </c>
      <c r="K284" t="s">
        <v>74</v>
      </c>
      <c r="L284" t="s">
        <v>74</v>
      </c>
      <c r="M284" t="s">
        <v>78</v>
      </c>
      <c r="N284" t="s">
        <v>79</v>
      </c>
      <c r="O284" t="s">
        <v>74</v>
      </c>
      <c r="P284" t="s">
        <v>74</v>
      </c>
      <c r="Q284" t="s">
        <v>74</v>
      </c>
      <c r="R284" t="s">
        <v>74</v>
      </c>
      <c r="S284" t="s">
        <v>74</v>
      </c>
      <c r="T284" t="s">
        <v>5531</v>
      </c>
      <c r="U284" t="s">
        <v>5532</v>
      </c>
      <c r="V284" t="s">
        <v>5533</v>
      </c>
      <c r="W284" t="s">
        <v>5534</v>
      </c>
      <c r="X284" t="s">
        <v>5535</v>
      </c>
      <c r="Y284" t="s">
        <v>5536</v>
      </c>
      <c r="Z284" t="s">
        <v>5537</v>
      </c>
      <c r="AA284" t="s">
        <v>74</v>
      </c>
      <c r="AB284" t="s">
        <v>74</v>
      </c>
      <c r="AC284" t="s">
        <v>5538</v>
      </c>
      <c r="AD284" t="s">
        <v>5539</v>
      </c>
      <c r="AE284" t="s">
        <v>5540</v>
      </c>
      <c r="AF284" t="s">
        <v>74</v>
      </c>
      <c r="AG284">
        <v>30</v>
      </c>
      <c r="AH284">
        <v>14</v>
      </c>
      <c r="AI284">
        <v>15</v>
      </c>
      <c r="AJ284">
        <v>0</v>
      </c>
      <c r="AK284">
        <v>6</v>
      </c>
      <c r="AL284" t="s">
        <v>5541</v>
      </c>
      <c r="AM284" t="s">
        <v>5542</v>
      </c>
      <c r="AN284" t="s">
        <v>5543</v>
      </c>
      <c r="AO284" t="s">
        <v>5544</v>
      </c>
      <c r="AP284" t="s">
        <v>74</v>
      </c>
      <c r="AQ284" t="s">
        <v>74</v>
      </c>
      <c r="AR284" t="s">
        <v>5545</v>
      </c>
      <c r="AS284" t="s">
        <v>5546</v>
      </c>
      <c r="AT284" t="s">
        <v>74</v>
      </c>
      <c r="AU284">
        <v>2019</v>
      </c>
      <c r="AV284">
        <v>16</v>
      </c>
      <c r="AW284">
        <v>2</v>
      </c>
      <c r="AX284" t="s">
        <v>74</v>
      </c>
      <c r="AY284" t="s">
        <v>74</v>
      </c>
      <c r="AZ284" t="s">
        <v>74</v>
      </c>
      <c r="BA284" t="s">
        <v>74</v>
      </c>
      <c r="BB284">
        <v>189</v>
      </c>
      <c r="BC284">
        <v>197</v>
      </c>
      <c r="BD284" t="s">
        <v>74</v>
      </c>
      <c r="BE284" t="s">
        <v>5547</v>
      </c>
      <c r="BF284" t="str">
        <f>HYPERLINK("http://dx.doi.org/10.7150/ijms.30647","http://dx.doi.org/10.7150/ijms.30647")</f>
        <v>http://dx.doi.org/10.7150/ijms.30647</v>
      </c>
      <c r="BG284" t="s">
        <v>74</v>
      </c>
      <c r="BH284" t="s">
        <v>74</v>
      </c>
      <c r="BI284">
        <v>9</v>
      </c>
      <c r="BJ284" t="s">
        <v>5548</v>
      </c>
      <c r="BK284" t="s">
        <v>101</v>
      </c>
      <c r="BL284" t="s">
        <v>5549</v>
      </c>
      <c r="BM284" t="s">
        <v>5550</v>
      </c>
      <c r="BN284">
        <v>30745798</v>
      </c>
      <c r="BO284" t="s">
        <v>3454</v>
      </c>
      <c r="BP284" t="s">
        <v>74</v>
      </c>
      <c r="BQ284" t="s">
        <v>74</v>
      </c>
      <c r="BR284" t="s">
        <v>104</v>
      </c>
      <c r="BS284" t="s">
        <v>5551</v>
      </c>
      <c r="BT284" t="str">
        <f>HYPERLINK("https%3A%2F%2Fwww.webofscience.com%2Fwos%2Fwoscc%2Ffull-record%2FWOS:000454841200001","View Full Record in Web of Science")</f>
        <v>View Full Record in Web of Science</v>
      </c>
    </row>
    <row r="285" spans="1:72" x14ac:dyDescent="0.15">
      <c r="A285" t="s">
        <v>72</v>
      </c>
      <c r="B285" t="s">
        <v>5552</v>
      </c>
      <c r="C285" t="s">
        <v>74</v>
      </c>
      <c r="D285" t="s">
        <v>74</v>
      </c>
      <c r="E285" t="s">
        <v>74</v>
      </c>
      <c r="F285" t="s">
        <v>5553</v>
      </c>
      <c r="G285" t="s">
        <v>74</v>
      </c>
      <c r="H285" t="s">
        <v>74</v>
      </c>
      <c r="I285" t="s">
        <v>5554</v>
      </c>
      <c r="J285" t="s">
        <v>5555</v>
      </c>
      <c r="K285" t="s">
        <v>74</v>
      </c>
      <c r="L285" t="s">
        <v>74</v>
      </c>
      <c r="M285" t="s">
        <v>78</v>
      </c>
      <c r="N285" t="s">
        <v>79</v>
      </c>
      <c r="O285" t="s">
        <v>74</v>
      </c>
      <c r="P285" t="s">
        <v>74</v>
      </c>
      <c r="Q285" t="s">
        <v>74</v>
      </c>
      <c r="R285" t="s">
        <v>74</v>
      </c>
      <c r="S285" t="s">
        <v>74</v>
      </c>
      <c r="T285" t="s">
        <v>5556</v>
      </c>
      <c r="U285" t="s">
        <v>5557</v>
      </c>
      <c r="V285" t="s">
        <v>5558</v>
      </c>
      <c r="W285" t="s">
        <v>5559</v>
      </c>
      <c r="X285" t="s">
        <v>5560</v>
      </c>
      <c r="Y285" t="s">
        <v>5561</v>
      </c>
      <c r="Z285" t="s">
        <v>5562</v>
      </c>
      <c r="AA285" t="s">
        <v>5563</v>
      </c>
      <c r="AB285" t="s">
        <v>5564</v>
      </c>
      <c r="AC285" t="s">
        <v>5565</v>
      </c>
      <c r="AD285" t="s">
        <v>5566</v>
      </c>
      <c r="AE285" t="s">
        <v>5567</v>
      </c>
      <c r="AF285" t="s">
        <v>74</v>
      </c>
      <c r="AG285">
        <v>77</v>
      </c>
      <c r="AH285">
        <v>45</v>
      </c>
      <c r="AI285">
        <v>45</v>
      </c>
      <c r="AJ285">
        <v>2</v>
      </c>
      <c r="AK285">
        <v>56</v>
      </c>
      <c r="AL285" t="s">
        <v>1079</v>
      </c>
      <c r="AM285" t="s">
        <v>1080</v>
      </c>
      <c r="AN285" t="s">
        <v>1106</v>
      </c>
      <c r="AO285" t="s">
        <v>5568</v>
      </c>
      <c r="AP285" t="s">
        <v>5569</v>
      </c>
      <c r="AQ285" t="s">
        <v>74</v>
      </c>
      <c r="AR285" t="s">
        <v>5570</v>
      </c>
      <c r="AS285" t="s">
        <v>5571</v>
      </c>
      <c r="AT285" t="s">
        <v>718</v>
      </c>
      <c r="AU285">
        <v>2019</v>
      </c>
      <c r="AV285">
        <v>77</v>
      </c>
      <c r="AW285">
        <v>1</v>
      </c>
      <c r="AX285" t="s">
        <v>74</v>
      </c>
      <c r="AY285" t="s">
        <v>74</v>
      </c>
      <c r="AZ285" t="s">
        <v>74</v>
      </c>
      <c r="BA285" t="s">
        <v>74</v>
      </c>
      <c r="BB285">
        <v>12</v>
      </c>
      <c r="BC285">
        <v>24</v>
      </c>
      <c r="BD285" t="s">
        <v>74</v>
      </c>
      <c r="BE285" t="s">
        <v>5572</v>
      </c>
      <c r="BF285" t="str">
        <f>HYPERLINK("http://dx.doi.org/10.1007/s00248-018-1217-x","http://dx.doi.org/10.1007/s00248-018-1217-x")</f>
        <v>http://dx.doi.org/10.1007/s00248-018-1217-x</v>
      </c>
      <c r="BG285" t="s">
        <v>74</v>
      </c>
      <c r="BH285" t="s">
        <v>74</v>
      </c>
      <c r="BI285">
        <v>13</v>
      </c>
      <c r="BJ285" t="s">
        <v>1535</v>
      </c>
      <c r="BK285" t="s">
        <v>101</v>
      </c>
      <c r="BL285" t="s">
        <v>1536</v>
      </c>
      <c r="BM285" t="s">
        <v>5573</v>
      </c>
      <c r="BN285">
        <v>29916010</v>
      </c>
      <c r="BO285" t="s">
        <v>1089</v>
      </c>
      <c r="BP285" t="s">
        <v>74</v>
      </c>
      <c r="BQ285" t="s">
        <v>74</v>
      </c>
      <c r="BR285" t="s">
        <v>104</v>
      </c>
      <c r="BS285" t="s">
        <v>5574</v>
      </c>
      <c r="BT285" t="str">
        <f>HYPERLINK("https%3A%2F%2Fwww.webofscience.com%2Fwos%2Fwoscc%2Ffull-record%2FWOS:000454921500002","View Full Record in Web of Science")</f>
        <v>View Full Record in Web of Science</v>
      </c>
    </row>
    <row r="286" spans="1:72" x14ac:dyDescent="0.15">
      <c r="A286" t="s">
        <v>72</v>
      </c>
      <c r="B286" t="s">
        <v>5575</v>
      </c>
      <c r="C286" t="s">
        <v>74</v>
      </c>
      <c r="D286" t="s">
        <v>74</v>
      </c>
      <c r="E286" t="s">
        <v>74</v>
      </c>
      <c r="F286" t="s">
        <v>5576</v>
      </c>
      <c r="G286" t="s">
        <v>74</v>
      </c>
      <c r="H286" t="s">
        <v>74</v>
      </c>
      <c r="I286" t="s">
        <v>5577</v>
      </c>
      <c r="J286" t="s">
        <v>5578</v>
      </c>
      <c r="K286" t="s">
        <v>74</v>
      </c>
      <c r="L286" t="s">
        <v>74</v>
      </c>
      <c r="M286" t="s">
        <v>78</v>
      </c>
      <c r="N286" t="s">
        <v>1003</v>
      </c>
      <c r="O286" t="s">
        <v>74</v>
      </c>
      <c r="P286" t="s">
        <v>74</v>
      </c>
      <c r="Q286" t="s">
        <v>74</v>
      </c>
      <c r="R286" t="s">
        <v>74</v>
      </c>
      <c r="S286" t="s">
        <v>74</v>
      </c>
      <c r="T286" t="s">
        <v>5579</v>
      </c>
      <c r="U286" t="s">
        <v>5580</v>
      </c>
      <c r="V286" t="s">
        <v>5581</v>
      </c>
      <c r="W286" t="s">
        <v>5582</v>
      </c>
      <c r="X286" t="s">
        <v>5583</v>
      </c>
      <c r="Y286" t="s">
        <v>5584</v>
      </c>
      <c r="Z286" t="s">
        <v>5585</v>
      </c>
      <c r="AA286" t="s">
        <v>74</v>
      </c>
      <c r="AB286" t="s">
        <v>5586</v>
      </c>
      <c r="AC286" t="s">
        <v>74</v>
      </c>
      <c r="AD286" t="s">
        <v>74</v>
      </c>
      <c r="AE286" t="s">
        <v>74</v>
      </c>
      <c r="AF286" t="s">
        <v>74</v>
      </c>
      <c r="AG286">
        <v>126</v>
      </c>
      <c r="AH286">
        <v>25</v>
      </c>
      <c r="AI286">
        <v>28</v>
      </c>
      <c r="AJ286">
        <v>11</v>
      </c>
      <c r="AK286">
        <v>84</v>
      </c>
      <c r="AL286" t="s">
        <v>3670</v>
      </c>
      <c r="AM286" t="s">
        <v>3671</v>
      </c>
      <c r="AN286" t="s">
        <v>3672</v>
      </c>
      <c r="AO286" t="s">
        <v>5587</v>
      </c>
      <c r="AP286" t="s">
        <v>74</v>
      </c>
      <c r="AQ286" t="s">
        <v>74</v>
      </c>
      <c r="AR286" t="s">
        <v>5588</v>
      </c>
      <c r="AS286" t="s">
        <v>5589</v>
      </c>
      <c r="AT286" t="s">
        <v>718</v>
      </c>
      <c r="AU286">
        <v>2019</v>
      </c>
      <c r="AV286">
        <v>111</v>
      </c>
      <c r="AW286">
        <v>1</v>
      </c>
      <c r="AX286" t="s">
        <v>74</v>
      </c>
      <c r="AY286" t="s">
        <v>74</v>
      </c>
      <c r="AZ286" t="s">
        <v>4266</v>
      </c>
      <c r="BA286" t="s">
        <v>74</v>
      </c>
      <c r="BB286" t="s">
        <v>74</v>
      </c>
      <c r="BC286" t="s">
        <v>74</v>
      </c>
      <c r="BD286" t="s">
        <v>5590</v>
      </c>
      <c r="BE286" t="s">
        <v>5591</v>
      </c>
      <c r="BF286" t="str">
        <f>HYPERLINK("http://dx.doi.org/10.1002/pep2.24086","http://dx.doi.org/10.1002/pep2.24086")</f>
        <v>http://dx.doi.org/10.1002/pep2.24086</v>
      </c>
      <c r="BG286" t="s">
        <v>74</v>
      </c>
      <c r="BH286" t="s">
        <v>74</v>
      </c>
      <c r="BI286">
        <v>12</v>
      </c>
      <c r="BJ286" t="s">
        <v>5081</v>
      </c>
      <c r="BK286" t="s">
        <v>101</v>
      </c>
      <c r="BL286" t="s">
        <v>5081</v>
      </c>
      <c r="BM286" t="s">
        <v>5592</v>
      </c>
      <c r="BN286" t="s">
        <v>74</v>
      </c>
      <c r="BO286" t="s">
        <v>74</v>
      </c>
      <c r="BP286" t="s">
        <v>74</v>
      </c>
      <c r="BQ286" t="s">
        <v>74</v>
      </c>
      <c r="BR286" t="s">
        <v>104</v>
      </c>
      <c r="BS286" t="s">
        <v>5593</v>
      </c>
      <c r="BT286" t="str">
        <f>HYPERLINK("https%3A%2F%2Fwww.webofscience.com%2Fwos%2Fwoscc%2Ffull-record%2FWOS:000454958100021","View Full Record in Web of Science")</f>
        <v>View Full Record in Web of Science</v>
      </c>
    </row>
    <row r="287" spans="1:72" x14ac:dyDescent="0.15">
      <c r="A287" t="s">
        <v>72</v>
      </c>
      <c r="B287" t="s">
        <v>5594</v>
      </c>
      <c r="C287" t="s">
        <v>74</v>
      </c>
      <c r="D287" t="s">
        <v>74</v>
      </c>
      <c r="E287" t="s">
        <v>74</v>
      </c>
      <c r="F287" t="s">
        <v>5595</v>
      </c>
      <c r="G287" t="s">
        <v>74</v>
      </c>
      <c r="H287" t="s">
        <v>74</v>
      </c>
      <c r="I287" t="s">
        <v>5596</v>
      </c>
      <c r="J287" t="s">
        <v>1067</v>
      </c>
      <c r="K287" t="s">
        <v>74</v>
      </c>
      <c r="L287" t="s">
        <v>74</v>
      </c>
      <c r="M287" t="s">
        <v>78</v>
      </c>
      <c r="N287" t="s">
        <v>79</v>
      </c>
      <c r="O287" t="s">
        <v>74</v>
      </c>
      <c r="P287" t="s">
        <v>74</v>
      </c>
      <c r="Q287" t="s">
        <v>74</v>
      </c>
      <c r="R287" t="s">
        <v>74</v>
      </c>
      <c r="S287" t="s">
        <v>74</v>
      </c>
      <c r="T287" t="s">
        <v>5597</v>
      </c>
      <c r="U287" t="s">
        <v>5598</v>
      </c>
      <c r="V287" t="s">
        <v>5599</v>
      </c>
      <c r="W287" t="s">
        <v>5600</v>
      </c>
      <c r="X287" t="s">
        <v>5601</v>
      </c>
      <c r="Y287" t="s">
        <v>5602</v>
      </c>
      <c r="Z287" t="s">
        <v>5603</v>
      </c>
      <c r="AA287" t="s">
        <v>5604</v>
      </c>
      <c r="AB287" t="s">
        <v>5605</v>
      </c>
      <c r="AC287" t="s">
        <v>5606</v>
      </c>
      <c r="AD287" t="s">
        <v>2890</v>
      </c>
      <c r="AE287" t="s">
        <v>5607</v>
      </c>
      <c r="AF287" t="s">
        <v>74</v>
      </c>
      <c r="AG287">
        <v>67</v>
      </c>
      <c r="AH287">
        <v>16</v>
      </c>
      <c r="AI287">
        <v>18</v>
      </c>
      <c r="AJ287">
        <v>2</v>
      </c>
      <c r="AK287">
        <v>16</v>
      </c>
      <c r="AL287" t="s">
        <v>1079</v>
      </c>
      <c r="AM287" t="s">
        <v>1080</v>
      </c>
      <c r="AN287" t="s">
        <v>1106</v>
      </c>
      <c r="AO287" t="s">
        <v>1082</v>
      </c>
      <c r="AP287" t="s">
        <v>1083</v>
      </c>
      <c r="AQ287" t="s">
        <v>74</v>
      </c>
      <c r="AR287" t="s">
        <v>1084</v>
      </c>
      <c r="AS287" t="s">
        <v>1085</v>
      </c>
      <c r="AT287" t="s">
        <v>718</v>
      </c>
      <c r="AU287">
        <v>2019</v>
      </c>
      <c r="AV287">
        <v>42</v>
      </c>
      <c r="AW287">
        <v>1</v>
      </c>
      <c r="AX287" t="s">
        <v>74</v>
      </c>
      <c r="AY287" t="s">
        <v>74</v>
      </c>
      <c r="AZ287" t="s">
        <v>74</v>
      </c>
      <c r="BA287" t="s">
        <v>74</v>
      </c>
      <c r="BB287">
        <v>47</v>
      </c>
      <c r="BC287">
        <v>64</v>
      </c>
      <c r="BD287" t="s">
        <v>74</v>
      </c>
      <c r="BE287" t="s">
        <v>5608</v>
      </c>
      <c r="BF287" t="str">
        <f>HYPERLINK("http://dx.doi.org/10.1007/s00300-018-2398-y","http://dx.doi.org/10.1007/s00300-018-2398-y")</f>
        <v>http://dx.doi.org/10.1007/s00300-018-2398-y</v>
      </c>
      <c r="BG287" t="s">
        <v>74</v>
      </c>
      <c r="BH287" t="s">
        <v>74</v>
      </c>
      <c r="BI287">
        <v>18</v>
      </c>
      <c r="BJ287" t="s">
        <v>1087</v>
      </c>
      <c r="BK287" t="s">
        <v>101</v>
      </c>
      <c r="BL287" t="s">
        <v>102</v>
      </c>
      <c r="BM287" t="s">
        <v>5609</v>
      </c>
      <c r="BN287" t="s">
        <v>74</v>
      </c>
      <c r="BO287" t="s">
        <v>74</v>
      </c>
      <c r="BP287" t="s">
        <v>74</v>
      </c>
      <c r="BQ287" t="s">
        <v>74</v>
      </c>
      <c r="BR287" t="s">
        <v>104</v>
      </c>
      <c r="BS287" t="s">
        <v>5610</v>
      </c>
      <c r="BT287" t="str">
        <f>HYPERLINK("https%3A%2F%2Fwww.webofscience.com%2Fwos%2Fwoscc%2Ffull-record%2FWOS:000455301900004","View Full Record in Web of Science")</f>
        <v>View Full Record in Web of Science</v>
      </c>
    </row>
    <row r="288" spans="1:72" x14ac:dyDescent="0.15">
      <c r="A288" t="s">
        <v>72</v>
      </c>
      <c r="B288" t="s">
        <v>5611</v>
      </c>
      <c r="C288" t="s">
        <v>74</v>
      </c>
      <c r="D288" t="s">
        <v>74</v>
      </c>
      <c r="E288" t="s">
        <v>74</v>
      </c>
      <c r="F288" t="s">
        <v>5612</v>
      </c>
      <c r="G288" t="s">
        <v>74</v>
      </c>
      <c r="H288" t="s">
        <v>74</v>
      </c>
      <c r="I288" t="s">
        <v>5613</v>
      </c>
      <c r="J288" t="s">
        <v>1067</v>
      </c>
      <c r="K288" t="s">
        <v>74</v>
      </c>
      <c r="L288" t="s">
        <v>74</v>
      </c>
      <c r="M288" t="s">
        <v>78</v>
      </c>
      <c r="N288" t="s">
        <v>79</v>
      </c>
      <c r="O288" t="s">
        <v>74</v>
      </c>
      <c r="P288" t="s">
        <v>74</v>
      </c>
      <c r="Q288" t="s">
        <v>74</v>
      </c>
      <c r="R288" t="s">
        <v>74</v>
      </c>
      <c r="S288" t="s">
        <v>74</v>
      </c>
      <c r="T288" t="s">
        <v>5614</v>
      </c>
      <c r="U288" t="s">
        <v>5615</v>
      </c>
      <c r="V288" t="s">
        <v>5616</v>
      </c>
      <c r="W288" t="s">
        <v>5617</v>
      </c>
      <c r="X288" t="s">
        <v>5618</v>
      </c>
      <c r="Y288" t="s">
        <v>5619</v>
      </c>
      <c r="Z288" t="s">
        <v>5620</v>
      </c>
      <c r="AA288" t="s">
        <v>5621</v>
      </c>
      <c r="AB288" t="s">
        <v>5622</v>
      </c>
      <c r="AC288" t="s">
        <v>5623</v>
      </c>
      <c r="AD288" t="s">
        <v>5624</v>
      </c>
      <c r="AE288" t="s">
        <v>5625</v>
      </c>
      <c r="AF288" t="s">
        <v>74</v>
      </c>
      <c r="AG288">
        <v>70</v>
      </c>
      <c r="AH288">
        <v>14</v>
      </c>
      <c r="AI288">
        <v>14</v>
      </c>
      <c r="AJ288">
        <v>0</v>
      </c>
      <c r="AK288">
        <v>9</v>
      </c>
      <c r="AL288" t="s">
        <v>1079</v>
      </c>
      <c r="AM288" t="s">
        <v>1080</v>
      </c>
      <c r="AN288" t="s">
        <v>1106</v>
      </c>
      <c r="AO288" t="s">
        <v>1082</v>
      </c>
      <c r="AP288" t="s">
        <v>1083</v>
      </c>
      <c r="AQ288" t="s">
        <v>74</v>
      </c>
      <c r="AR288" t="s">
        <v>1084</v>
      </c>
      <c r="AS288" t="s">
        <v>1085</v>
      </c>
      <c r="AT288" t="s">
        <v>718</v>
      </c>
      <c r="AU288">
        <v>2019</v>
      </c>
      <c r="AV288">
        <v>42</v>
      </c>
      <c r="AW288">
        <v>1</v>
      </c>
      <c r="AX288" t="s">
        <v>74</v>
      </c>
      <c r="AY288" t="s">
        <v>74</v>
      </c>
      <c r="AZ288" t="s">
        <v>74</v>
      </c>
      <c r="BA288" t="s">
        <v>74</v>
      </c>
      <c r="BB288">
        <v>115</v>
      </c>
      <c r="BC288">
        <v>130</v>
      </c>
      <c r="BD288" t="s">
        <v>74</v>
      </c>
      <c r="BE288" t="s">
        <v>5626</v>
      </c>
      <c r="BF288" t="str">
        <f>HYPERLINK("http://dx.doi.org/10.1007/s00300-018-2403-5","http://dx.doi.org/10.1007/s00300-018-2403-5")</f>
        <v>http://dx.doi.org/10.1007/s00300-018-2403-5</v>
      </c>
      <c r="BG288" t="s">
        <v>74</v>
      </c>
      <c r="BH288" t="s">
        <v>74</v>
      </c>
      <c r="BI288">
        <v>16</v>
      </c>
      <c r="BJ288" t="s">
        <v>1087</v>
      </c>
      <c r="BK288" t="s">
        <v>101</v>
      </c>
      <c r="BL288" t="s">
        <v>102</v>
      </c>
      <c r="BM288" t="s">
        <v>5609</v>
      </c>
      <c r="BN288">
        <v>30872890</v>
      </c>
      <c r="BO288" t="s">
        <v>5627</v>
      </c>
      <c r="BP288" t="s">
        <v>74</v>
      </c>
      <c r="BQ288" t="s">
        <v>74</v>
      </c>
      <c r="BR288" t="s">
        <v>104</v>
      </c>
      <c r="BS288" t="s">
        <v>5628</v>
      </c>
      <c r="BT288" t="str">
        <f>HYPERLINK("https%3A%2F%2Fwww.webofscience.com%2Fwos%2Fwoscc%2Ffull-record%2FWOS:000455301900008","View Full Record in Web of Science")</f>
        <v>View Full Record in Web of Science</v>
      </c>
    </row>
    <row r="289" spans="1:72" x14ac:dyDescent="0.15">
      <c r="A289" t="s">
        <v>72</v>
      </c>
      <c r="B289" t="s">
        <v>5611</v>
      </c>
      <c r="C289" t="s">
        <v>74</v>
      </c>
      <c r="D289" t="s">
        <v>74</v>
      </c>
      <c r="E289" t="s">
        <v>74</v>
      </c>
      <c r="F289" t="s">
        <v>5612</v>
      </c>
      <c r="G289" t="s">
        <v>74</v>
      </c>
      <c r="H289" t="s">
        <v>74</v>
      </c>
      <c r="I289" t="s">
        <v>5629</v>
      </c>
      <c r="J289" t="s">
        <v>1067</v>
      </c>
      <c r="K289" t="s">
        <v>74</v>
      </c>
      <c r="L289" t="s">
        <v>74</v>
      </c>
      <c r="M289" t="s">
        <v>78</v>
      </c>
      <c r="N289" t="s">
        <v>3800</v>
      </c>
      <c r="O289" t="s">
        <v>74</v>
      </c>
      <c r="P289" t="s">
        <v>74</v>
      </c>
      <c r="Q289" t="s">
        <v>74</v>
      </c>
      <c r="R289" t="s">
        <v>74</v>
      </c>
      <c r="S289" t="s">
        <v>74</v>
      </c>
      <c r="T289" t="s">
        <v>74</v>
      </c>
      <c r="U289" t="s">
        <v>74</v>
      </c>
      <c r="V289" t="s">
        <v>74</v>
      </c>
      <c r="W289" t="s">
        <v>5617</v>
      </c>
      <c r="X289" t="s">
        <v>5618</v>
      </c>
      <c r="Y289" t="s">
        <v>5619</v>
      </c>
      <c r="Z289" t="s">
        <v>5620</v>
      </c>
      <c r="AA289" t="s">
        <v>5621</v>
      </c>
      <c r="AB289" t="s">
        <v>5622</v>
      </c>
      <c r="AC289" t="s">
        <v>74</v>
      </c>
      <c r="AD289" t="s">
        <v>74</v>
      </c>
      <c r="AE289" t="s">
        <v>74</v>
      </c>
      <c r="AF289" t="s">
        <v>74</v>
      </c>
      <c r="AG289">
        <v>1</v>
      </c>
      <c r="AH289">
        <v>0</v>
      </c>
      <c r="AI289">
        <v>0</v>
      </c>
      <c r="AJ289">
        <v>0</v>
      </c>
      <c r="AK289">
        <v>0</v>
      </c>
      <c r="AL289" t="s">
        <v>1079</v>
      </c>
      <c r="AM289" t="s">
        <v>1080</v>
      </c>
      <c r="AN289" t="s">
        <v>1106</v>
      </c>
      <c r="AO289" t="s">
        <v>1082</v>
      </c>
      <c r="AP289" t="s">
        <v>1083</v>
      </c>
      <c r="AQ289" t="s">
        <v>74</v>
      </c>
      <c r="AR289" t="s">
        <v>1084</v>
      </c>
      <c r="AS289" t="s">
        <v>1085</v>
      </c>
      <c r="AT289" t="s">
        <v>718</v>
      </c>
      <c r="AU289">
        <v>2019</v>
      </c>
      <c r="AV289">
        <v>42</v>
      </c>
      <c r="AW289">
        <v>1</v>
      </c>
      <c r="AX289" t="s">
        <v>74</v>
      </c>
      <c r="AY289" t="s">
        <v>74</v>
      </c>
      <c r="AZ289" t="s">
        <v>74</v>
      </c>
      <c r="BA289" t="s">
        <v>74</v>
      </c>
      <c r="BB289">
        <v>131</v>
      </c>
      <c r="BC289">
        <v>132</v>
      </c>
      <c r="BD289" t="s">
        <v>74</v>
      </c>
      <c r="BE289" t="s">
        <v>5630</v>
      </c>
      <c r="BF289" t="str">
        <f>HYPERLINK("http://dx.doi.org/10.1007/s00300-018-2422-2","http://dx.doi.org/10.1007/s00300-018-2422-2")</f>
        <v>http://dx.doi.org/10.1007/s00300-018-2422-2</v>
      </c>
      <c r="BG289" t="s">
        <v>74</v>
      </c>
      <c r="BH289" t="s">
        <v>74</v>
      </c>
      <c r="BI289">
        <v>2</v>
      </c>
      <c r="BJ289" t="s">
        <v>1087</v>
      </c>
      <c r="BK289" t="s">
        <v>101</v>
      </c>
      <c r="BL289" t="s">
        <v>102</v>
      </c>
      <c r="BM289" t="s">
        <v>5609</v>
      </c>
      <c r="BN289" t="s">
        <v>74</v>
      </c>
      <c r="BO289" t="s">
        <v>162</v>
      </c>
      <c r="BP289" t="s">
        <v>74</v>
      </c>
      <c r="BQ289" t="s">
        <v>74</v>
      </c>
      <c r="BR289" t="s">
        <v>104</v>
      </c>
      <c r="BS289" t="s">
        <v>5631</v>
      </c>
      <c r="BT289" t="str">
        <f>HYPERLINK("https%3A%2F%2Fwww.webofscience.com%2Fwos%2Fwoscc%2Ffull-record%2FWOS:000455301900009","View Full Record in Web of Science")</f>
        <v>View Full Record in Web of Science</v>
      </c>
    </row>
    <row r="290" spans="1:72" x14ac:dyDescent="0.15">
      <c r="A290" t="s">
        <v>72</v>
      </c>
      <c r="B290" t="s">
        <v>5632</v>
      </c>
      <c r="C290" t="s">
        <v>74</v>
      </c>
      <c r="D290" t="s">
        <v>74</v>
      </c>
      <c r="E290" t="s">
        <v>74</v>
      </c>
      <c r="F290" t="s">
        <v>5633</v>
      </c>
      <c r="G290" t="s">
        <v>74</v>
      </c>
      <c r="H290" t="s">
        <v>74</v>
      </c>
      <c r="I290" t="s">
        <v>5634</v>
      </c>
      <c r="J290" t="s">
        <v>1067</v>
      </c>
      <c r="K290" t="s">
        <v>74</v>
      </c>
      <c r="L290" t="s">
        <v>74</v>
      </c>
      <c r="M290" t="s">
        <v>78</v>
      </c>
      <c r="N290" t="s">
        <v>79</v>
      </c>
      <c r="O290" t="s">
        <v>74</v>
      </c>
      <c r="P290" t="s">
        <v>74</v>
      </c>
      <c r="Q290" t="s">
        <v>74</v>
      </c>
      <c r="R290" t="s">
        <v>74</v>
      </c>
      <c r="S290" t="s">
        <v>74</v>
      </c>
      <c r="T290" t="s">
        <v>5635</v>
      </c>
      <c r="U290" t="s">
        <v>5636</v>
      </c>
      <c r="V290" t="s">
        <v>5637</v>
      </c>
      <c r="W290" t="s">
        <v>5638</v>
      </c>
      <c r="X290" t="s">
        <v>5639</v>
      </c>
      <c r="Y290" t="s">
        <v>5640</v>
      </c>
      <c r="Z290" t="s">
        <v>5641</v>
      </c>
      <c r="AA290" t="s">
        <v>5642</v>
      </c>
      <c r="AB290" t="s">
        <v>5643</v>
      </c>
      <c r="AC290" t="s">
        <v>5644</v>
      </c>
      <c r="AD290" t="s">
        <v>5645</v>
      </c>
      <c r="AE290" t="s">
        <v>5646</v>
      </c>
      <c r="AF290" t="s">
        <v>74</v>
      </c>
      <c r="AG290">
        <v>73</v>
      </c>
      <c r="AH290">
        <v>15</v>
      </c>
      <c r="AI290">
        <v>16</v>
      </c>
      <c r="AJ290">
        <v>2</v>
      </c>
      <c r="AK290">
        <v>25</v>
      </c>
      <c r="AL290" t="s">
        <v>1079</v>
      </c>
      <c r="AM290" t="s">
        <v>1080</v>
      </c>
      <c r="AN290" t="s">
        <v>1106</v>
      </c>
      <c r="AO290" t="s">
        <v>1082</v>
      </c>
      <c r="AP290" t="s">
        <v>1083</v>
      </c>
      <c r="AQ290" t="s">
        <v>74</v>
      </c>
      <c r="AR290" t="s">
        <v>1084</v>
      </c>
      <c r="AS290" t="s">
        <v>1085</v>
      </c>
      <c r="AT290" t="s">
        <v>718</v>
      </c>
      <c r="AU290">
        <v>2019</v>
      </c>
      <c r="AV290">
        <v>42</v>
      </c>
      <c r="AW290">
        <v>1</v>
      </c>
      <c r="AX290" t="s">
        <v>74</v>
      </c>
      <c r="AY290" t="s">
        <v>74</v>
      </c>
      <c r="AZ290" t="s">
        <v>74</v>
      </c>
      <c r="BA290" t="s">
        <v>74</v>
      </c>
      <c r="BB290">
        <v>149</v>
      </c>
      <c r="BC290">
        <v>157</v>
      </c>
      <c r="BD290" t="s">
        <v>74</v>
      </c>
      <c r="BE290" t="s">
        <v>5647</v>
      </c>
      <c r="BF290" t="str">
        <f>HYPERLINK("http://dx.doi.org/10.1007/s00300-018-2409-z","http://dx.doi.org/10.1007/s00300-018-2409-z")</f>
        <v>http://dx.doi.org/10.1007/s00300-018-2409-z</v>
      </c>
      <c r="BG290" t="s">
        <v>74</v>
      </c>
      <c r="BH290" t="s">
        <v>74</v>
      </c>
      <c r="BI290">
        <v>9</v>
      </c>
      <c r="BJ290" t="s">
        <v>1087</v>
      </c>
      <c r="BK290" t="s">
        <v>101</v>
      </c>
      <c r="BL290" t="s">
        <v>102</v>
      </c>
      <c r="BM290" t="s">
        <v>5609</v>
      </c>
      <c r="BN290" t="s">
        <v>74</v>
      </c>
      <c r="BO290" t="s">
        <v>3810</v>
      </c>
      <c r="BP290" t="s">
        <v>74</v>
      </c>
      <c r="BQ290" t="s">
        <v>74</v>
      </c>
      <c r="BR290" t="s">
        <v>104</v>
      </c>
      <c r="BS290" t="s">
        <v>5648</v>
      </c>
      <c r="BT290" t="str">
        <f>HYPERLINK("https%3A%2F%2Fwww.webofscience.com%2Fwos%2Fwoscc%2Ffull-record%2FWOS:000455301900011","View Full Record in Web of Science")</f>
        <v>View Full Record in Web of Science</v>
      </c>
    </row>
    <row r="291" spans="1:72" x14ac:dyDescent="0.15">
      <c r="A291" t="s">
        <v>72</v>
      </c>
      <c r="B291" t="s">
        <v>5649</v>
      </c>
      <c r="C291" t="s">
        <v>74</v>
      </c>
      <c r="D291" t="s">
        <v>74</v>
      </c>
      <c r="E291" t="s">
        <v>74</v>
      </c>
      <c r="F291" t="s">
        <v>5650</v>
      </c>
      <c r="G291" t="s">
        <v>74</v>
      </c>
      <c r="H291" t="s">
        <v>74</v>
      </c>
      <c r="I291" t="s">
        <v>5651</v>
      </c>
      <c r="J291" t="s">
        <v>1067</v>
      </c>
      <c r="K291" t="s">
        <v>74</v>
      </c>
      <c r="L291" t="s">
        <v>74</v>
      </c>
      <c r="M291" t="s">
        <v>78</v>
      </c>
      <c r="N291" t="s">
        <v>79</v>
      </c>
      <c r="O291" t="s">
        <v>74</v>
      </c>
      <c r="P291" t="s">
        <v>74</v>
      </c>
      <c r="Q291" t="s">
        <v>74</v>
      </c>
      <c r="R291" t="s">
        <v>74</v>
      </c>
      <c r="S291" t="s">
        <v>74</v>
      </c>
      <c r="T291" t="s">
        <v>5652</v>
      </c>
      <c r="U291" t="s">
        <v>5653</v>
      </c>
      <c r="V291" t="s">
        <v>5654</v>
      </c>
      <c r="W291" t="s">
        <v>5655</v>
      </c>
      <c r="X291" t="s">
        <v>5656</v>
      </c>
      <c r="Y291" t="s">
        <v>5657</v>
      </c>
      <c r="Z291" t="s">
        <v>5658</v>
      </c>
      <c r="AA291" t="s">
        <v>5659</v>
      </c>
      <c r="AB291" t="s">
        <v>5660</v>
      </c>
      <c r="AC291" t="s">
        <v>5661</v>
      </c>
      <c r="AD291" t="s">
        <v>5662</v>
      </c>
      <c r="AE291" t="s">
        <v>5663</v>
      </c>
      <c r="AF291" t="s">
        <v>74</v>
      </c>
      <c r="AG291">
        <v>55</v>
      </c>
      <c r="AH291">
        <v>14</v>
      </c>
      <c r="AI291">
        <v>16</v>
      </c>
      <c r="AJ291">
        <v>1</v>
      </c>
      <c r="AK291">
        <v>33</v>
      </c>
      <c r="AL291" t="s">
        <v>1079</v>
      </c>
      <c r="AM291" t="s">
        <v>1080</v>
      </c>
      <c r="AN291" t="s">
        <v>1106</v>
      </c>
      <c r="AO291" t="s">
        <v>1082</v>
      </c>
      <c r="AP291" t="s">
        <v>1083</v>
      </c>
      <c r="AQ291" t="s">
        <v>74</v>
      </c>
      <c r="AR291" t="s">
        <v>1084</v>
      </c>
      <c r="AS291" t="s">
        <v>1085</v>
      </c>
      <c r="AT291" t="s">
        <v>718</v>
      </c>
      <c r="AU291">
        <v>2019</v>
      </c>
      <c r="AV291">
        <v>42</v>
      </c>
      <c r="AW291">
        <v>1</v>
      </c>
      <c r="AX291" t="s">
        <v>74</v>
      </c>
      <c r="AY291" t="s">
        <v>74</v>
      </c>
      <c r="AZ291" t="s">
        <v>74</v>
      </c>
      <c r="BA291" t="s">
        <v>74</v>
      </c>
      <c r="BB291">
        <v>159</v>
      </c>
      <c r="BC291">
        <v>169</v>
      </c>
      <c r="BD291" t="s">
        <v>74</v>
      </c>
      <c r="BE291" t="s">
        <v>5664</v>
      </c>
      <c r="BF291" t="str">
        <f>HYPERLINK("http://dx.doi.org/10.1007/s00300-018-2411-5","http://dx.doi.org/10.1007/s00300-018-2411-5")</f>
        <v>http://dx.doi.org/10.1007/s00300-018-2411-5</v>
      </c>
      <c r="BG291" t="s">
        <v>74</v>
      </c>
      <c r="BH291" t="s">
        <v>74</v>
      </c>
      <c r="BI291">
        <v>11</v>
      </c>
      <c r="BJ291" t="s">
        <v>1087</v>
      </c>
      <c r="BK291" t="s">
        <v>101</v>
      </c>
      <c r="BL291" t="s">
        <v>102</v>
      </c>
      <c r="BM291" t="s">
        <v>5609</v>
      </c>
      <c r="BN291" t="s">
        <v>74</v>
      </c>
      <c r="BO291" t="s">
        <v>74</v>
      </c>
      <c r="BP291" t="s">
        <v>74</v>
      </c>
      <c r="BQ291" t="s">
        <v>74</v>
      </c>
      <c r="BR291" t="s">
        <v>104</v>
      </c>
      <c r="BS291" t="s">
        <v>5665</v>
      </c>
      <c r="BT291" t="str">
        <f>HYPERLINK("https%3A%2F%2Fwww.webofscience.com%2Fwos%2Fwoscc%2Ffull-record%2FWOS:000455301900012","View Full Record in Web of Science")</f>
        <v>View Full Record in Web of Science</v>
      </c>
    </row>
    <row r="292" spans="1:72" x14ac:dyDescent="0.15">
      <c r="A292" t="s">
        <v>72</v>
      </c>
      <c r="B292" t="s">
        <v>5666</v>
      </c>
      <c r="C292" t="s">
        <v>74</v>
      </c>
      <c r="D292" t="s">
        <v>74</v>
      </c>
      <c r="E292" t="s">
        <v>74</v>
      </c>
      <c r="F292" t="s">
        <v>5667</v>
      </c>
      <c r="G292" t="s">
        <v>74</v>
      </c>
      <c r="H292" t="s">
        <v>74</v>
      </c>
      <c r="I292" t="s">
        <v>5668</v>
      </c>
      <c r="J292" t="s">
        <v>1067</v>
      </c>
      <c r="K292" t="s">
        <v>74</v>
      </c>
      <c r="L292" t="s">
        <v>74</v>
      </c>
      <c r="M292" t="s">
        <v>78</v>
      </c>
      <c r="N292" t="s">
        <v>79</v>
      </c>
      <c r="O292" t="s">
        <v>74</v>
      </c>
      <c r="P292" t="s">
        <v>74</v>
      </c>
      <c r="Q292" t="s">
        <v>74</v>
      </c>
      <c r="R292" t="s">
        <v>74</v>
      </c>
      <c r="S292" t="s">
        <v>74</v>
      </c>
      <c r="T292" t="s">
        <v>5669</v>
      </c>
      <c r="U292" t="s">
        <v>5670</v>
      </c>
      <c r="V292" t="s">
        <v>5671</v>
      </c>
      <c r="W292" t="s">
        <v>5672</v>
      </c>
      <c r="X292" t="s">
        <v>5673</v>
      </c>
      <c r="Y292" t="s">
        <v>5674</v>
      </c>
      <c r="Z292" t="s">
        <v>5675</v>
      </c>
      <c r="AA292" t="s">
        <v>5676</v>
      </c>
      <c r="AB292" t="s">
        <v>5677</v>
      </c>
      <c r="AC292" t="s">
        <v>5678</v>
      </c>
      <c r="AD292" t="s">
        <v>5679</v>
      </c>
      <c r="AE292" t="s">
        <v>5680</v>
      </c>
      <c r="AF292" t="s">
        <v>74</v>
      </c>
      <c r="AG292">
        <v>40</v>
      </c>
      <c r="AH292">
        <v>7</v>
      </c>
      <c r="AI292">
        <v>7</v>
      </c>
      <c r="AJ292">
        <v>0</v>
      </c>
      <c r="AK292">
        <v>3</v>
      </c>
      <c r="AL292" t="s">
        <v>1079</v>
      </c>
      <c r="AM292" t="s">
        <v>1080</v>
      </c>
      <c r="AN292" t="s">
        <v>1106</v>
      </c>
      <c r="AO292" t="s">
        <v>1082</v>
      </c>
      <c r="AP292" t="s">
        <v>1083</v>
      </c>
      <c r="AQ292" t="s">
        <v>74</v>
      </c>
      <c r="AR292" t="s">
        <v>1084</v>
      </c>
      <c r="AS292" t="s">
        <v>1085</v>
      </c>
      <c r="AT292" t="s">
        <v>718</v>
      </c>
      <c r="AU292">
        <v>2019</v>
      </c>
      <c r="AV292">
        <v>42</v>
      </c>
      <c r="AW292">
        <v>1</v>
      </c>
      <c r="AX292" t="s">
        <v>74</v>
      </c>
      <c r="AY292" t="s">
        <v>74</v>
      </c>
      <c r="AZ292" t="s">
        <v>74</v>
      </c>
      <c r="BA292" t="s">
        <v>74</v>
      </c>
      <c r="BB292">
        <v>171</v>
      </c>
      <c r="BC292">
        <v>178</v>
      </c>
      <c r="BD292" t="s">
        <v>74</v>
      </c>
      <c r="BE292" t="s">
        <v>5681</v>
      </c>
      <c r="BF292" t="str">
        <f>HYPERLINK("http://dx.doi.org/10.1007/s00300-018-2412-4","http://dx.doi.org/10.1007/s00300-018-2412-4")</f>
        <v>http://dx.doi.org/10.1007/s00300-018-2412-4</v>
      </c>
      <c r="BG292" t="s">
        <v>74</v>
      </c>
      <c r="BH292" t="s">
        <v>74</v>
      </c>
      <c r="BI292">
        <v>8</v>
      </c>
      <c r="BJ292" t="s">
        <v>1087</v>
      </c>
      <c r="BK292" t="s">
        <v>101</v>
      </c>
      <c r="BL292" t="s">
        <v>102</v>
      </c>
      <c r="BM292" t="s">
        <v>5609</v>
      </c>
      <c r="BN292" t="s">
        <v>74</v>
      </c>
      <c r="BO292" t="s">
        <v>74</v>
      </c>
      <c r="BP292" t="s">
        <v>74</v>
      </c>
      <c r="BQ292" t="s">
        <v>74</v>
      </c>
      <c r="BR292" t="s">
        <v>104</v>
      </c>
      <c r="BS292" t="s">
        <v>5682</v>
      </c>
      <c r="BT292" t="str">
        <f>HYPERLINK("https%3A%2F%2Fwww.webofscience.com%2Fwos%2Fwoscc%2Ffull-record%2FWOS:000455301900013","View Full Record in Web of Science")</f>
        <v>View Full Record in Web of Science</v>
      </c>
    </row>
    <row r="293" spans="1:72" x14ac:dyDescent="0.15">
      <c r="A293" t="s">
        <v>72</v>
      </c>
      <c r="B293" t="s">
        <v>5683</v>
      </c>
      <c r="C293" t="s">
        <v>74</v>
      </c>
      <c r="D293" t="s">
        <v>74</v>
      </c>
      <c r="E293" t="s">
        <v>74</v>
      </c>
      <c r="F293" t="s">
        <v>5684</v>
      </c>
      <c r="G293" t="s">
        <v>74</v>
      </c>
      <c r="H293" t="s">
        <v>74</v>
      </c>
      <c r="I293" t="s">
        <v>5685</v>
      </c>
      <c r="J293" t="s">
        <v>1067</v>
      </c>
      <c r="K293" t="s">
        <v>74</v>
      </c>
      <c r="L293" t="s">
        <v>74</v>
      </c>
      <c r="M293" t="s">
        <v>78</v>
      </c>
      <c r="N293" t="s">
        <v>79</v>
      </c>
      <c r="O293" t="s">
        <v>74</v>
      </c>
      <c r="P293" t="s">
        <v>74</v>
      </c>
      <c r="Q293" t="s">
        <v>74</v>
      </c>
      <c r="R293" t="s">
        <v>74</v>
      </c>
      <c r="S293" t="s">
        <v>74</v>
      </c>
      <c r="T293" t="s">
        <v>5686</v>
      </c>
      <c r="U293" t="s">
        <v>5687</v>
      </c>
      <c r="V293" t="s">
        <v>5688</v>
      </c>
      <c r="W293" t="s">
        <v>5689</v>
      </c>
      <c r="X293" t="s">
        <v>5690</v>
      </c>
      <c r="Y293" t="s">
        <v>5691</v>
      </c>
      <c r="Z293" t="s">
        <v>5692</v>
      </c>
      <c r="AA293" t="s">
        <v>5693</v>
      </c>
      <c r="AB293" t="s">
        <v>5694</v>
      </c>
      <c r="AC293" t="s">
        <v>5695</v>
      </c>
      <c r="AD293" t="s">
        <v>5696</v>
      </c>
      <c r="AE293" t="s">
        <v>5697</v>
      </c>
      <c r="AF293" t="s">
        <v>74</v>
      </c>
      <c r="AG293">
        <v>52</v>
      </c>
      <c r="AH293">
        <v>32</v>
      </c>
      <c r="AI293">
        <v>35</v>
      </c>
      <c r="AJ293">
        <v>1</v>
      </c>
      <c r="AK293">
        <v>23</v>
      </c>
      <c r="AL293" t="s">
        <v>1079</v>
      </c>
      <c r="AM293" t="s">
        <v>1080</v>
      </c>
      <c r="AN293" t="s">
        <v>1106</v>
      </c>
      <c r="AO293" t="s">
        <v>1082</v>
      </c>
      <c r="AP293" t="s">
        <v>1083</v>
      </c>
      <c r="AQ293" t="s">
        <v>74</v>
      </c>
      <c r="AR293" t="s">
        <v>1084</v>
      </c>
      <c r="AS293" t="s">
        <v>1085</v>
      </c>
      <c r="AT293" t="s">
        <v>718</v>
      </c>
      <c r="AU293">
        <v>2019</v>
      </c>
      <c r="AV293">
        <v>42</v>
      </c>
      <c r="AW293">
        <v>1</v>
      </c>
      <c r="AX293" t="s">
        <v>74</v>
      </c>
      <c r="AY293" t="s">
        <v>74</v>
      </c>
      <c r="AZ293" t="s">
        <v>74</v>
      </c>
      <c r="BA293" t="s">
        <v>74</v>
      </c>
      <c r="BB293">
        <v>217</v>
      </c>
      <c r="BC293">
        <v>224</v>
      </c>
      <c r="BD293" t="s">
        <v>74</v>
      </c>
      <c r="BE293" t="s">
        <v>5698</v>
      </c>
      <c r="BF293" t="str">
        <f>HYPERLINK("http://dx.doi.org/10.1007/s00300-018-2379-1","http://dx.doi.org/10.1007/s00300-018-2379-1")</f>
        <v>http://dx.doi.org/10.1007/s00300-018-2379-1</v>
      </c>
      <c r="BG293" t="s">
        <v>74</v>
      </c>
      <c r="BH293" t="s">
        <v>74</v>
      </c>
      <c r="BI293">
        <v>8</v>
      </c>
      <c r="BJ293" t="s">
        <v>1087</v>
      </c>
      <c r="BK293" t="s">
        <v>101</v>
      </c>
      <c r="BL293" t="s">
        <v>102</v>
      </c>
      <c r="BM293" t="s">
        <v>5609</v>
      </c>
      <c r="BN293" t="s">
        <v>74</v>
      </c>
      <c r="BO293" t="s">
        <v>4426</v>
      </c>
      <c r="BP293" t="s">
        <v>74</v>
      </c>
      <c r="BQ293" t="s">
        <v>74</v>
      </c>
      <c r="BR293" t="s">
        <v>104</v>
      </c>
      <c r="BS293" t="s">
        <v>5699</v>
      </c>
      <c r="BT293" t="str">
        <f>HYPERLINK("https%3A%2F%2Fwww.webofscience.com%2Fwos%2Fwoscc%2Ffull-record%2FWOS:000455301900016","View Full Record in Web of Science")</f>
        <v>View Full Record in Web of Science</v>
      </c>
    </row>
    <row r="294" spans="1:72" x14ac:dyDescent="0.15">
      <c r="A294" t="s">
        <v>72</v>
      </c>
      <c r="B294" t="s">
        <v>5700</v>
      </c>
      <c r="C294" t="s">
        <v>74</v>
      </c>
      <c r="D294" t="s">
        <v>74</v>
      </c>
      <c r="E294" t="s">
        <v>74</v>
      </c>
      <c r="F294" t="s">
        <v>5701</v>
      </c>
      <c r="G294" t="s">
        <v>74</v>
      </c>
      <c r="H294" t="s">
        <v>74</v>
      </c>
      <c r="I294" t="s">
        <v>5702</v>
      </c>
      <c r="J294" t="s">
        <v>1067</v>
      </c>
      <c r="K294" t="s">
        <v>74</v>
      </c>
      <c r="L294" t="s">
        <v>74</v>
      </c>
      <c r="M294" t="s">
        <v>78</v>
      </c>
      <c r="N294" t="s">
        <v>79</v>
      </c>
      <c r="O294" t="s">
        <v>74</v>
      </c>
      <c r="P294" t="s">
        <v>74</v>
      </c>
      <c r="Q294" t="s">
        <v>74</v>
      </c>
      <c r="R294" t="s">
        <v>74</v>
      </c>
      <c r="S294" t="s">
        <v>74</v>
      </c>
      <c r="T294" t="s">
        <v>5703</v>
      </c>
      <c r="U294" t="s">
        <v>5704</v>
      </c>
      <c r="V294" t="s">
        <v>5705</v>
      </c>
      <c r="W294" t="s">
        <v>5706</v>
      </c>
      <c r="X294" t="s">
        <v>3057</v>
      </c>
      <c r="Y294" t="s">
        <v>1178</v>
      </c>
      <c r="Z294" t="s">
        <v>1179</v>
      </c>
      <c r="AA294" t="s">
        <v>5707</v>
      </c>
      <c r="AB294" t="s">
        <v>5708</v>
      </c>
      <c r="AC294" t="s">
        <v>74</v>
      </c>
      <c r="AD294" t="s">
        <v>74</v>
      </c>
      <c r="AE294" t="s">
        <v>74</v>
      </c>
      <c r="AF294" t="s">
        <v>74</v>
      </c>
      <c r="AG294">
        <v>19</v>
      </c>
      <c r="AH294">
        <v>9</v>
      </c>
      <c r="AI294">
        <v>9</v>
      </c>
      <c r="AJ294">
        <v>1</v>
      </c>
      <c r="AK294">
        <v>5</v>
      </c>
      <c r="AL294" t="s">
        <v>1079</v>
      </c>
      <c r="AM294" t="s">
        <v>1080</v>
      </c>
      <c r="AN294" t="s">
        <v>1106</v>
      </c>
      <c r="AO294" t="s">
        <v>1082</v>
      </c>
      <c r="AP294" t="s">
        <v>1083</v>
      </c>
      <c r="AQ294" t="s">
        <v>74</v>
      </c>
      <c r="AR294" t="s">
        <v>1084</v>
      </c>
      <c r="AS294" t="s">
        <v>1085</v>
      </c>
      <c r="AT294" t="s">
        <v>718</v>
      </c>
      <c r="AU294">
        <v>2019</v>
      </c>
      <c r="AV294">
        <v>42</v>
      </c>
      <c r="AW294">
        <v>1</v>
      </c>
      <c r="AX294" t="s">
        <v>74</v>
      </c>
      <c r="AY294" t="s">
        <v>74</v>
      </c>
      <c r="AZ294" t="s">
        <v>74</v>
      </c>
      <c r="BA294" t="s">
        <v>74</v>
      </c>
      <c r="BB294">
        <v>231</v>
      </c>
      <c r="BC294">
        <v>235</v>
      </c>
      <c r="BD294" t="s">
        <v>74</v>
      </c>
      <c r="BE294" t="s">
        <v>5709</v>
      </c>
      <c r="BF294" t="str">
        <f>HYPERLINK("http://dx.doi.org/10.1007/s00300-018-2406-2","http://dx.doi.org/10.1007/s00300-018-2406-2")</f>
        <v>http://dx.doi.org/10.1007/s00300-018-2406-2</v>
      </c>
      <c r="BG294" t="s">
        <v>74</v>
      </c>
      <c r="BH294" t="s">
        <v>74</v>
      </c>
      <c r="BI294">
        <v>5</v>
      </c>
      <c r="BJ294" t="s">
        <v>1087</v>
      </c>
      <c r="BK294" t="s">
        <v>101</v>
      </c>
      <c r="BL294" t="s">
        <v>102</v>
      </c>
      <c r="BM294" t="s">
        <v>5609</v>
      </c>
      <c r="BN294" t="s">
        <v>74</v>
      </c>
      <c r="BO294" t="s">
        <v>404</v>
      </c>
      <c r="BP294" t="s">
        <v>74</v>
      </c>
      <c r="BQ294" t="s">
        <v>74</v>
      </c>
      <c r="BR294" t="s">
        <v>104</v>
      </c>
      <c r="BS294" t="s">
        <v>5710</v>
      </c>
      <c r="BT294" t="str">
        <f>HYPERLINK("https%3A%2F%2Fwww.webofscience.com%2Fwos%2Fwoscc%2Ffull-record%2FWOS:000455301900018","View Full Record in Web of Science")</f>
        <v>View Full Record in Web of Science</v>
      </c>
    </row>
    <row r="295" spans="1:72" x14ac:dyDescent="0.15">
      <c r="A295" t="s">
        <v>72</v>
      </c>
      <c r="B295" t="s">
        <v>5711</v>
      </c>
      <c r="C295" t="s">
        <v>74</v>
      </c>
      <c r="D295" t="s">
        <v>74</v>
      </c>
      <c r="E295" t="s">
        <v>74</v>
      </c>
      <c r="F295" t="s">
        <v>5712</v>
      </c>
      <c r="G295" t="s">
        <v>74</v>
      </c>
      <c r="H295" t="s">
        <v>74</v>
      </c>
      <c r="I295" t="s">
        <v>5713</v>
      </c>
      <c r="J295" t="s">
        <v>5714</v>
      </c>
      <c r="K295" t="s">
        <v>74</v>
      </c>
      <c r="L295" t="s">
        <v>74</v>
      </c>
      <c r="M295" t="s">
        <v>78</v>
      </c>
      <c r="N295" t="s">
        <v>79</v>
      </c>
      <c r="O295" t="s">
        <v>74</v>
      </c>
      <c r="P295" t="s">
        <v>74</v>
      </c>
      <c r="Q295" t="s">
        <v>74</v>
      </c>
      <c r="R295" t="s">
        <v>74</v>
      </c>
      <c r="S295" t="s">
        <v>74</v>
      </c>
      <c r="T295" t="s">
        <v>5715</v>
      </c>
      <c r="U295" t="s">
        <v>5716</v>
      </c>
      <c r="V295" t="s">
        <v>5717</v>
      </c>
      <c r="W295" t="s">
        <v>5718</v>
      </c>
      <c r="X295" t="s">
        <v>5719</v>
      </c>
      <c r="Y295" t="s">
        <v>5720</v>
      </c>
      <c r="Z295" t="s">
        <v>5721</v>
      </c>
      <c r="AA295" t="s">
        <v>5722</v>
      </c>
      <c r="AB295" t="s">
        <v>5723</v>
      </c>
      <c r="AC295" t="s">
        <v>5724</v>
      </c>
      <c r="AD295" t="s">
        <v>5725</v>
      </c>
      <c r="AE295" t="s">
        <v>5726</v>
      </c>
      <c r="AF295" t="s">
        <v>74</v>
      </c>
      <c r="AG295">
        <v>81</v>
      </c>
      <c r="AH295">
        <v>50</v>
      </c>
      <c r="AI295">
        <v>53</v>
      </c>
      <c r="AJ295">
        <v>0</v>
      </c>
      <c r="AK295">
        <v>12</v>
      </c>
      <c r="AL295" t="s">
        <v>3352</v>
      </c>
      <c r="AM295" t="s">
        <v>3353</v>
      </c>
      <c r="AN295" t="s">
        <v>3354</v>
      </c>
      <c r="AO295" t="s">
        <v>5727</v>
      </c>
      <c r="AP295" t="s">
        <v>74</v>
      </c>
      <c r="AQ295" t="s">
        <v>74</v>
      </c>
      <c r="AR295" t="s">
        <v>5728</v>
      </c>
      <c r="AS295" t="s">
        <v>5729</v>
      </c>
      <c r="AT295" t="s">
        <v>3269</v>
      </c>
      <c r="AU295">
        <v>2019</v>
      </c>
      <c r="AV295">
        <v>203</v>
      </c>
      <c r="AW295" t="s">
        <v>74</v>
      </c>
      <c r="AX295" t="s">
        <v>74</v>
      </c>
      <c r="AY295" t="s">
        <v>74</v>
      </c>
      <c r="AZ295" t="s">
        <v>74</v>
      </c>
      <c r="BA295" t="s">
        <v>74</v>
      </c>
      <c r="BB295">
        <v>102</v>
      </c>
      <c r="BC295">
        <v>127</v>
      </c>
      <c r="BD295" t="s">
        <v>74</v>
      </c>
      <c r="BE295" t="s">
        <v>5730</v>
      </c>
      <c r="BF295" t="str">
        <f>HYPERLINK("http://dx.doi.org/10.1016/j.quascirev.2018.10.036","http://dx.doi.org/10.1016/j.quascirev.2018.10.036")</f>
        <v>http://dx.doi.org/10.1016/j.quascirev.2018.10.036</v>
      </c>
      <c r="BG295" t="s">
        <v>74</v>
      </c>
      <c r="BH295" t="s">
        <v>74</v>
      </c>
      <c r="BI295">
        <v>26</v>
      </c>
      <c r="BJ295" t="s">
        <v>1480</v>
      </c>
      <c r="BK295" t="s">
        <v>101</v>
      </c>
      <c r="BL295" t="s">
        <v>1481</v>
      </c>
      <c r="BM295" t="s">
        <v>5731</v>
      </c>
      <c r="BN295" t="s">
        <v>74</v>
      </c>
      <c r="BO295" t="s">
        <v>5627</v>
      </c>
      <c r="BP295" t="s">
        <v>74</v>
      </c>
      <c r="BQ295" t="s">
        <v>74</v>
      </c>
      <c r="BR295" t="s">
        <v>104</v>
      </c>
      <c r="BS295" t="s">
        <v>5732</v>
      </c>
      <c r="BT295" t="str">
        <f>HYPERLINK("https%3A%2F%2Fwww.webofscience.com%2Fwos%2Fwoscc%2Ffull-record%2FWOS:000454965400007","View Full Record in Web of Science")</f>
        <v>View Full Record in Web of Science</v>
      </c>
    </row>
    <row r="296" spans="1:72" x14ac:dyDescent="0.15">
      <c r="A296" t="s">
        <v>72</v>
      </c>
      <c r="B296" t="s">
        <v>5733</v>
      </c>
      <c r="C296" t="s">
        <v>74</v>
      </c>
      <c r="D296" t="s">
        <v>74</v>
      </c>
      <c r="E296" t="s">
        <v>74</v>
      </c>
      <c r="F296" t="s">
        <v>5734</v>
      </c>
      <c r="G296" t="s">
        <v>74</v>
      </c>
      <c r="H296" t="s">
        <v>74</v>
      </c>
      <c r="I296" t="s">
        <v>5735</v>
      </c>
      <c r="J296" t="s">
        <v>5736</v>
      </c>
      <c r="K296" t="s">
        <v>74</v>
      </c>
      <c r="L296" t="s">
        <v>74</v>
      </c>
      <c r="M296" t="s">
        <v>78</v>
      </c>
      <c r="N296" t="s">
        <v>1003</v>
      </c>
      <c r="O296" t="s">
        <v>74</v>
      </c>
      <c r="P296" t="s">
        <v>74</v>
      </c>
      <c r="Q296" t="s">
        <v>74</v>
      </c>
      <c r="R296" t="s">
        <v>74</v>
      </c>
      <c r="S296" t="s">
        <v>74</v>
      </c>
      <c r="T296" t="s">
        <v>74</v>
      </c>
      <c r="U296" t="s">
        <v>5737</v>
      </c>
      <c r="V296" t="s">
        <v>5738</v>
      </c>
      <c r="W296" t="s">
        <v>5739</v>
      </c>
      <c r="X296" t="s">
        <v>5740</v>
      </c>
      <c r="Y296" t="s">
        <v>5741</v>
      </c>
      <c r="Z296" t="s">
        <v>5742</v>
      </c>
      <c r="AA296" t="s">
        <v>5743</v>
      </c>
      <c r="AB296" t="s">
        <v>5744</v>
      </c>
      <c r="AC296" t="s">
        <v>5745</v>
      </c>
      <c r="AD296" t="s">
        <v>5746</v>
      </c>
      <c r="AE296" t="s">
        <v>5747</v>
      </c>
      <c r="AF296" t="s">
        <v>74</v>
      </c>
      <c r="AG296">
        <v>101</v>
      </c>
      <c r="AH296">
        <v>57</v>
      </c>
      <c r="AI296">
        <v>59</v>
      </c>
      <c r="AJ296">
        <v>6</v>
      </c>
      <c r="AK296">
        <v>62</v>
      </c>
      <c r="AL296" t="s">
        <v>5748</v>
      </c>
      <c r="AM296" t="s">
        <v>3008</v>
      </c>
      <c r="AN296" t="s">
        <v>5749</v>
      </c>
      <c r="AO296" t="s">
        <v>5750</v>
      </c>
      <c r="AP296" t="s">
        <v>5751</v>
      </c>
      <c r="AQ296" t="s">
        <v>74</v>
      </c>
      <c r="AR296" t="s">
        <v>5752</v>
      </c>
      <c r="AS296" t="s">
        <v>5753</v>
      </c>
      <c r="AT296" t="s">
        <v>718</v>
      </c>
      <c r="AU296">
        <v>2019</v>
      </c>
      <c r="AV296">
        <v>34</v>
      </c>
      <c r="AW296">
        <v>1</v>
      </c>
      <c r="AX296" t="s">
        <v>74</v>
      </c>
      <c r="AY296" t="s">
        <v>74</v>
      </c>
      <c r="AZ296" t="s">
        <v>74</v>
      </c>
      <c r="BA296" t="s">
        <v>74</v>
      </c>
      <c r="BB296">
        <v>57</v>
      </c>
      <c r="BC296">
        <v>68</v>
      </c>
      <c r="BD296" t="s">
        <v>74</v>
      </c>
      <c r="BE296" t="s">
        <v>5754</v>
      </c>
      <c r="BF296" t="str">
        <f>HYPERLINK("http://dx.doi.org/10.1016/j.tree.2018.10.006","http://dx.doi.org/10.1016/j.tree.2018.10.006")</f>
        <v>http://dx.doi.org/10.1016/j.tree.2018.10.006</v>
      </c>
      <c r="BG296" t="s">
        <v>74</v>
      </c>
      <c r="BH296" t="s">
        <v>74</v>
      </c>
      <c r="BI296">
        <v>12</v>
      </c>
      <c r="BJ296" t="s">
        <v>5755</v>
      </c>
      <c r="BK296" t="s">
        <v>101</v>
      </c>
      <c r="BL296" t="s">
        <v>5756</v>
      </c>
      <c r="BM296" t="s">
        <v>5757</v>
      </c>
      <c r="BN296">
        <v>30514580</v>
      </c>
      <c r="BO296" t="s">
        <v>162</v>
      </c>
      <c r="BP296" t="s">
        <v>74</v>
      </c>
      <c r="BQ296" t="s">
        <v>74</v>
      </c>
      <c r="BR296" t="s">
        <v>104</v>
      </c>
      <c r="BS296" t="s">
        <v>5758</v>
      </c>
      <c r="BT296" t="str">
        <f>HYPERLINK("https%3A%2F%2Fwww.webofscience.com%2Fwos%2Fwoscc%2Ffull-record%2FWOS:000454871000005","View Full Record in Web of Science")</f>
        <v>View Full Record in Web of Science</v>
      </c>
    </row>
    <row r="297" spans="1:72" x14ac:dyDescent="0.15">
      <c r="A297" t="s">
        <v>72</v>
      </c>
      <c r="B297" t="s">
        <v>5759</v>
      </c>
      <c r="C297" t="s">
        <v>74</v>
      </c>
      <c r="D297" t="s">
        <v>74</v>
      </c>
      <c r="E297" t="s">
        <v>74</v>
      </c>
      <c r="F297" t="s">
        <v>5760</v>
      </c>
      <c r="G297" t="s">
        <v>74</v>
      </c>
      <c r="H297" t="s">
        <v>74</v>
      </c>
      <c r="I297" t="s">
        <v>5761</v>
      </c>
      <c r="J297" t="s">
        <v>5736</v>
      </c>
      <c r="K297" t="s">
        <v>74</v>
      </c>
      <c r="L297" t="s">
        <v>74</v>
      </c>
      <c r="M297" t="s">
        <v>78</v>
      </c>
      <c r="N297" t="s">
        <v>1003</v>
      </c>
      <c r="O297" t="s">
        <v>74</v>
      </c>
      <c r="P297" t="s">
        <v>74</v>
      </c>
      <c r="Q297" t="s">
        <v>74</v>
      </c>
      <c r="R297" t="s">
        <v>74</v>
      </c>
      <c r="S297" t="s">
        <v>74</v>
      </c>
      <c r="T297" t="s">
        <v>74</v>
      </c>
      <c r="U297" t="s">
        <v>5762</v>
      </c>
      <c r="V297" t="s">
        <v>5763</v>
      </c>
      <c r="W297" t="s">
        <v>5764</v>
      </c>
      <c r="X297" t="s">
        <v>5765</v>
      </c>
      <c r="Y297" t="s">
        <v>5766</v>
      </c>
      <c r="Z297" t="s">
        <v>5767</v>
      </c>
      <c r="AA297" t="s">
        <v>5768</v>
      </c>
      <c r="AB297" t="s">
        <v>5769</v>
      </c>
      <c r="AC297" t="s">
        <v>5770</v>
      </c>
      <c r="AD297" t="s">
        <v>5771</v>
      </c>
      <c r="AE297" t="s">
        <v>5772</v>
      </c>
      <c r="AF297" t="s">
        <v>74</v>
      </c>
      <c r="AG297">
        <v>60</v>
      </c>
      <c r="AH297">
        <v>32</v>
      </c>
      <c r="AI297">
        <v>36</v>
      </c>
      <c r="AJ297">
        <v>2</v>
      </c>
      <c r="AK297">
        <v>85</v>
      </c>
      <c r="AL297" t="s">
        <v>5748</v>
      </c>
      <c r="AM297" t="s">
        <v>3008</v>
      </c>
      <c r="AN297" t="s">
        <v>5749</v>
      </c>
      <c r="AO297" t="s">
        <v>5750</v>
      </c>
      <c r="AP297" t="s">
        <v>5751</v>
      </c>
      <c r="AQ297" t="s">
        <v>74</v>
      </c>
      <c r="AR297" t="s">
        <v>5752</v>
      </c>
      <c r="AS297" t="s">
        <v>5753</v>
      </c>
      <c r="AT297" t="s">
        <v>718</v>
      </c>
      <c r="AU297">
        <v>2019</v>
      </c>
      <c r="AV297">
        <v>34</v>
      </c>
      <c r="AW297">
        <v>1</v>
      </c>
      <c r="AX297" t="s">
        <v>74</v>
      </c>
      <c r="AY297" t="s">
        <v>74</v>
      </c>
      <c r="AZ297" t="s">
        <v>74</v>
      </c>
      <c r="BA297" t="s">
        <v>74</v>
      </c>
      <c r="BB297">
        <v>83</v>
      </c>
      <c r="BC297">
        <v>94</v>
      </c>
      <c r="BD297" t="s">
        <v>74</v>
      </c>
      <c r="BE297" t="s">
        <v>5773</v>
      </c>
      <c r="BF297" t="str">
        <f>HYPERLINK("http://dx.doi.org/10.1016/j.tree.2018.11.001","http://dx.doi.org/10.1016/j.tree.2018.11.001")</f>
        <v>http://dx.doi.org/10.1016/j.tree.2018.11.001</v>
      </c>
      <c r="BG297" t="s">
        <v>74</v>
      </c>
      <c r="BH297" t="s">
        <v>74</v>
      </c>
      <c r="BI297">
        <v>12</v>
      </c>
      <c r="BJ297" t="s">
        <v>5755</v>
      </c>
      <c r="BK297" t="s">
        <v>101</v>
      </c>
      <c r="BL297" t="s">
        <v>5756</v>
      </c>
      <c r="BM297" t="s">
        <v>5757</v>
      </c>
      <c r="BN297">
        <v>30554808</v>
      </c>
      <c r="BO297" t="s">
        <v>5774</v>
      </c>
      <c r="BP297" t="s">
        <v>74</v>
      </c>
      <c r="BQ297" t="s">
        <v>74</v>
      </c>
      <c r="BR297" t="s">
        <v>104</v>
      </c>
      <c r="BS297" t="s">
        <v>5775</v>
      </c>
      <c r="BT297" t="str">
        <f>HYPERLINK("https%3A%2F%2Fwww.webofscience.com%2Fwos%2Fwoscc%2Ffull-record%2FWOS:000454871000007","View Full Record in Web of Science")</f>
        <v>View Full Record in Web of Science</v>
      </c>
    </row>
    <row r="298" spans="1:72" x14ac:dyDescent="0.15">
      <c r="A298" t="s">
        <v>72</v>
      </c>
      <c r="B298" t="s">
        <v>5776</v>
      </c>
      <c r="C298" t="s">
        <v>74</v>
      </c>
      <c r="D298" t="s">
        <v>74</v>
      </c>
      <c r="E298" t="s">
        <v>74</v>
      </c>
      <c r="F298" t="s">
        <v>5777</v>
      </c>
      <c r="G298" t="s">
        <v>74</v>
      </c>
      <c r="H298" t="s">
        <v>74</v>
      </c>
      <c r="I298" t="s">
        <v>5778</v>
      </c>
      <c r="J298" t="s">
        <v>5779</v>
      </c>
      <c r="K298" t="s">
        <v>74</v>
      </c>
      <c r="L298" t="s">
        <v>74</v>
      </c>
      <c r="M298" t="s">
        <v>78</v>
      </c>
      <c r="N298" t="s">
        <v>79</v>
      </c>
      <c r="O298" t="s">
        <v>74</v>
      </c>
      <c r="P298" t="s">
        <v>74</v>
      </c>
      <c r="Q298" t="s">
        <v>74</v>
      </c>
      <c r="R298" t="s">
        <v>74</v>
      </c>
      <c r="S298" t="s">
        <v>74</v>
      </c>
      <c r="T298" t="s">
        <v>5780</v>
      </c>
      <c r="U298" t="s">
        <v>5781</v>
      </c>
      <c r="V298" t="s">
        <v>5782</v>
      </c>
      <c r="W298" t="s">
        <v>5783</v>
      </c>
      <c r="X298" t="s">
        <v>5784</v>
      </c>
      <c r="Y298" t="s">
        <v>5785</v>
      </c>
      <c r="Z298" t="s">
        <v>5786</v>
      </c>
      <c r="AA298" t="s">
        <v>5787</v>
      </c>
      <c r="AB298" t="s">
        <v>5788</v>
      </c>
      <c r="AC298" t="s">
        <v>5789</v>
      </c>
      <c r="AD298" t="s">
        <v>5790</v>
      </c>
      <c r="AE298" t="s">
        <v>5791</v>
      </c>
      <c r="AF298" t="s">
        <v>74</v>
      </c>
      <c r="AG298">
        <v>26</v>
      </c>
      <c r="AH298">
        <v>73</v>
      </c>
      <c r="AI298">
        <v>84</v>
      </c>
      <c r="AJ298">
        <v>1</v>
      </c>
      <c r="AK298">
        <v>38</v>
      </c>
      <c r="AL298" t="s">
        <v>3670</v>
      </c>
      <c r="AM298" t="s">
        <v>3671</v>
      </c>
      <c r="AN298" t="s">
        <v>3672</v>
      </c>
      <c r="AO298" t="s">
        <v>5792</v>
      </c>
      <c r="AP298" t="s">
        <v>5793</v>
      </c>
      <c r="AQ298" t="s">
        <v>74</v>
      </c>
      <c r="AR298" t="s">
        <v>5779</v>
      </c>
      <c r="AS298" t="s">
        <v>2400</v>
      </c>
      <c r="AT298" t="s">
        <v>718</v>
      </c>
      <c r="AU298">
        <v>2019</v>
      </c>
      <c r="AV298">
        <v>100</v>
      </c>
      <c r="AW298">
        <v>1</v>
      </c>
      <c r="AX298" t="s">
        <v>74</v>
      </c>
      <c r="AY298" t="s">
        <v>74</v>
      </c>
      <c r="AZ298" t="s">
        <v>74</v>
      </c>
      <c r="BA298" t="s">
        <v>74</v>
      </c>
      <c r="BB298" t="s">
        <v>74</v>
      </c>
      <c r="BC298" t="s">
        <v>74</v>
      </c>
      <c r="BD298" t="s">
        <v>5794</v>
      </c>
      <c r="BE298" t="s">
        <v>5795</v>
      </c>
      <c r="BF298" t="str">
        <f>HYPERLINK("http://dx.doi.org/10.1002/ecy.2566","http://dx.doi.org/10.1002/ecy.2566")</f>
        <v>http://dx.doi.org/10.1002/ecy.2566</v>
      </c>
      <c r="BG298" t="s">
        <v>74</v>
      </c>
      <c r="BH298" t="s">
        <v>74</v>
      </c>
      <c r="BI298">
        <v>8</v>
      </c>
      <c r="BJ298" t="s">
        <v>2400</v>
      </c>
      <c r="BK298" t="s">
        <v>101</v>
      </c>
      <c r="BL298" t="s">
        <v>799</v>
      </c>
      <c r="BM298" t="s">
        <v>5796</v>
      </c>
      <c r="BN298">
        <v>30467837</v>
      </c>
      <c r="BO298" t="s">
        <v>5797</v>
      </c>
      <c r="BP298" t="s">
        <v>74</v>
      </c>
      <c r="BQ298" t="s">
        <v>74</v>
      </c>
      <c r="BR298" t="s">
        <v>104</v>
      </c>
      <c r="BS298" t="s">
        <v>5798</v>
      </c>
      <c r="BT298" t="str">
        <f>HYPERLINK("https%3A%2F%2Fwww.webofscience.com%2Fwos%2Fwoscc%2Ffull-record%2FWOS:000454706400009","View Full Record in Web of Science")</f>
        <v>View Full Record in Web of Science</v>
      </c>
    </row>
    <row r="299" spans="1:72" x14ac:dyDescent="0.15">
      <c r="A299" t="s">
        <v>72</v>
      </c>
      <c r="B299" t="s">
        <v>5799</v>
      </c>
      <c r="C299" t="s">
        <v>74</v>
      </c>
      <c r="D299" t="s">
        <v>74</v>
      </c>
      <c r="E299" t="s">
        <v>74</v>
      </c>
      <c r="F299" t="s">
        <v>5800</v>
      </c>
      <c r="G299" t="s">
        <v>74</v>
      </c>
      <c r="H299" t="s">
        <v>74</v>
      </c>
      <c r="I299" t="s">
        <v>5801</v>
      </c>
      <c r="J299" t="s">
        <v>5802</v>
      </c>
      <c r="K299" t="s">
        <v>74</v>
      </c>
      <c r="L299" t="s">
        <v>74</v>
      </c>
      <c r="M299" t="s">
        <v>78</v>
      </c>
      <c r="N299" t="s">
        <v>79</v>
      </c>
      <c r="O299" t="s">
        <v>74</v>
      </c>
      <c r="P299" t="s">
        <v>74</v>
      </c>
      <c r="Q299" t="s">
        <v>74</v>
      </c>
      <c r="R299" t="s">
        <v>74</v>
      </c>
      <c r="S299" t="s">
        <v>74</v>
      </c>
      <c r="T299" t="s">
        <v>5803</v>
      </c>
      <c r="U299" t="s">
        <v>5804</v>
      </c>
      <c r="V299" t="s">
        <v>5805</v>
      </c>
      <c r="W299" t="s">
        <v>5806</v>
      </c>
      <c r="X299" t="s">
        <v>5807</v>
      </c>
      <c r="Y299" t="s">
        <v>5808</v>
      </c>
      <c r="Z299" t="s">
        <v>5809</v>
      </c>
      <c r="AA299" t="s">
        <v>74</v>
      </c>
      <c r="AB299" t="s">
        <v>5810</v>
      </c>
      <c r="AC299" t="s">
        <v>5811</v>
      </c>
      <c r="AD299" t="s">
        <v>5812</v>
      </c>
      <c r="AE299" t="s">
        <v>5813</v>
      </c>
      <c r="AF299" t="s">
        <v>74</v>
      </c>
      <c r="AG299">
        <v>83</v>
      </c>
      <c r="AH299">
        <v>29</v>
      </c>
      <c r="AI299">
        <v>32</v>
      </c>
      <c r="AJ299">
        <v>1</v>
      </c>
      <c r="AK299">
        <v>32</v>
      </c>
      <c r="AL299" t="s">
        <v>3670</v>
      </c>
      <c r="AM299" t="s">
        <v>3671</v>
      </c>
      <c r="AN299" t="s">
        <v>3672</v>
      </c>
      <c r="AO299" t="s">
        <v>5814</v>
      </c>
      <c r="AP299" t="s">
        <v>5815</v>
      </c>
      <c r="AQ299" t="s">
        <v>74</v>
      </c>
      <c r="AR299" t="s">
        <v>5816</v>
      </c>
      <c r="AS299" t="s">
        <v>5817</v>
      </c>
      <c r="AT299" t="s">
        <v>718</v>
      </c>
      <c r="AU299">
        <v>2019</v>
      </c>
      <c r="AV299">
        <v>29</v>
      </c>
      <c r="AW299">
        <v>1</v>
      </c>
      <c r="AX299" t="s">
        <v>74</v>
      </c>
      <c r="AY299" t="s">
        <v>74</v>
      </c>
      <c r="AZ299" t="s">
        <v>74</v>
      </c>
      <c r="BA299" t="s">
        <v>74</v>
      </c>
      <c r="BB299" t="s">
        <v>74</v>
      </c>
      <c r="BC299" t="s">
        <v>74</v>
      </c>
      <c r="BD299" t="s">
        <v>5818</v>
      </c>
      <c r="BE299" t="s">
        <v>5819</v>
      </c>
      <c r="BF299" t="str">
        <f>HYPERLINK("http://dx.doi.org/10.1002/eap.1823","http://dx.doi.org/10.1002/eap.1823")</f>
        <v>http://dx.doi.org/10.1002/eap.1823</v>
      </c>
      <c r="BG299" t="s">
        <v>74</v>
      </c>
      <c r="BH299" t="s">
        <v>74</v>
      </c>
      <c r="BI299">
        <v>20</v>
      </c>
      <c r="BJ299" t="s">
        <v>1432</v>
      </c>
      <c r="BK299" t="s">
        <v>101</v>
      </c>
      <c r="BL299" t="s">
        <v>799</v>
      </c>
      <c r="BM299" t="s">
        <v>5820</v>
      </c>
      <c r="BN299">
        <v>30601593</v>
      </c>
      <c r="BO299" t="s">
        <v>3893</v>
      </c>
      <c r="BP299" t="s">
        <v>74</v>
      </c>
      <c r="BQ299" t="s">
        <v>74</v>
      </c>
      <c r="BR299" t="s">
        <v>104</v>
      </c>
      <c r="BS299" t="s">
        <v>5821</v>
      </c>
      <c r="BT299" t="str">
        <f>HYPERLINK("https%3A%2F%2Fwww.webofscience.com%2Fwos%2Fwoscc%2Ffull-record%2FWOS:000454685500014","View Full Record in Web of Science")</f>
        <v>View Full Record in Web of Science</v>
      </c>
    </row>
    <row r="300" spans="1:72" x14ac:dyDescent="0.15">
      <c r="A300" t="s">
        <v>72</v>
      </c>
      <c r="B300" t="s">
        <v>5822</v>
      </c>
      <c r="C300" t="s">
        <v>74</v>
      </c>
      <c r="D300" t="s">
        <v>74</v>
      </c>
      <c r="E300" t="s">
        <v>74</v>
      </c>
      <c r="F300" t="s">
        <v>5823</v>
      </c>
      <c r="G300" t="s">
        <v>74</v>
      </c>
      <c r="H300" t="s">
        <v>74</v>
      </c>
      <c r="I300" t="s">
        <v>5824</v>
      </c>
      <c r="J300" t="s">
        <v>5825</v>
      </c>
      <c r="K300" t="s">
        <v>74</v>
      </c>
      <c r="L300" t="s">
        <v>74</v>
      </c>
      <c r="M300" t="s">
        <v>78</v>
      </c>
      <c r="N300" t="s">
        <v>79</v>
      </c>
      <c r="O300" t="s">
        <v>74</v>
      </c>
      <c r="P300" t="s">
        <v>74</v>
      </c>
      <c r="Q300" t="s">
        <v>74</v>
      </c>
      <c r="R300" t="s">
        <v>74</v>
      </c>
      <c r="S300" t="s">
        <v>74</v>
      </c>
      <c r="T300" t="s">
        <v>5826</v>
      </c>
      <c r="U300" t="s">
        <v>5827</v>
      </c>
      <c r="V300" t="s">
        <v>5828</v>
      </c>
      <c r="W300" t="s">
        <v>5829</v>
      </c>
      <c r="X300" t="s">
        <v>5830</v>
      </c>
      <c r="Y300" t="s">
        <v>5831</v>
      </c>
      <c r="Z300" t="s">
        <v>5832</v>
      </c>
      <c r="AA300" t="s">
        <v>74</v>
      </c>
      <c r="AB300" t="s">
        <v>74</v>
      </c>
      <c r="AC300" t="s">
        <v>5833</v>
      </c>
      <c r="AD300" t="s">
        <v>4656</v>
      </c>
      <c r="AE300" t="s">
        <v>5834</v>
      </c>
      <c r="AF300" t="s">
        <v>74</v>
      </c>
      <c r="AG300">
        <v>70</v>
      </c>
      <c r="AH300">
        <v>31</v>
      </c>
      <c r="AI300">
        <v>33</v>
      </c>
      <c r="AJ300">
        <v>2</v>
      </c>
      <c r="AK300">
        <v>33</v>
      </c>
      <c r="AL300" t="s">
        <v>3670</v>
      </c>
      <c r="AM300" t="s">
        <v>3671</v>
      </c>
      <c r="AN300" t="s">
        <v>3672</v>
      </c>
      <c r="AO300" t="s">
        <v>5835</v>
      </c>
      <c r="AP300" t="s">
        <v>5836</v>
      </c>
      <c r="AQ300" t="s">
        <v>74</v>
      </c>
      <c r="AR300" t="s">
        <v>5825</v>
      </c>
      <c r="AS300" t="s">
        <v>5837</v>
      </c>
      <c r="AT300" t="s">
        <v>718</v>
      </c>
      <c r="AU300">
        <v>2019</v>
      </c>
      <c r="AV300">
        <v>161</v>
      </c>
      <c r="AW300">
        <v>1</v>
      </c>
      <c r="AX300" t="s">
        <v>74</v>
      </c>
      <c r="AY300" t="s">
        <v>74</v>
      </c>
      <c r="AZ300" t="s">
        <v>74</v>
      </c>
      <c r="BA300" t="s">
        <v>74</v>
      </c>
      <c r="BB300">
        <v>101</v>
      </c>
      <c r="BC300">
        <v>116</v>
      </c>
      <c r="BD300" t="s">
        <v>74</v>
      </c>
      <c r="BE300" t="s">
        <v>5838</v>
      </c>
      <c r="BF300" t="str">
        <f>HYPERLINK("http://dx.doi.org/10.1111/ibi.12584","http://dx.doi.org/10.1111/ibi.12584")</f>
        <v>http://dx.doi.org/10.1111/ibi.12584</v>
      </c>
      <c r="BG300" t="s">
        <v>74</v>
      </c>
      <c r="BH300" t="s">
        <v>74</v>
      </c>
      <c r="BI300">
        <v>16</v>
      </c>
      <c r="BJ300" t="s">
        <v>5839</v>
      </c>
      <c r="BK300" t="s">
        <v>101</v>
      </c>
      <c r="BL300" t="s">
        <v>3516</v>
      </c>
      <c r="BM300" t="s">
        <v>5840</v>
      </c>
      <c r="BN300" t="s">
        <v>74</v>
      </c>
      <c r="BO300" t="s">
        <v>4700</v>
      </c>
      <c r="BP300" t="s">
        <v>74</v>
      </c>
      <c r="BQ300" t="s">
        <v>74</v>
      </c>
      <c r="BR300" t="s">
        <v>104</v>
      </c>
      <c r="BS300" t="s">
        <v>5841</v>
      </c>
      <c r="BT300" t="str">
        <f>HYPERLINK("https%3A%2F%2Fwww.webofscience.com%2Fwos%2Fwoscc%2Ffull-record%2FWOS:000454604400009","View Full Record in Web of Science")</f>
        <v>View Full Record in Web of Science</v>
      </c>
    </row>
    <row r="301" spans="1:72" x14ac:dyDescent="0.15">
      <c r="A301" t="s">
        <v>72</v>
      </c>
      <c r="B301" t="s">
        <v>5842</v>
      </c>
      <c r="C301" t="s">
        <v>74</v>
      </c>
      <c r="D301" t="s">
        <v>74</v>
      </c>
      <c r="E301" t="s">
        <v>74</v>
      </c>
      <c r="F301" t="s">
        <v>5843</v>
      </c>
      <c r="G301" t="s">
        <v>74</v>
      </c>
      <c r="H301" t="s">
        <v>74</v>
      </c>
      <c r="I301" t="s">
        <v>5844</v>
      </c>
      <c r="J301" t="s">
        <v>5845</v>
      </c>
      <c r="K301" t="s">
        <v>74</v>
      </c>
      <c r="L301" t="s">
        <v>74</v>
      </c>
      <c r="M301" t="s">
        <v>78</v>
      </c>
      <c r="N301" t="s">
        <v>79</v>
      </c>
      <c r="O301" t="s">
        <v>74</v>
      </c>
      <c r="P301" t="s">
        <v>74</v>
      </c>
      <c r="Q301" t="s">
        <v>74</v>
      </c>
      <c r="R301" t="s">
        <v>74</v>
      </c>
      <c r="S301" t="s">
        <v>74</v>
      </c>
      <c r="T301" t="s">
        <v>5846</v>
      </c>
      <c r="U301" t="s">
        <v>5847</v>
      </c>
      <c r="V301" t="s">
        <v>5848</v>
      </c>
      <c r="W301" t="s">
        <v>5849</v>
      </c>
      <c r="X301" t="s">
        <v>5850</v>
      </c>
      <c r="Y301" t="s">
        <v>5851</v>
      </c>
      <c r="Z301" t="s">
        <v>5852</v>
      </c>
      <c r="AA301" t="s">
        <v>5853</v>
      </c>
      <c r="AB301" t="s">
        <v>5854</v>
      </c>
      <c r="AC301" t="s">
        <v>5855</v>
      </c>
      <c r="AD301" t="s">
        <v>5856</v>
      </c>
      <c r="AE301" t="s">
        <v>5857</v>
      </c>
      <c r="AF301" t="s">
        <v>74</v>
      </c>
      <c r="AG301">
        <v>98</v>
      </c>
      <c r="AH301">
        <v>103</v>
      </c>
      <c r="AI301">
        <v>118</v>
      </c>
      <c r="AJ301">
        <v>17</v>
      </c>
      <c r="AK301">
        <v>259</v>
      </c>
      <c r="AL301" t="s">
        <v>5052</v>
      </c>
      <c r="AM301" t="s">
        <v>5053</v>
      </c>
      <c r="AN301" t="s">
        <v>5054</v>
      </c>
      <c r="AO301" t="s">
        <v>5858</v>
      </c>
      <c r="AP301" t="s">
        <v>5859</v>
      </c>
      <c r="AQ301" t="s">
        <v>74</v>
      </c>
      <c r="AR301" t="s">
        <v>5860</v>
      </c>
      <c r="AS301" t="s">
        <v>5861</v>
      </c>
      <c r="AT301" t="s">
        <v>718</v>
      </c>
      <c r="AU301">
        <v>2019</v>
      </c>
      <c r="AV301">
        <v>222</v>
      </c>
      <c r="AW301">
        <v>1</v>
      </c>
      <c r="AX301" t="s">
        <v>74</v>
      </c>
      <c r="AY301" t="s">
        <v>74</v>
      </c>
      <c r="AZ301" t="s">
        <v>74</v>
      </c>
      <c r="BA301" t="s">
        <v>74</v>
      </c>
      <c r="BB301">
        <v>89</v>
      </c>
      <c r="BC301">
        <v>100</v>
      </c>
      <c r="BD301" t="s">
        <v>74</v>
      </c>
      <c r="BE301" t="s">
        <v>5862</v>
      </c>
      <c r="BF301" t="str">
        <f>HYPERLINK("http://dx.doi.org/10.1016/j.ijheh.2018.08.009","http://dx.doi.org/10.1016/j.ijheh.2018.08.009")</f>
        <v>http://dx.doi.org/10.1016/j.ijheh.2018.08.009</v>
      </c>
      <c r="BG301" t="s">
        <v>74</v>
      </c>
      <c r="BH301" t="s">
        <v>74</v>
      </c>
      <c r="BI301">
        <v>12</v>
      </c>
      <c r="BJ301" t="s">
        <v>5863</v>
      </c>
      <c r="BK301" t="s">
        <v>101</v>
      </c>
      <c r="BL301" t="s">
        <v>5863</v>
      </c>
      <c r="BM301" t="s">
        <v>5864</v>
      </c>
      <c r="BN301">
        <v>30174218</v>
      </c>
      <c r="BO301" t="s">
        <v>74</v>
      </c>
      <c r="BP301" t="s">
        <v>4786</v>
      </c>
      <c r="BQ301" t="s">
        <v>4787</v>
      </c>
      <c r="BR301" t="s">
        <v>104</v>
      </c>
      <c r="BS301" t="s">
        <v>5865</v>
      </c>
      <c r="BT301" t="str">
        <f>HYPERLINK("https%3A%2F%2Fwww.webofscience.com%2Fwos%2Fwoscc%2Ffull-record%2FWOS:000454671700010","View Full Record in Web of Science")</f>
        <v>View Full Record in Web of Science</v>
      </c>
    </row>
    <row r="302" spans="1:72" x14ac:dyDescent="0.15">
      <c r="A302" t="s">
        <v>72</v>
      </c>
      <c r="B302" t="s">
        <v>5866</v>
      </c>
      <c r="C302" t="s">
        <v>74</v>
      </c>
      <c r="D302" t="s">
        <v>74</v>
      </c>
      <c r="E302" t="s">
        <v>74</v>
      </c>
      <c r="F302" t="s">
        <v>5867</v>
      </c>
      <c r="G302" t="s">
        <v>74</v>
      </c>
      <c r="H302" t="s">
        <v>74</v>
      </c>
      <c r="I302" t="s">
        <v>5868</v>
      </c>
      <c r="J302" t="s">
        <v>1698</v>
      </c>
      <c r="K302" t="s">
        <v>74</v>
      </c>
      <c r="L302" t="s">
        <v>74</v>
      </c>
      <c r="M302" t="s">
        <v>78</v>
      </c>
      <c r="N302" t="s">
        <v>79</v>
      </c>
      <c r="O302" t="s">
        <v>74</v>
      </c>
      <c r="P302" t="s">
        <v>74</v>
      </c>
      <c r="Q302" t="s">
        <v>74</v>
      </c>
      <c r="R302" t="s">
        <v>74</v>
      </c>
      <c r="S302" t="s">
        <v>74</v>
      </c>
      <c r="T302" t="s">
        <v>5869</v>
      </c>
      <c r="U302" t="s">
        <v>5870</v>
      </c>
      <c r="V302" t="s">
        <v>5871</v>
      </c>
      <c r="W302" t="s">
        <v>5872</v>
      </c>
      <c r="X302" t="s">
        <v>5873</v>
      </c>
      <c r="Y302" t="s">
        <v>5874</v>
      </c>
      <c r="Z302" t="s">
        <v>5875</v>
      </c>
      <c r="AA302" t="s">
        <v>5876</v>
      </c>
      <c r="AB302" t="s">
        <v>5877</v>
      </c>
      <c r="AC302" t="s">
        <v>5878</v>
      </c>
      <c r="AD302" t="s">
        <v>5879</v>
      </c>
      <c r="AE302" t="s">
        <v>5880</v>
      </c>
      <c r="AF302" t="s">
        <v>74</v>
      </c>
      <c r="AG302">
        <v>119</v>
      </c>
      <c r="AH302">
        <v>15</v>
      </c>
      <c r="AI302">
        <v>17</v>
      </c>
      <c r="AJ302">
        <v>3</v>
      </c>
      <c r="AK302">
        <v>48</v>
      </c>
      <c r="AL302" t="s">
        <v>985</v>
      </c>
      <c r="AM302" t="s">
        <v>986</v>
      </c>
      <c r="AN302" t="s">
        <v>987</v>
      </c>
      <c r="AO302" t="s">
        <v>1709</v>
      </c>
      <c r="AP302" t="s">
        <v>1710</v>
      </c>
      <c r="AQ302" t="s">
        <v>74</v>
      </c>
      <c r="AR302" t="s">
        <v>1711</v>
      </c>
      <c r="AS302" t="s">
        <v>1712</v>
      </c>
      <c r="AT302" t="s">
        <v>74</v>
      </c>
      <c r="AU302">
        <v>2019</v>
      </c>
      <c r="AV302">
        <v>82</v>
      </c>
      <c r="AW302">
        <v>2</v>
      </c>
      <c r="AX302" t="s">
        <v>74</v>
      </c>
      <c r="AY302" t="s">
        <v>74</v>
      </c>
      <c r="AZ302" t="s">
        <v>74</v>
      </c>
      <c r="BA302" t="s">
        <v>74</v>
      </c>
      <c r="BB302">
        <v>111</v>
      </c>
      <c r="BC302">
        <v>127</v>
      </c>
      <c r="BD302" t="s">
        <v>74</v>
      </c>
      <c r="BE302" t="s">
        <v>5881</v>
      </c>
      <c r="BF302" t="str">
        <f>HYPERLINK("http://dx.doi.org/10.3354/ame01889","http://dx.doi.org/10.3354/ame01889")</f>
        <v>http://dx.doi.org/10.3354/ame01889</v>
      </c>
      <c r="BG302" t="s">
        <v>74</v>
      </c>
      <c r="BH302" t="s">
        <v>74</v>
      </c>
      <c r="BI302">
        <v>17</v>
      </c>
      <c r="BJ302" t="s">
        <v>1535</v>
      </c>
      <c r="BK302" t="s">
        <v>101</v>
      </c>
      <c r="BL302" t="s">
        <v>1536</v>
      </c>
      <c r="BM302" t="s">
        <v>5882</v>
      </c>
      <c r="BN302" t="s">
        <v>74</v>
      </c>
      <c r="BO302" t="s">
        <v>5883</v>
      </c>
      <c r="BP302" t="s">
        <v>74</v>
      </c>
      <c r="BQ302" t="s">
        <v>74</v>
      </c>
      <c r="BR302" t="s">
        <v>104</v>
      </c>
      <c r="BS302" t="s">
        <v>5884</v>
      </c>
      <c r="BT302" t="str">
        <f>HYPERLINK("https%3A%2F%2Fwww.webofscience.com%2Fwos%2Fwoscc%2Ffull-record%2FWOS:000454321300001","View Full Record in Web of Science")</f>
        <v>View Full Record in Web of Science</v>
      </c>
    </row>
    <row r="303" spans="1:72" x14ac:dyDescent="0.15">
      <c r="A303" t="s">
        <v>72</v>
      </c>
      <c r="B303" t="s">
        <v>5885</v>
      </c>
      <c r="C303" t="s">
        <v>74</v>
      </c>
      <c r="D303" t="s">
        <v>74</v>
      </c>
      <c r="E303" t="s">
        <v>74</v>
      </c>
      <c r="F303" t="s">
        <v>5886</v>
      </c>
      <c r="G303" t="s">
        <v>74</v>
      </c>
      <c r="H303" t="s">
        <v>74</v>
      </c>
      <c r="I303" t="s">
        <v>5887</v>
      </c>
      <c r="J303" t="s">
        <v>1698</v>
      </c>
      <c r="K303" t="s">
        <v>74</v>
      </c>
      <c r="L303" t="s">
        <v>74</v>
      </c>
      <c r="M303" t="s">
        <v>78</v>
      </c>
      <c r="N303" t="s">
        <v>79</v>
      </c>
      <c r="O303" t="s">
        <v>74</v>
      </c>
      <c r="P303" t="s">
        <v>74</v>
      </c>
      <c r="Q303" t="s">
        <v>74</v>
      </c>
      <c r="R303" t="s">
        <v>74</v>
      </c>
      <c r="S303" t="s">
        <v>74</v>
      </c>
      <c r="T303" t="s">
        <v>5888</v>
      </c>
      <c r="U303" t="s">
        <v>5889</v>
      </c>
      <c r="V303" t="s">
        <v>5890</v>
      </c>
      <c r="W303" t="s">
        <v>5891</v>
      </c>
      <c r="X303" t="s">
        <v>5892</v>
      </c>
      <c r="Y303" t="s">
        <v>5893</v>
      </c>
      <c r="Z303" t="s">
        <v>5894</v>
      </c>
      <c r="AA303" t="s">
        <v>5895</v>
      </c>
      <c r="AB303" t="s">
        <v>5896</v>
      </c>
      <c r="AC303" t="s">
        <v>5897</v>
      </c>
      <c r="AD303" t="s">
        <v>5898</v>
      </c>
      <c r="AE303" t="s">
        <v>5899</v>
      </c>
      <c r="AF303" t="s">
        <v>74</v>
      </c>
      <c r="AG303">
        <v>84</v>
      </c>
      <c r="AH303">
        <v>9</v>
      </c>
      <c r="AI303">
        <v>9</v>
      </c>
      <c r="AJ303">
        <v>1</v>
      </c>
      <c r="AK303">
        <v>73</v>
      </c>
      <c r="AL303" t="s">
        <v>985</v>
      </c>
      <c r="AM303" t="s">
        <v>986</v>
      </c>
      <c r="AN303" t="s">
        <v>987</v>
      </c>
      <c r="AO303" t="s">
        <v>1709</v>
      </c>
      <c r="AP303" t="s">
        <v>1710</v>
      </c>
      <c r="AQ303" t="s">
        <v>74</v>
      </c>
      <c r="AR303" t="s">
        <v>1711</v>
      </c>
      <c r="AS303" t="s">
        <v>1712</v>
      </c>
      <c r="AT303" t="s">
        <v>74</v>
      </c>
      <c r="AU303">
        <v>2019</v>
      </c>
      <c r="AV303">
        <v>82</v>
      </c>
      <c r="AW303">
        <v>2</v>
      </c>
      <c r="AX303" t="s">
        <v>74</v>
      </c>
      <c r="AY303" t="s">
        <v>74</v>
      </c>
      <c r="AZ303" t="s">
        <v>74</v>
      </c>
      <c r="BA303" t="s">
        <v>74</v>
      </c>
      <c r="BB303">
        <v>145</v>
      </c>
      <c r="BC303">
        <v>159</v>
      </c>
      <c r="BD303" t="s">
        <v>74</v>
      </c>
      <c r="BE303" t="s">
        <v>5900</v>
      </c>
      <c r="BF303" t="str">
        <f>HYPERLINK("http://dx.doi.org/10.3354/ame01886","http://dx.doi.org/10.3354/ame01886")</f>
        <v>http://dx.doi.org/10.3354/ame01886</v>
      </c>
      <c r="BG303" t="s">
        <v>74</v>
      </c>
      <c r="BH303" t="s">
        <v>74</v>
      </c>
      <c r="BI303">
        <v>15</v>
      </c>
      <c r="BJ303" t="s">
        <v>1535</v>
      </c>
      <c r="BK303" t="s">
        <v>101</v>
      </c>
      <c r="BL303" t="s">
        <v>1536</v>
      </c>
      <c r="BM303" t="s">
        <v>5882</v>
      </c>
      <c r="BN303" t="s">
        <v>74</v>
      </c>
      <c r="BO303" t="s">
        <v>74</v>
      </c>
      <c r="BP303" t="s">
        <v>74</v>
      </c>
      <c r="BQ303" t="s">
        <v>74</v>
      </c>
      <c r="BR303" t="s">
        <v>104</v>
      </c>
      <c r="BS303" t="s">
        <v>5901</v>
      </c>
      <c r="BT303" t="str">
        <f>HYPERLINK("https%3A%2F%2Fwww.webofscience.com%2Fwos%2Fwoscc%2Ffull-record%2FWOS:000454321300003","View Full Record in Web of Science")</f>
        <v>View Full Record in Web of Science</v>
      </c>
    </row>
    <row r="304" spans="1:72" x14ac:dyDescent="0.15">
      <c r="A304" t="s">
        <v>72</v>
      </c>
      <c r="B304" t="s">
        <v>5902</v>
      </c>
      <c r="C304" t="s">
        <v>74</v>
      </c>
      <c r="D304" t="s">
        <v>74</v>
      </c>
      <c r="E304" t="s">
        <v>74</v>
      </c>
      <c r="F304" t="s">
        <v>5903</v>
      </c>
      <c r="G304" t="s">
        <v>74</v>
      </c>
      <c r="H304" t="s">
        <v>74</v>
      </c>
      <c r="I304" t="s">
        <v>5904</v>
      </c>
      <c r="J304" t="s">
        <v>5905</v>
      </c>
      <c r="K304" t="s">
        <v>74</v>
      </c>
      <c r="L304" t="s">
        <v>74</v>
      </c>
      <c r="M304" t="s">
        <v>78</v>
      </c>
      <c r="N304" t="s">
        <v>79</v>
      </c>
      <c r="O304" t="s">
        <v>74</v>
      </c>
      <c r="P304" t="s">
        <v>74</v>
      </c>
      <c r="Q304" t="s">
        <v>74</v>
      </c>
      <c r="R304" t="s">
        <v>74</v>
      </c>
      <c r="S304" t="s">
        <v>74</v>
      </c>
      <c r="T304" t="s">
        <v>5906</v>
      </c>
      <c r="U304" t="s">
        <v>5907</v>
      </c>
      <c r="V304" t="s">
        <v>5908</v>
      </c>
      <c r="W304" t="s">
        <v>5909</v>
      </c>
      <c r="X304" t="s">
        <v>5910</v>
      </c>
      <c r="Y304" t="s">
        <v>5911</v>
      </c>
      <c r="Z304" t="s">
        <v>5912</v>
      </c>
      <c r="AA304" t="s">
        <v>5913</v>
      </c>
      <c r="AB304" t="s">
        <v>5914</v>
      </c>
      <c r="AC304" t="s">
        <v>5915</v>
      </c>
      <c r="AD304" t="s">
        <v>5916</v>
      </c>
      <c r="AE304" t="s">
        <v>5917</v>
      </c>
      <c r="AF304" t="s">
        <v>74</v>
      </c>
      <c r="AG304">
        <v>38</v>
      </c>
      <c r="AH304">
        <v>3</v>
      </c>
      <c r="AI304">
        <v>3</v>
      </c>
      <c r="AJ304">
        <v>0</v>
      </c>
      <c r="AK304">
        <v>15</v>
      </c>
      <c r="AL304" t="s">
        <v>2519</v>
      </c>
      <c r="AM304" t="s">
        <v>2520</v>
      </c>
      <c r="AN304" t="s">
        <v>3313</v>
      </c>
      <c r="AO304" t="s">
        <v>5918</v>
      </c>
      <c r="AP304" t="s">
        <v>5919</v>
      </c>
      <c r="AQ304" t="s">
        <v>74</v>
      </c>
      <c r="AR304" t="s">
        <v>5920</v>
      </c>
      <c r="AS304" t="s">
        <v>5921</v>
      </c>
      <c r="AT304" t="s">
        <v>3269</v>
      </c>
      <c r="AU304">
        <v>2019</v>
      </c>
      <c r="AV304">
        <v>173</v>
      </c>
      <c r="AW304" t="s">
        <v>74</v>
      </c>
      <c r="AX304" t="s">
        <v>74</v>
      </c>
      <c r="AY304" t="s">
        <v>74</v>
      </c>
      <c r="AZ304" t="s">
        <v>74</v>
      </c>
      <c r="BA304" t="s">
        <v>74</v>
      </c>
      <c r="BB304">
        <v>869</v>
      </c>
      <c r="BC304">
        <v>875</v>
      </c>
      <c r="BD304" t="s">
        <v>74</v>
      </c>
      <c r="BE304" t="s">
        <v>5922</v>
      </c>
      <c r="BF304" t="str">
        <f>HYPERLINK("http://dx.doi.org/10.1016/j.colsurfb.2018.10.059","http://dx.doi.org/10.1016/j.colsurfb.2018.10.059")</f>
        <v>http://dx.doi.org/10.1016/j.colsurfb.2018.10.059</v>
      </c>
      <c r="BG304" t="s">
        <v>74</v>
      </c>
      <c r="BH304" t="s">
        <v>74</v>
      </c>
      <c r="BI304">
        <v>7</v>
      </c>
      <c r="BJ304" t="s">
        <v>5923</v>
      </c>
      <c r="BK304" t="s">
        <v>101</v>
      </c>
      <c r="BL304" t="s">
        <v>5924</v>
      </c>
      <c r="BM304" t="s">
        <v>5925</v>
      </c>
      <c r="BN304">
        <v>30551303</v>
      </c>
      <c r="BO304" t="s">
        <v>74</v>
      </c>
      <c r="BP304" t="s">
        <v>74</v>
      </c>
      <c r="BQ304" t="s">
        <v>74</v>
      </c>
      <c r="BR304" t="s">
        <v>104</v>
      </c>
      <c r="BS304" t="s">
        <v>5926</v>
      </c>
      <c r="BT304" t="str">
        <f>HYPERLINK("https%3A%2F%2Fwww.webofscience.com%2Fwos%2Fwoscc%2Ffull-record%2FWOS:000454377300102","View Full Record in Web of Science")</f>
        <v>View Full Record in Web of Science</v>
      </c>
    </row>
    <row r="305" spans="1:72" x14ac:dyDescent="0.15">
      <c r="A305" t="s">
        <v>72</v>
      </c>
      <c r="B305" t="s">
        <v>5927</v>
      </c>
      <c r="C305" t="s">
        <v>74</v>
      </c>
      <c r="D305" t="s">
        <v>74</v>
      </c>
      <c r="E305" t="s">
        <v>74</v>
      </c>
      <c r="F305" t="s">
        <v>5928</v>
      </c>
      <c r="G305" t="s">
        <v>74</v>
      </c>
      <c r="H305" t="s">
        <v>74</v>
      </c>
      <c r="I305" t="s">
        <v>5929</v>
      </c>
      <c r="J305" t="s">
        <v>5930</v>
      </c>
      <c r="K305" t="s">
        <v>74</v>
      </c>
      <c r="L305" t="s">
        <v>74</v>
      </c>
      <c r="M305" t="s">
        <v>78</v>
      </c>
      <c r="N305" t="s">
        <v>79</v>
      </c>
      <c r="O305" t="s">
        <v>74</v>
      </c>
      <c r="P305" t="s">
        <v>74</v>
      </c>
      <c r="Q305" t="s">
        <v>74</v>
      </c>
      <c r="R305" t="s">
        <v>74</v>
      </c>
      <c r="S305" t="s">
        <v>74</v>
      </c>
      <c r="T305" t="s">
        <v>5931</v>
      </c>
      <c r="U305" t="s">
        <v>5932</v>
      </c>
      <c r="V305" t="s">
        <v>5933</v>
      </c>
      <c r="W305" t="s">
        <v>5934</v>
      </c>
      <c r="X305" t="s">
        <v>5935</v>
      </c>
      <c r="Y305" t="s">
        <v>5936</v>
      </c>
      <c r="Z305" t="s">
        <v>5937</v>
      </c>
      <c r="AA305" t="s">
        <v>5938</v>
      </c>
      <c r="AB305" t="s">
        <v>5939</v>
      </c>
      <c r="AC305" t="s">
        <v>5940</v>
      </c>
      <c r="AD305" t="s">
        <v>5941</v>
      </c>
      <c r="AE305" t="s">
        <v>5942</v>
      </c>
      <c r="AF305" t="s">
        <v>74</v>
      </c>
      <c r="AG305">
        <v>56</v>
      </c>
      <c r="AH305">
        <v>11</v>
      </c>
      <c r="AI305">
        <v>11</v>
      </c>
      <c r="AJ305">
        <v>1</v>
      </c>
      <c r="AK305">
        <v>24</v>
      </c>
      <c r="AL305" t="s">
        <v>3290</v>
      </c>
      <c r="AM305" t="s">
        <v>2520</v>
      </c>
      <c r="AN305" t="s">
        <v>3291</v>
      </c>
      <c r="AO305" t="s">
        <v>5943</v>
      </c>
      <c r="AP305" t="s">
        <v>5944</v>
      </c>
      <c r="AQ305" t="s">
        <v>74</v>
      </c>
      <c r="AR305" t="s">
        <v>5945</v>
      </c>
      <c r="AS305" t="s">
        <v>5946</v>
      </c>
      <c r="AT305" t="s">
        <v>718</v>
      </c>
      <c r="AU305">
        <v>2019</v>
      </c>
      <c r="AV305">
        <v>189</v>
      </c>
      <c r="AW305" t="s">
        <v>74</v>
      </c>
      <c r="AX305" t="s">
        <v>74</v>
      </c>
      <c r="AY305" t="s">
        <v>74</v>
      </c>
      <c r="AZ305" t="s">
        <v>74</v>
      </c>
      <c r="BA305" t="s">
        <v>74</v>
      </c>
      <c r="BB305">
        <v>50</v>
      </c>
      <c r="BC305">
        <v>61</v>
      </c>
      <c r="BD305" t="s">
        <v>74</v>
      </c>
      <c r="BE305" t="s">
        <v>5947</v>
      </c>
      <c r="BF305" t="str">
        <f>HYPERLINK("http://dx.doi.org/10.1016/j.jmarsys.2018.09.005","http://dx.doi.org/10.1016/j.jmarsys.2018.09.005")</f>
        <v>http://dx.doi.org/10.1016/j.jmarsys.2018.09.005</v>
      </c>
      <c r="BG305" t="s">
        <v>74</v>
      </c>
      <c r="BH305" t="s">
        <v>74</v>
      </c>
      <c r="BI305">
        <v>12</v>
      </c>
      <c r="BJ305" t="s">
        <v>5948</v>
      </c>
      <c r="BK305" t="s">
        <v>101</v>
      </c>
      <c r="BL305" t="s">
        <v>5949</v>
      </c>
      <c r="BM305" t="s">
        <v>5950</v>
      </c>
      <c r="BN305" t="s">
        <v>74</v>
      </c>
      <c r="BO305" t="s">
        <v>74</v>
      </c>
      <c r="BP305" t="s">
        <v>74</v>
      </c>
      <c r="BQ305" t="s">
        <v>74</v>
      </c>
      <c r="BR305" t="s">
        <v>104</v>
      </c>
      <c r="BS305" t="s">
        <v>5951</v>
      </c>
      <c r="BT305" t="str">
        <f>HYPERLINK("https%3A%2F%2Fwww.webofscience.com%2Fwos%2Fwoscc%2Ffull-record%2FWOS:000454464100005","View Full Record in Web of Science")</f>
        <v>View Full Record in Web of Science</v>
      </c>
    </row>
    <row r="306" spans="1:72" x14ac:dyDescent="0.15">
      <c r="A306" t="s">
        <v>72</v>
      </c>
      <c r="B306" t="s">
        <v>5952</v>
      </c>
      <c r="C306" t="s">
        <v>74</v>
      </c>
      <c r="D306" t="s">
        <v>74</v>
      </c>
      <c r="E306" t="s">
        <v>74</v>
      </c>
      <c r="F306" t="s">
        <v>5953</v>
      </c>
      <c r="G306" t="s">
        <v>74</v>
      </c>
      <c r="H306" t="s">
        <v>74</v>
      </c>
      <c r="I306" t="s">
        <v>5954</v>
      </c>
      <c r="J306" t="s">
        <v>5955</v>
      </c>
      <c r="K306" t="s">
        <v>74</v>
      </c>
      <c r="L306" t="s">
        <v>74</v>
      </c>
      <c r="M306" t="s">
        <v>78</v>
      </c>
      <c r="N306" t="s">
        <v>79</v>
      </c>
      <c r="O306" t="s">
        <v>74</v>
      </c>
      <c r="P306" t="s">
        <v>74</v>
      </c>
      <c r="Q306" t="s">
        <v>74</v>
      </c>
      <c r="R306" t="s">
        <v>74</v>
      </c>
      <c r="S306" t="s">
        <v>74</v>
      </c>
      <c r="T306" t="s">
        <v>5956</v>
      </c>
      <c r="U306" t="s">
        <v>5957</v>
      </c>
      <c r="V306" t="s">
        <v>5958</v>
      </c>
      <c r="W306" t="s">
        <v>5959</v>
      </c>
      <c r="X306" t="s">
        <v>5960</v>
      </c>
      <c r="Y306" t="s">
        <v>5961</v>
      </c>
      <c r="Z306" t="s">
        <v>5962</v>
      </c>
      <c r="AA306" t="s">
        <v>5963</v>
      </c>
      <c r="AB306" t="s">
        <v>5964</v>
      </c>
      <c r="AC306" t="s">
        <v>5965</v>
      </c>
      <c r="AD306" t="s">
        <v>5966</v>
      </c>
      <c r="AE306" t="s">
        <v>5967</v>
      </c>
      <c r="AF306" t="s">
        <v>74</v>
      </c>
      <c r="AG306">
        <v>27</v>
      </c>
      <c r="AH306">
        <v>3</v>
      </c>
      <c r="AI306">
        <v>3</v>
      </c>
      <c r="AJ306">
        <v>0</v>
      </c>
      <c r="AK306">
        <v>9</v>
      </c>
      <c r="AL306" t="s">
        <v>1473</v>
      </c>
      <c r="AM306" t="s">
        <v>1080</v>
      </c>
      <c r="AN306" t="s">
        <v>1474</v>
      </c>
      <c r="AO306" t="s">
        <v>5968</v>
      </c>
      <c r="AP306" t="s">
        <v>5969</v>
      </c>
      <c r="AQ306" t="s">
        <v>74</v>
      </c>
      <c r="AR306" t="s">
        <v>5970</v>
      </c>
      <c r="AS306" t="s">
        <v>5971</v>
      </c>
      <c r="AT306" t="s">
        <v>718</v>
      </c>
      <c r="AU306">
        <v>2019</v>
      </c>
      <c r="AV306">
        <v>72</v>
      </c>
      <c r="AW306">
        <v>1</v>
      </c>
      <c r="AX306" t="s">
        <v>74</v>
      </c>
      <c r="AY306" t="s">
        <v>74</v>
      </c>
      <c r="AZ306" t="s">
        <v>74</v>
      </c>
      <c r="BA306" t="s">
        <v>74</v>
      </c>
      <c r="BB306">
        <v>1</v>
      </c>
      <c r="BC306">
        <v>18</v>
      </c>
      <c r="BD306" t="s">
        <v>74</v>
      </c>
      <c r="BE306" t="s">
        <v>5972</v>
      </c>
      <c r="BF306" t="str">
        <f>HYPERLINK("http://dx.doi.org/10.1017/S0373463318000656","http://dx.doi.org/10.1017/S0373463318000656")</f>
        <v>http://dx.doi.org/10.1017/S0373463318000656</v>
      </c>
      <c r="BG306" t="s">
        <v>74</v>
      </c>
      <c r="BH306" t="s">
        <v>74</v>
      </c>
      <c r="BI306">
        <v>18</v>
      </c>
      <c r="BJ306" t="s">
        <v>5973</v>
      </c>
      <c r="BK306" t="s">
        <v>101</v>
      </c>
      <c r="BL306" t="s">
        <v>5974</v>
      </c>
      <c r="BM306" t="s">
        <v>5975</v>
      </c>
      <c r="BN306" t="s">
        <v>74</v>
      </c>
      <c r="BO306" t="s">
        <v>74</v>
      </c>
      <c r="BP306" t="s">
        <v>74</v>
      </c>
      <c r="BQ306" t="s">
        <v>74</v>
      </c>
      <c r="BR306" t="s">
        <v>104</v>
      </c>
      <c r="BS306" t="s">
        <v>5976</v>
      </c>
      <c r="BT306" t="str">
        <f>HYPERLINK("https%3A%2F%2Fwww.webofscience.com%2Fwos%2Fwoscc%2Ffull-record%2FWOS:000454299200001","View Full Record in Web of Science")</f>
        <v>View Full Record in Web of Science</v>
      </c>
    </row>
    <row r="307" spans="1:72" x14ac:dyDescent="0.15">
      <c r="A307" t="s">
        <v>72</v>
      </c>
      <c r="B307" t="s">
        <v>5977</v>
      </c>
      <c r="C307" t="s">
        <v>74</v>
      </c>
      <c r="D307" t="s">
        <v>74</v>
      </c>
      <c r="E307" t="s">
        <v>74</v>
      </c>
      <c r="F307" t="s">
        <v>5978</v>
      </c>
      <c r="G307" t="s">
        <v>74</v>
      </c>
      <c r="H307" t="s">
        <v>74</v>
      </c>
      <c r="I307" t="s">
        <v>5979</v>
      </c>
      <c r="J307" t="s">
        <v>5980</v>
      </c>
      <c r="K307" t="s">
        <v>74</v>
      </c>
      <c r="L307" t="s">
        <v>74</v>
      </c>
      <c r="M307" t="s">
        <v>78</v>
      </c>
      <c r="N307" t="s">
        <v>79</v>
      </c>
      <c r="O307" t="s">
        <v>74</v>
      </c>
      <c r="P307" t="s">
        <v>74</v>
      </c>
      <c r="Q307" t="s">
        <v>74</v>
      </c>
      <c r="R307" t="s">
        <v>74</v>
      </c>
      <c r="S307" t="s">
        <v>74</v>
      </c>
      <c r="T307" t="s">
        <v>5981</v>
      </c>
      <c r="U307" t="s">
        <v>5982</v>
      </c>
      <c r="V307" t="s">
        <v>5983</v>
      </c>
      <c r="W307" t="s">
        <v>5984</v>
      </c>
      <c r="X307" t="s">
        <v>5985</v>
      </c>
      <c r="Y307" t="s">
        <v>5986</v>
      </c>
      <c r="Z307" t="s">
        <v>5987</v>
      </c>
      <c r="AA307" t="s">
        <v>5988</v>
      </c>
      <c r="AB307" t="s">
        <v>5989</v>
      </c>
      <c r="AC307" t="s">
        <v>5990</v>
      </c>
      <c r="AD307" t="s">
        <v>5991</v>
      </c>
      <c r="AE307" t="s">
        <v>5992</v>
      </c>
      <c r="AF307" t="s">
        <v>74</v>
      </c>
      <c r="AG307">
        <v>60</v>
      </c>
      <c r="AH307">
        <v>25</v>
      </c>
      <c r="AI307">
        <v>28</v>
      </c>
      <c r="AJ307">
        <v>2</v>
      </c>
      <c r="AK307">
        <v>13</v>
      </c>
      <c r="AL307" t="s">
        <v>4136</v>
      </c>
      <c r="AM307" t="s">
        <v>4137</v>
      </c>
      <c r="AN307" t="s">
        <v>4138</v>
      </c>
      <c r="AO307" t="s">
        <v>5993</v>
      </c>
      <c r="AP307" t="s">
        <v>5994</v>
      </c>
      <c r="AQ307" t="s">
        <v>74</v>
      </c>
      <c r="AR307" t="s">
        <v>5995</v>
      </c>
      <c r="AS307" t="s">
        <v>5996</v>
      </c>
      <c r="AT307" t="s">
        <v>718</v>
      </c>
      <c r="AU307">
        <v>2019</v>
      </c>
      <c r="AV307">
        <v>49</v>
      </c>
      <c r="AW307">
        <v>1</v>
      </c>
      <c r="AX307" t="s">
        <v>74</v>
      </c>
      <c r="AY307" t="s">
        <v>74</v>
      </c>
      <c r="AZ307" t="s">
        <v>74</v>
      </c>
      <c r="BA307" t="s">
        <v>74</v>
      </c>
      <c r="BB307">
        <v>227</v>
      </c>
      <c r="BC307">
        <v>246</v>
      </c>
      <c r="BD307" t="s">
        <v>74</v>
      </c>
      <c r="BE307" t="s">
        <v>5997</v>
      </c>
      <c r="BF307" t="str">
        <f>HYPERLINK("http://dx.doi.org/10.1175/JPO-D-18-0080.1","http://dx.doi.org/10.1175/JPO-D-18-0080.1")</f>
        <v>http://dx.doi.org/10.1175/JPO-D-18-0080.1</v>
      </c>
      <c r="BG307" t="s">
        <v>74</v>
      </c>
      <c r="BH307" t="s">
        <v>74</v>
      </c>
      <c r="BI307">
        <v>20</v>
      </c>
      <c r="BJ307" t="s">
        <v>773</v>
      </c>
      <c r="BK307" t="s">
        <v>101</v>
      </c>
      <c r="BL307" t="s">
        <v>773</v>
      </c>
      <c r="BM307" t="s">
        <v>5998</v>
      </c>
      <c r="BN307" t="s">
        <v>74</v>
      </c>
      <c r="BO307" t="s">
        <v>2948</v>
      </c>
      <c r="BP307" t="s">
        <v>74</v>
      </c>
      <c r="BQ307" t="s">
        <v>74</v>
      </c>
      <c r="BR307" t="s">
        <v>104</v>
      </c>
      <c r="BS307" t="s">
        <v>5999</v>
      </c>
      <c r="BT307" t="str">
        <f>HYPERLINK("https%3A%2F%2Fwww.webofscience.com%2Fwos%2Fwoscc%2Ffull-record%2FWOS:000454864400001","View Full Record in Web of Science")</f>
        <v>View Full Record in Web of Science</v>
      </c>
    </row>
    <row r="308" spans="1:72" x14ac:dyDescent="0.15">
      <c r="A308" t="s">
        <v>72</v>
      </c>
      <c r="B308" t="s">
        <v>6000</v>
      </c>
      <c r="C308" t="s">
        <v>74</v>
      </c>
      <c r="D308" t="s">
        <v>74</v>
      </c>
      <c r="E308" t="s">
        <v>74</v>
      </c>
      <c r="F308" t="s">
        <v>6001</v>
      </c>
      <c r="G308" t="s">
        <v>74</v>
      </c>
      <c r="H308" t="s">
        <v>74</v>
      </c>
      <c r="I308" t="s">
        <v>6002</v>
      </c>
      <c r="J308" t="s">
        <v>6003</v>
      </c>
      <c r="K308" t="s">
        <v>74</v>
      </c>
      <c r="L308" t="s">
        <v>74</v>
      </c>
      <c r="M308" t="s">
        <v>78</v>
      </c>
      <c r="N308" t="s">
        <v>79</v>
      </c>
      <c r="O308" t="s">
        <v>74</v>
      </c>
      <c r="P308" t="s">
        <v>74</v>
      </c>
      <c r="Q308" t="s">
        <v>74</v>
      </c>
      <c r="R308" t="s">
        <v>74</v>
      </c>
      <c r="S308" t="s">
        <v>74</v>
      </c>
      <c r="T308" t="s">
        <v>6004</v>
      </c>
      <c r="U308" t="s">
        <v>6005</v>
      </c>
      <c r="V308" t="s">
        <v>6006</v>
      </c>
      <c r="W308" t="s">
        <v>6007</v>
      </c>
      <c r="X308" t="s">
        <v>6008</v>
      </c>
      <c r="Y308" t="s">
        <v>6009</v>
      </c>
      <c r="Z308" t="s">
        <v>6010</v>
      </c>
      <c r="AA308" t="s">
        <v>6011</v>
      </c>
      <c r="AB308" t="s">
        <v>6012</v>
      </c>
      <c r="AC308" t="s">
        <v>6013</v>
      </c>
      <c r="AD308" t="s">
        <v>6014</v>
      </c>
      <c r="AE308" t="s">
        <v>6015</v>
      </c>
      <c r="AF308" t="s">
        <v>74</v>
      </c>
      <c r="AG308">
        <v>75</v>
      </c>
      <c r="AH308">
        <v>23</v>
      </c>
      <c r="AI308">
        <v>28</v>
      </c>
      <c r="AJ308">
        <v>3</v>
      </c>
      <c r="AK308">
        <v>29</v>
      </c>
      <c r="AL308" t="s">
        <v>6016</v>
      </c>
      <c r="AM308" t="s">
        <v>6017</v>
      </c>
      <c r="AN308" t="s">
        <v>6018</v>
      </c>
      <c r="AO308" t="s">
        <v>6019</v>
      </c>
      <c r="AP308" t="s">
        <v>6020</v>
      </c>
      <c r="AQ308" t="s">
        <v>74</v>
      </c>
      <c r="AR308" t="s">
        <v>6021</v>
      </c>
      <c r="AS308" t="s">
        <v>6022</v>
      </c>
      <c r="AT308" t="s">
        <v>718</v>
      </c>
      <c r="AU308">
        <v>2019</v>
      </c>
      <c r="AV308">
        <v>130</v>
      </c>
      <c r="AW308" t="s">
        <v>74</v>
      </c>
      <c r="AX308" t="s">
        <v>74</v>
      </c>
      <c r="AY308" t="s">
        <v>74</v>
      </c>
      <c r="AZ308" t="s">
        <v>74</v>
      </c>
      <c r="BA308" t="s">
        <v>74</v>
      </c>
      <c r="BB308">
        <v>397</v>
      </c>
      <c r="BC308">
        <v>405</v>
      </c>
      <c r="BD308" t="s">
        <v>74</v>
      </c>
      <c r="BE308" t="s">
        <v>6023</v>
      </c>
      <c r="BF308" t="str">
        <f>HYPERLINK("http://dx.doi.org/10.1016/j.ympev.2018.09.009","http://dx.doi.org/10.1016/j.ympev.2018.09.009")</f>
        <v>http://dx.doi.org/10.1016/j.ympev.2018.09.009</v>
      </c>
      <c r="BG308" t="s">
        <v>74</v>
      </c>
      <c r="BH308" t="s">
        <v>74</v>
      </c>
      <c r="BI308">
        <v>9</v>
      </c>
      <c r="BJ308" t="s">
        <v>4242</v>
      </c>
      <c r="BK308" t="s">
        <v>101</v>
      </c>
      <c r="BL308" t="s">
        <v>4242</v>
      </c>
      <c r="BM308" t="s">
        <v>6024</v>
      </c>
      <c r="BN308">
        <v>30227214</v>
      </c>
      <c r="BO308" t="s">
        <v>6025</v>
      </c>
      <c r="BP308" t="s">
        <v>74</v>
      </c>
      <c r="BQ308" t="s">
        <v>74</v>
      </c>
      <c r="BR308" t="s">
        <v>104</v>
      </c>
      <c r="BS308" t="s">
        <v>6026</v>
      </c>
      <c r="BT308" t="str">
        <f>HYPERLINK("https%3A%2F%2Fwww.webofscience.com%2Fwos%2Fwoscc%2Ffull-record%2FWOS:000452963200035","View Full Record in Web of Science")</f>
        <v>View Full Record in Web of Science</v>
      </c>
    </row>
    <row r="309" spans="1:72" x14ac:dyDescent="0.15">
      <c r="A309" t="s">
        <v>72</v>
      </c>
      <c r="B309" t="s">
        <v>6027</v>
      </c>
      <c r="C309" t="s">
        <v>74</v>
      </c>
      <c r="D309" t="s">
        <v>74</v>
      </c>
      <c r="E309" t="s">
        <v>74</v>
      </c>
      <c r="F309" t="s">
        <v>6028</v>
      </c>
      <c r="G309" t="s">
        <v>74</v>
      </c>
      <c r="H309" t="s">
        <v>74</v>
      </c>
      <c r="I309" t="s">
        <v>6029</v>
      </c>
      <c r="J309" t="s">
        <v>6030</v>
      </c>
      <c r="K309" t="s">
        <v>74</v>
      </c>
      <c r="L309" t="s">
        <v>74</v>
      </c>
      <c r="M309" t="s">
        <v>2470</v>
      </c>
      <c r="N309" t="s">
        <v>79</v>
      </c>
      <c r="O309" t="s">
        <v>74</v>
      </c>
      <c r="P309" t="s">
        <v>74</v>
      </c>
      <c r="Q309" t="s">
        <v>74</v>
      </c>
      <c r="R309" t="s">
        <v>74</v>
      </c>
      <c r="S309" t="s">
        <v>74</v>
      </c>
      <c r="T309" t="s">
        <v>6031</v>
      </c>
      <c r="U309" t="s">
        <v>74</v>
      </c>
      <c r="V309" t="s">
        <v>6032</v>
      </c>
      <c r="W309" t="s">
        <v>6033</v>
      </c>
      <c r="X309" t="s">
        <v>6034</v>
      </c>
      <c r="Y309" t="s">
        <v>6035</v>
      </c>
      <c r="Z309" t="s">
        <v>6036</v>
      </c>
      <c r="AA309" t="s">
        <v>6037</v>
      </c>
      <c r="AB309" t="s">
        <v>74</v>
      </c>
      <c r="AC309" t="s">
        <v>74</v>
      </c>
      <c r="AD309" t="s">
        <v>74</v>
      </c>
      <c r="AE309" t="s">
        <v>74</v>
      </c>
      <c r="AF309" t="s">
        <v>74</v>
      </c>
      <c r="AG309">
        <v>43</v>
      </c>
      <c r="AH309">
        <v>0</v>
      </c>
      <c r="AI309">
        <v>0</v>
      </c>
      <c r="AJ309">
        <v>0</v>
      </c>
      <c r="AK309">
        <v>4</v>
      </c>
      <c r="AL309" t="s">
        <v>6038</v>
      </c>
      <c r="AM309" t="s">
        <v>6039</v>
      </c>
      <c r="AN309" t="s">
        <v>6040</v>
      </c>
      <c r="AO309" t="s">
        <v>6041</v>
      </c>
      <c r="AP309" t="s">
        <v>74</v>
      </c>
      <c r="AQ309" t="s">
        <v>74</v>
      </c>
      <c r="AR309" t="s">
        <v>6042</v>
      </c>
      <c r="AS309" t="s">
        <v>6043</v>
      </c>
      <c r="AT309" t="s">
        <v>2421</v>
      </c>
      <c r="AU309">
        <v>2019</v>
      </c>
      <c r="AV309">
        <v>10</v>
      </c>
      <c r="AW309">
        <v>1</v>
      </c>
      <c r="AX309" t="s">
        <v>74</v>
      </c>
      <c r="AY309" t="s">
        <v>74</v>
      </c>
      <c r="AZ309" t="s">
        <v>74</v>
      </c>
      <c r="BA309" t="s">
        <v>74</v>
      </c>
      <c r="BB309">
        <v>1</v>
      </c>
      <c r="BC309">
        <v>19</v>
      </c>
      <c r="BD309" t="s">
        <v>74</v>
      </c>
      <c r="BE309" t="s">
        <v>74</v>
      </c>
      <c r="BF309" t="s">
        <v>74</v>
      </c>
      <c r="BG309" t="s">
        <v>74</v>
      </c>
      <c r="BH309" t="s">
        <v>74</v>
      </c>
      <c r="BI309">
        <v>19</v>
      </c>
      <c r="BJ309" t="s">
        <v>6044</v>
      </c>
      <c r="BK309" t="s">
        <v>349</v>
      </c>
      <c r="BL309" t="s">
        <v>6044</v>
      </c>
      <c r="BM309" t="s">
        <v>6045</v>
      </c>
      <c r="BN309" t="s">
        <v>74</v>
      </c>
      <c r="BO309" t="s">
        <v>74</v>
      </c>
      <c r="BP309" t="s">
        <v>74</v>
      </c>
      <c r="BQ309" t="s">
        <v>74</v>
      </c>
      <c r="BR309" t="s">
        <v>104</v>
      </c>
      <c r="BS309" t="s">
        <v>6046</v>
      </c>
      <c r="BT309" t="str">
        <f>HYPERLINK("https%3A%2F%2Fwww.webofscience.com%2Fwos%2Fwoscc%2Ffull-record%2FWOS:000454551300001","View Full Record in Web of Science")</f>
        <v>View Full Record in Web of Science</v>
      </c>
    </row>
    <row r="310" spans="1:72" x14ac:dyDescent="0.15">
      <c r="A310" t="s">
        <v>72</v>
      </c>
      <c r="B310" t="s">
        <v>6047</v>
      </c>
      <c r="C310" t="s">
        <v>74</v>
      </c>
      <c r="D310" t="s">
        <v>74</v>
      </c>
      <c r="E310" t="s">
        <v>74</v>
      </c>
      <c r="F310" t="s">
        <v>6048</v>
      </c>
      <c r="G310" t="s">
        <v>74</v>
      </c>
      <c r="H310" t="s">
        <v>74</v>
      </c>
      <c r="I310" t="s">
        <v>6049</v>
      </c>
      <c r="J310" t="s">
        <v>6030</v>
      </c>
      <c r="K310" t="s">
        <v>74</v>
      </c>
      <c r="L310" t="s">
        <v>74</v>
      </c>
      <c r="M310" t="s">
        <v>2470</v>
      </c>
      <c r="N310" t="s">
        <v>79</v>
      </c>
      <c r="O310" t="s">
        <v>74</v>
      </c>
      <c r="P310" t="s">
        <v>74</v>
      </c>
      <c r="Q310" t="s">
        <v>74</v>
      </c>
      <c r="R310" t="s">
        <v>74</v>
      </c>
      <c r="S310" t="s">
        <v>74</v>
      </c>
      <c r="T310" t="s">
        <v>6050</v>
      </c>
      <c r="U310" t="s">
        <v>74</v>
      </c>
      <c r="V310" t="s">
        <v>6051</v>
      </c>
      <c r="W310" t="s">
        <v>6052</v>
      </c>
      <c r="X310" t="s">
        <v>6053</v>
      </c>
      <c r="Y310" t="s">
        <v>6054</v>
      </c>
      <c r="Z310" t="s">
        <v>6055</v>
      </c>
      <c r="AA310" t="s">
        <v>74</v>
      </c>
      <c r="AB310" t="s">
        <v>74</v>
      </c>
      <c r="AC310" t="s">
        <v>74</v>
      </c>
      <c r="AD310" t="s">
        <v>74</v>
      </c>
      <c r="AE310" t="s">
        <v>74</v>
      </c>
      <c r="AF310" t="s">
        <v>74</v>
      </c>
      <c r="AG310">
        <v>10</v>
      </c>
      <c r="AH310">
        <v>0</v>
      </c>
      <c r="AI310">
        <v>0</v>
      </c>
      <c r="AJ310">
        <v>0</v>
      </c>
      <c r="AK310">
        <v>0</v>
      </c>
      <c r="AL310" t="s">
        <v>6038</v>
      </c>
      <c r="AM310" t="s">
        <v>6039</v>
      </c>
      <c r="AN310" t="s">
        <v>6040</v>
      </c>
      <c r="AO310" t="s">
        <v>6041</v>
      </c>
      <c r="AP310" t="s">
        <v>74</v>
      </c>
      <c r="AQ310" t="s">
        <v>74</v>
      </c>
      <c r="AR310" t="s">
        <v>6042</v>
      </c>
      <c r="AS310" t="s">
        <v>6043</v>
      </c>
      <c r="AT310" t="s">
        <v>2421</v>
      </c>
      <c r="AU310">
        <v>2019</v>
      </c>
      <c r="AV310">
        <v>10</v>
      </c>
      <c r="AW310">
        <v>1</v>
      </c>
      <c r="AX310" t="s">
        <v>74</v>
      </c>
      <c r="AY310" t="s">
        <v>74</v>
      </c>
      <c r="AZ310" t="s">
        <v>74</v>
      </c>
      <c r="BA310" t="s">
        <v>74</v>
      </c>
      <c r="BB310">
        <v>48</v>
      </c>
      <c r="BC310">
        <v>60</v>
      </c>
      <c r="BD310" t="s">
        <v>74</v>
      </c>
      <c r="BE310" t="s">
        <v>74</v>
      </c>
      <c r="BF310" t="s">
        <v>74</v>
      </c>
      <c r="BG310" t="s">
        <v>74</v>
      </c>
      <c r="BH310" t="s">
        <v>74</v>
      </c>
      <c r="BI310">
        <v>13</v>
      </c>
      <c r="BJ310" t="s">
        <v>6044</v>
      </c>
      <c r="BK310" t="s">
        <v>349</v>
      </c>
      <c r="BL310" t="s">
        <v>6044</v>
      </c>
      <c r="BM310" t="s">
        <v>6045</v>
      </c>
      <c r="BN310" t="s">
        <v>74</v>
      </c>
      <c r="BO310" t="s">
        <v>74</v>
      </c>
      <c r="BP310" t="s">
        <v>74</v>
      </c>
      <c r="BQ310" t="s">
        <v>74</v>
      </c>
      <c r="BR310" t="s">
        <v>104</v>
      </c>
      <c r="BS310" t="s">
        <v>6056</v>
      </c>
      <c r="BT310" t="str">
        <f>HYPERLINK("https%3A%2F%2Fwww.webofscience.com%2Fwos%2Fwoscc%2Ffull-record%2FWOS:000454551300003","View Full Record in Web of Science")</f>
        <v>View Full Record in Web of Science</v>
      </c>
    </row>
    <row r="311" spans="1:72" x14ac:dyDescent="0.15">
      <c r="A311" t="s">
        <v>72</v>
      </c>
      <c r="B311" t="s">
        <v>6057</v>
      </c>
      <c r="C311" t="s">
        <v>74</v>
      </c>
      <c r="D311" t="s">
        <v>74</v>
      </c>
      <c r="E311" t="s">
        <v>74</v>
      </c>
      <c r="F311" t="s">
        <v>6058</v>
      </c>
      <c r="G311" t="s">
        <v>74</v>
      </c>
      <c r="H311" t="s">
        <v>74</v>
      </c>
      <c r="I311" t="s">
        <v>6059</v>
      </c>
      <c r="J311" t="s">
        <v>6060</v>
      </c>
      <c r="K311" t="s">
        <v>74</v>
      </c>
      <c r="L311" t="s">
        <v>74</v>
      </c>
      <c r="M311" t="s">
        <v>78</v>
      </c>
      <c r="N311" t="s">
        <v>79</v>
      </c>
      <c r="O311" t="s">
        <v>74</v>
      </c>
      <c r="P311" t="s">
        <v>74</v>
      </c>
      <c r="Q311" t="s">
        <v>74</v>
      </c>
      <c r="R311" t="s">
        <v>74</v>
      </c>
      <c r="S311" t="s">
        <v>74</v>
      </c>
      <c r="T311" t="s">
        <v>6061</v>
      </c>
      <c r="U311" t="s">
        <v>6062</v>
      </c>
      <c r="V311" t="s">
        <v>6063</v>
      </c>
      <c r="W311" t="s">
        <v>6064</v>
      </c>
      <c r="X311" t="s">
        <v>6065</v>
      </c>
      <c r="Y311" t="s">
        <v>6066</v>
      </c>
      <c r="Z311" t="s">
        <v>6067</v>
      </c>
      <c r="AA311" t="s">
        <v>74</v>
      </c>
      <c r="AB311" t="s">
        <v>6068</v>
      </c>
      <c r="AC311" t="s">
        <v>74</v>
      </c>
      <c r="AD311" t="s">
        <v>74</v>
      </c>
      <c r="AE311" t="s">
        <v>74</v>
      </c>
      <c r="AF311" t="s">
        <v>74</v>
      </c>
      <c r="AG311">
        <v>35</v>
      </c>
      <c r="AH311">
        <v>11</v>
      </c>
      <c r="AI311">
        <v>12</v>
      </c>
      <c r="AJ311">
        <v>0</v>
      </c>
      <c r="AK311">
        <v>23</v>
      </c>
      <c r="AL311" t="s">
        <v>6069</v>
      </c>
      <c r="AM311" t="s">
        <v>6070</v>
      </c>
      <c r="AN311" t="s">
        <v>6071</v>
      </c>
      <c r="AO311" t="s">
        <v>6072</v>
      </c>
      <c r="AP311" t="s">
        <v>6073</v>
      </c>
      <c r="AQ311" t="s">
        <v>74</v>
      </c>
      <c r="AR311" t="s">
        <v>6074</v>
      </c>
      <c r="AS311" t="s">
        <v>6075</v>
      </c>
      <c r="AT311" t="s">
        <v>718</v>
      </c>
      <c r="AU311">
        <v>2019</v>
      </c>
      <c r="AV311">
        <v>90</v>
      </c>
      <c r="AW311">
        <v>1</v>
      </c>
      <c r="AX311" t="s">
        <v>74</v>
      </c>
      <c r="AY311" t="s">
        <v>74</v>
      </c>
      <c r="AZ311" t="s">
        <v>74</v>
      </c>
      <c r="BA311" t="s">
        <v>74</v>
      </c>
      <c r="BB311">
        <v>18</v>
      </c>
      <c r="BC311">
        <v>25</v>
      </c>
      <c r="BD311" t="s">
        <v>74</v>
      </c>
      <c r="BE311" t="s">
        <v>6076</v>
      </c>
      <c r="BF311" t="str">
        <f>HYPERLINK("http://dx.doi.org/10.3357/AMHP.5248.2019","http://dx.doi.org/10.3357/AMHP.5248.2019")</f>
        <v>http://dx.doi.org/10.3357/AMHP.5248.2019</v>
      </c>
      <c r="BG311" t="s">
        <v>74</v>
      </c>
      <c r="BH311" t="s">
        <v>74</v>
      </c>
      <c r="BI311">
        <v>8</v>
      </c>
      <c r="BJ311" t="s">
        <v>6077</v>
      </c>
      <c r="BK311" t="s">
        <v>3493</v>
      </c>
      <c r="BL311" t="s">
        <v>6078</v>
      </c>
      <c r="BM311" t="s">
        <v>6079</v>
      </c>
      <c r="BN311">
        <v>30579373</v>
      </c>
      <c r="BO311" t="s">
        <v>2948</v>
      </c>
      <c r="BP311" t="s">
        <v>74</v>
      </c>
      <c r="BQ311" t="s">
        <v>74</v>
      </c>
      <c r="BR311" t="s">
        <v>104</v>
      </c>
      <c r="BS311" t="s">
        <v>6080</v>
      </c>
      <c r="BT311" t="str">
        <f>HYPERLINK("https%3A%2F%2Fwww.webofscience.com%2Fwos%2Fwoscc%2Ffull-record%2FWOS:000454175700004","View Full Record in Web of Science")</f>
        <v>View Full Record in Web of Science</v>
      </c>
    </row>
    <row r="312" spans="1:72" x14ac:dyDescent="0.15">
      <c r="A312" t="s">
        <v>72</v>
      </c>
      <c r="B312" t="s">
        <v>6081</v>
      </c>
      <c r="C312" t="s">
        <v>74</v>
      </c>
      <c r="D312" t="s">
        <v>74</v>
      </c>
      <c r="E312" t="s">
        <v>74</v>
      </c>
      <c r="F312" t="s">
        <v>6082</v>
      </c>
      <c r="G312" t="s">
        <v>74</v>
      </c>
      <c r="H312" t="s">
        <v>74</v>
      </c>
      <c r="I312" t="s">
        <v>6083</v>
      </c>
      <c r="J312" t="s">
        <v>5980</v>
      </c>
      <c r="K312" t="s">
        <v>74</v>
      </c>
      <c r="L312" t="s">
        <v>74</v>
      </c>
      <c r="M312" t="s">
        <v>78</v>
      </c>
      <c r="N312" t="s">
        <v>79</v>
      </c>
      <c r="O312" t="s">
        <v>74</v>
      </c>
      <c r="P312" t="s">
        <v>74</v>
      </c>
      <c r="Q312" t="s">
        <v>74</v>
      </c>
      <c r="R312" t="s">
        <v>74</v>
      </c>
      <c r="S312" t="s">
        <v>74</v>
      </c>
      <c r="T312" t="s">
        <v>6084</v>
      </c>
      <c r="U312" t="s">
        <v>6085</v>
      </c>
      <c r="V312" t="s">
        <v>6086</v>
      </c>
      <c r="W312" t="s">
        <v>6087</v>
      </c>
      <c r="X312" t="s">
        <v>6088</v>
      </c>
      <c r="Y312" t="s">
        <v>6089</v>
      </c>
      <c r="Z312" t="s">
        <v>6090</v>
      </c>
      <c r="AA312" t="s">
        <v>6091</v>
      </c>
      <c r="AB312" t="s">
        <v>6092</v>
      </c>
      <c r="AC312" t="s">
        <v>6093</v>
      </c>
      <c r="AD312" t="s">
        <v>6094</v>
      </c>
      <c r="AE312" t="s">
        <v>6095</v>
      </c>
      <c r="AF312" t="s">
        <v>74</v>
      </c>
      <c r="AG312">
        <v>63</v>
      </c>
      <c r="AH312">
        <v>7</v>
      </c>
      <c r="AI312">
        <v>7</v>
      </c>
      <c r="AJ312">
        <v>0</v>
      </c>
      <c r="AK312">
        <v>5</v>
      </c>
      <c r="AL312" t="s">
        <v>4136</v>
      </c>
      <c r="AM312" t="s">
        <v>4137</v>
      </c>
      <c r="AN312" t="s">
        <v>4138</v>
      </c>
      <c r="AO312" t="s">
        <v>5993</v>
      </c>
      <c r="AP312" t="s">
        <v>5994</v>
      </c>
      <c r="AQ312" t="s">
        <v>74</v>
      </c>
      <c r="AR312" t="s">
        <v>5995</v>
      </c>
      <c r="AS312" t="s">
        <v>5996</v>
      </c>
      <c r="AT312" t="s">
        <v>718</v>
      </c>
      <c r="AU312">
        <v>2019</v>
      </c>
      <c r="AV312">
        <v>49</v>
      </c>
      <c r="AW312">
        <v>1</v>
      </c>
      <c r="AX312" t="s">
        <v>74</v>
      </c>
      <c r="AY312" t="s">
        <v>74</v>
      </c>
      <c r="AZ312" t="s">
        <v>74</v>
      </c>
      <c r="BA312" t="s">
        <v>74</v>
      </c>
      <c r="BB312">
        <v>3</v>
      </c>
      <c r="BC312">
        <v>20</v>
      </c>
      <c r="BD312" t="s">
        <v>74</v>
      </c>
      <c r="BE312" t="s">
        <v>6096</v>
      </c>
      <c r="BF312" t="str">
        <f>HYPERLINK("http://dx.doi.org/10.1175/JPO-D-18-0093.1","http://dx.doi.org/10.1175/JPO-D-18-0093.1")</f>
        <v>http://dx.doi.org/10.1175/JPO-D-18-0093.1</v>
      </c>
      <c r="BG312" t="s">
        <v>74</v>
      </c>
      <c r="BH312" t="s">
        <v>74</v>
      </c>
      <c r="BI312">
        <v>18</v>
      </c>
      <c r="BJ312" t="s">
        <v>773</v>
      </c>
      <c r="BK312" t="s">
        <v>101</v>
      </c>
      <c r="BL312" t="s">
        <v>773</v>
      </c>
      <c r="BM312" t="s">
        <v>6097</v>
      </c>
      <c r="BN312" t="s">
        <v>74</v>
      </c>
      <c r="BO312" t="s">
        <v>3810</v>
      </c>
      <c r="BP312" t="s">
        <v>74</v>
      </c>
      <c r="BQ312" t="s">
        <v>74</v>
      </c>
      <c r="BR312" t="s">
        <v>104</v>
      </c>
      <c r="BS312" t="s">
        <v>6098</v>
      </c>
      <c r="BT312" t="str">
        <f>HYPERLINK("https%3A%2F%2Fwww.webofscience.com%2Fwos%2Fwoscc%2Ffull-record%2FWOS:000453535300001","View Full Record in Web of Science")</f>
        <v>View Full Record in Web of Science</v>
      </c>
    </row>
    <row r="313" spans="1:72" x14ac:dyDescent="0.15">
      <c r="A313" t="s">
        <v>72</v>
      </c>
      <c r="B313" t="s">
        <v>6099</v>
      </c>
      <c r="C313" t="s">
        <v>74</v>
      </c>
      <c r="D313" t="s">
        <v>74</v>
      </c>
      <c r="E313" t="s">
        <v>74</v>
      </c>
      <c r="F313" t="s">
        <v>6100</v>
      </c>
      <c r="G313" t="s">
        <v>74</v>
      </c>
      <c r="H313" t="s">
        <v>74</v>
      </c>
      <c r="I313" t="s">
        <v>6101</v>
      </c>
      <c r="J313" t="s">
        <v>6102</v>
      </c>
      <c r="K313" t="s">
        <v>74</v>
      </c>
      <c r="L313" t="s">
        <v>74</v>
      </c>
      <c r="M313" t="s">
        <v>78</v>
      </c>
      <c r="N313" t="s">
        <v>79</v>
      </c>
      <c r="O313" t="s">
        <v>74</v>
      </c>
      <c r="P313" t="s">
        <v>74</v>
      </c>
      <c r="Q313" t="s">
        <v>74</v>
      </c>
      <c r="R313" t="s">
        <v>74</v>
      </c>
      <c r="S313" t="s">
        <v>74</v>
      </c>
      <c r="T313" t="s">
        <v>74</v>
      </c>
      <c r="U313" t="s">
        <v>6103</v>
      </c>
      <c r="V313" t="s">
        <v>6104</v>
      </c>
      <c r="W313" t="s">
        <v>6105</v>
      </c>
      <c r="X313" t="s">
        <v>6106</v>
      </c>
      <c r="Y313" t="s">
        <v>6107</v>
      </c>
      <c r="Z313" t="s">
        <v>6108</v>
      </c>
      <c r="AA313" t="s">
        <v>6109</v>
      </c>
      <c r="AB313" t="s">
        <v>6110</v>
      </c>
      <c r="AC313" t="s">
        <v>6111</v>
      </c>
      <c r="AD313" t="s">
        <v>6112</v>
      </c>
      <c r="AE313" t="s">
        <v>6113</v>
      </c>
      <c r="AF313" t="s">
        <v>74</v>
      </c>
      <c r="AG313">
        <v>74</v>
      </c>
      <c r="AH313">
        <v>27</v>
      </c>
      <c r="AI313">
        <v>27</v>
      </c>
      <c r="AJ313">
        <v>2</v>
      </c>
      <c r="AK313">
        <v>19</v>
      </c>
      <c r="AL313" t="s">
        <v>6114</v>
      </c>
      <c r="AM313" t="s">
        <v>6115</v>
      </c>
      <c r="AN313" t="s">
        <v>6116</v>
      </c>
      <c r="AO313" t="s">
        <v>6117</v>
      </c>
      <c r="AP313" t="s">
        <v>6118</v>
      </c>
      <c r="AQ313" t="s">
        <v>74</v>
      </c>
      <c r="AR313" t="s">
        <v>6119</v>
      </c>
      <c r="AS313" t="s">
        <v>6120</v>
      </c>
      <c r="AT313" t="s">
        <v>718</v>
      </c>
      <c r="AU313">
        <v>2019</v>
      </c>
      <c r="AV313">
        <v>166</v>
      </c>
      <c r="AW313">
        <v>1</v>
      </c>
      <c r="AX313" t="s">
        <v>74</v>
      </c>
      <c r="AY313" t="s">
        <v>74</v>
      </c>
      <c r="AZ313" t="s">
        <v>74</v>
      </c>
      <c r="BA313" t="s">
        <v>74</v>
      </c>
      <c r="BB313" t="s">
        <v>74</v>
      </c>
      <c r="BC313" t="s">
        <v>74</v>
      </c>
      <c r="BD313">
        <v>8</v>
      </c>
      <c r="BE313" t="s">
        <v>6121</v>
      </c>
      <c r="BF313" t="str">
        <f>HYPERLINK("http://dx.doi.org/10.1007/s00227-018-3451-7","http://dx.doi.org/10.1007/s00227-018-3451-7")</f>
        <v>http://dx.doi.org/10.1007/s00227-018-3451-7</v>
      </c>
      <c r="BG313" t="s">
        <v>74</v>
      </c>
      <c r="BH313" t="s">
        <v>74</v>
      </c>
      <c r="BI313">
        <v>14</v>
      </c>
      <c r="BJ313" t="s">
        <v>694</v>
      </c>
      <c r="BK313" t="s">
        <v>101</v>
      </c>
      <c r="BL313" t="s">
        <v>694</v>
      </c>
      <c r="BM313" t="s">
        <v>6122</v>
      </c>
      <c r="BN313">
        <v>30595609</v>
      </c>
      <c r="BO313" t="s">
        <v>4408</v>
      </c>
      <c r="BP313" t="s">
        <v>74</v>
      </c>
      <c r="BQ313" t="s">
        <v>74</v>
      </c>
      <c r="BR313" t="s">
        <v>104</v>
      </c>
      <c r="BS313" t="s">
        <v>6123</v>
      </c>
      <c r="BT313" t="str">
        <f>HYPERLINK("https%3A%2F%2Fwww.webofscience.com%2Fwos%2Fwoscc%2Ffull-record%2FWOS:000453383000001","View Full Record in Web of Science")</f>
        <v>View Full Record in Web of Science</v>
      </c>
    </row>
    <row r="314" spans="1:72" x14ac:dyDescent="0.15">
      <c r="A314" t="s">
        <v>72</v>
      </c>
      <c r="B314" t="s">
        <v>6124</v>
      </c>
      <c r="C314" t="s">
        <v>74</v>
      </c>
      <c r="D314" t="s">
        <v>74</v>
      </c>
      <c r="E314" t="s">
        <v>74</v>
      </c>
      <c r="F314" t="s">
        <v>6125</v>
      </c>
      <c r="G314" t="s">
        <v>74</v>
      </c>
      <c r="H314" t="s">
        <v>74</v>
      </c>
      <c r="I314" t="s">
        <v>6126</v>
      </c>
      <c r="J314" t="s">
        <v>6127</v>
      </c>
      <c r="K314" t="s">
        <v>74</v>
      </c>
      <c r="L314" t="s">
        <v>74</v>
      </c>
      <c r="M314" t="s">
        <v>78</v>
      </c>
      <c r="N314" t="s">
        <v>1003</v>
      </c>
      <c r="O314" t="s">
        <v>74</v>
      </c>
      <c r="P314" t="s">
        <v>74</v>
      </c>
      <c r="Q314" t="s">
        <v>74</v>
      </c>
      <c r="R314" t="s">
        <v>74</v>
      </c>
      <c r="S314" t="s">
        <v>74</v>
      </c>
      <c r="T314" t="s">
        <v>6128</v>
      </c>
      <c r="U314" t="s">
        <v>6129</v>
      </c>
      <c r="V314" t="s">
        <v>6130</v>
      </c>
      <c r="W314" t="s">
        <v>6131</v>
      </c>
      <c r="X314" t="s">
        <v>6132</v>
      </c>
      <c r="Y314" t="s">
        <v>6133</v>
      </c>
      <c r="Z314" t="s">
        <v>6134</v>
      </c>
      <c r="AA314" t="s">
        <v>6135</v>
      </c>
      <c r="AB314" t="s">
        <v>6136</v>
      </c>
      <c r="AC314" t="s">
        <v>6137</v>
      </c>
      <c r="AD314" t="s">
        <v>6137</v>
      </c>
      <c r="AE314" t="s">
        <v>6138</v>
      </c>
      <c r="AF314" t="s">
        <v>74</v>
      </c>
      <c r="AG314">
        <v>131</v>
      </c>
      <c r="AH314">
        <v>46</v>
      </c>
      <c r="AI314">
        <v>47</v>
      </c>
      <c r="AJ314">
        <v>7</v>
      </c>
      <c r="AK314">
        <v>71</v>
      </c>
      <c r="AL314" t="s">
        <v>6139</v>
      </c>
      <c r="AM314" t="s">
        <v>3353</v>
      </c>
      <c r="AN314" t="s">
        <v>6140</v>
      </c>
      <c r="AO314" t="s">
        <v>6141</v>
      </c>
      <c r="AP314" t="s">
        <v>6142</v>
      </c>
      <c r="AQ314" t="s">
        <v>74</v>
      </c>
      <c r="AR314" t="s">
        <v>6143</v>
      </c>
      <c r="AS314" t="s">
        <v>6144</v>
      </c>
      <c r="AT314" t="s">
        <v>718</v>
      </c>
      <c r="AU314">
        <v>2019</v>
      </c>
      <c r="AV314">
        <v>63</v>
      </c>
      <c r="AW314" t="s">
        <v>74</v>
      </c>
      <c r="AX314" t="s">
        <v>74</v>
      </c>
      <c r="AY314" t="s">
        <v>74</v>
      </c>
      <c r="AZ314" t="s">
        <v>74</v>
      </c>
      <c r="BA314" t="s">
        <v>74</v>
      </c>
      <c r="BB314">
        <v>181</v>
      </c>
      <c r="BC314">
        <v>195</v>
      </c>
      <c r="BD314" t="s">
        <v>74</v>
      </c>
      <c r="BE314" t="s">
        <v>6145</v>
      </c>
      <c r="BF314" t="str">
        <f>HYPERLINK("http://dx.doi.org/10.1016/j.marstruc.2018.09.008","http://dx.doi.org/10.1016/j.marstruc.2018.09.008")</f>
        <v>http://dx.doi.org/10.1016/j.marstruc.2018.09.008</v>
      </c>
      <c r="BG314" t="s">
        <v>74</v>
      </c>
      <c r="BH314" t="s">
        <v>74</v>
      </c>
      <c r="BI314">
        <v>15</v>
      </c>
      <c r="BJ314" t="s">
        <v>6146</v>
      </c>
      <c r="BK314" t="s">
        <v>3493</v>
      </c>
      <c r="BL314" t="s">
        <v>1241</v>
      </c>
      <c r="BM314" t="s">
        <v>6147</v>
      </c>
      <c r="BN314" t="s">
        <v>74</v>
      </c>
      <c r="BO314" t="s">
        <v>74</v>
      </c>
      <c r="BP314" t="s">
        <v>74</v>
      </c>
      <c r="BQ314" t="s">
        <v>74</v>
      </c>
      <c r="BR314" t="s">
        <v>104</v>
      </c>
      <c r="BS314" t="s">
        <v>6148</v>
      </c>
      <c r="BT314" t="str">
        <f>HYPERLINK("https%3A%2F%2Fwww.webofscience.com%2Fwos%2Fwoscc%2Ffull-record%2FWOS:000453626400010","View Full Record in Web of Science")</f>
        <v>View Full Record in Web of Science</v>
      </c>
    </row>
    <row r="315" spans="1:72" x14ac:dyDescent="0.15">
      <c r="A315" t="s">
        <v>72</v>
      </c>
      <c r="B315" t="s">
        <v>6149</v>
      </c>
      <c r="C315" t="s">
        <v>74</v>
      </c>
      <c r="D315" t="s">
        <v>74</v>
      </c>
      <c r="E315" t="s">
        <v>74</v>
      </c>
      <c r="F315" t="s">
        <v>6150</v>
      </c>
      <c r="G315" t="s">
        <v>74</v>
      </c>
      <c r="H315" t="s">
        <v>74</v>
      </c>
      <c r="I315" t="s">
        <v>6151</v>
      </c>
      <c r="J315" t="s">
        <v>6152</v>
      </c>
      <c r="K315" t="s">
        <v>74</v>
      </c>
      <c r="L315" t="s">
        <v>74</v>
      </c>
      <c r="M315" t="s">
        <v>78</v>
      </c>
      <c r="N315" t="s">
        <v>79</v>
      </c>
      <c r="O315" t="s">
        <v>74</v>
      </c>
      <c r="P315" t="s">
        <v>74</v>
      </c>
      <c r="Q315" t="s">
        <v>74</v>
      </c>
      <c r="R315" t="s">
        <v>74</v>
      </c>
      <c r="S315" t="s">
        <v>74</v>
      </c>
      <c r="T315" t="s">
        <v>74</v>
      </c>
      <c r="U315" t="s">
        <v>6153</v>
      </c>
      <c r="V315" t="s">
        <v>6154</v>
      </c>
      <c r="W315" t="s">
        <v>6155</v>
      </c>
      <c r="X315" t="s">
        <v>6156</v>
      </c>
      <c r="Y315" t="s">
        <v>6157</v>
      </c>
      <c r="Z315" t="s">
        <v>6158</v>
      </c>
      <c r="AA315" t="s">
        <v>6159</v>
      </c>
      <c r="AB315" t="s">
        <v>6160</v>
      </c>
      <c r="AC315" t="s">
        <v>6161</v>
      </c>
      <c r="AD315" t="s">
        <v>6162</v>
      </c>
      <c r="AE315" t="s">
        <v>6163</v>
      </c>
      <c r="AF315" t="s">
        <v>74</v>
      </c>
      <c r="AG315">
        <v>32</v>
      </c>
      <c r="AH315">
        <v>133</v>
      </c>
      <c r="AI315">
        <v>142</v>
      </c>
      <c r="AJ315">
        <v>1</v>
      </c>
      <c r="AK315">
        <v>64</v>
      </c>
      <c r="AL315" t="s">
        <v>6164</v>
      </c>
      <c r="AM315" t="s">
        <v>3008</v>
      </c>
      <c r="AN315" t="s">
        <v>6165</v>
      </c>
      <c r="AO315" t="s">
        <v>6166</v>
      </c>
      <c r="AP315" t="s">
        <v>6167</v>
      </c>
      <c r="AQ315" t="s">
        <v>74</v>
      </c>
      <c r="AR315" t="s">
        <v>6168</v>
      </c>
      <c r="AS315" t="s">
        <v>6169</v>
      </c>
      <c r="AT315" t="s">
        <v>718</v>
      </c>
      <c r="AU315">
        <v>2019</v>
      </c>
      <c r="AV315">
        <v>9</v>
      </c>
      <c r="AW315">
        <v>1</v>
      </c>
      <c r="AX315" t="s">
        <v>74</v>
      </c>
      <c r="AY315" t="s">
        <v>74</v>
      </c>
      <c r="AZ315" t="s">
        <v>74</v>
      </c>
      <c r="BA315" t="s">
        <v>74</v>
      </c>
      <c r="BB315">
        <v>34</v>
      </c>
      <c r="BC315" t="s">
        <v>642</v>
      </c>
      <c r="BD315" t="s">
        <v>74</v>
      </c>
      <c r="BE315" t="s">
        <v>6170</v>
      </c>
      <c r="BF315" t="str">
        <f>HYPERLINK("http://dx.doi.org/10.1038/s41558-018-0356-x","http://dx.doi.org/10.1038/s41558-018-0356-x")</f>
        <v>http://dx.doi.org/10.1038/s41558-018-0356-x</v>
      </c>
      <c r="BG315" t="s">
        <v>74</v>
      </c>
      <c r="BH315" t="s">
        <v>74</v>
      </c>
      <c r="BI315">
        <v>8</v>
      </c>
      <c r="BJ315" t="s">
        <v>6171</v>
      </c>
      <c r="BK315" t="s">
        <v>3493</v>
      </c>
      <c r="BL315" t="s">
        <v>2636</v>
      </c>
      <c r="BM315" t="s">
        <v>6172</v>
      </c>
      <c r="BN315" t="s">
        <v>74</v>
      </c>
      <c r="BO315" t="s">
        <v>2948</v>
      </c>
      <c r="BP315" t="s">
        <v>74</v>
      </c>
      <c r="BQ315" t="s">
        <v>74</v>
      </c>
      <c r="BR315" t="s">
        <v>104</v>
      </c>
      <c r="BS315" t="s">
        <v>6173</v>
      </c>
      <c r="BT315" t="str">
        <f>HYPERLINK("https%3A%2F%2Fwww.webofscience.com%2Fwos%2Fwoscc%2Ffull-record%2FWOS:000453600200014","View Full Record in Web of Science")</f>
        <v>View Full Record in Web of Science</v>
      </c>
    </row>
    <row r="316" spans="1:72" x14ac:dyDescent="0.15">
      <c r="A316" t="s">
        <v>72</v>
      </c>
      <c r="B316" t="s">
        <v>6174</v>
      </c>
      <c r="C316" t="s">
        <v>74</v>
      </c>
      <c r="D316" t="s">
        <v>74</v>
      </c>
      <c r="E316" t="s">
        <v>74</v>
      </c>
      <c r="F316" t="s">
        <v>6175</v>
      </c>
      <c r="G316" t="s">
        <v>74</v>
      </c>
      <c r="H316" t="s">
        <v>74</v>
      </c>
      <c r="I316" t="s">
        <v>6176</v>
      </c>
      <c r="J316" t="s">
        <v>6152</v>
      </c>
      <c r="K316" t="s">
        <v>74</v>
      </c>
      <c r="L316" t="s">
        <v>74</v>
      </c>
      <c r="M316" t="s">
        <v>78</v>
      </c>
      <c r="N316" t="s">
        <v>79</v>
      </c>
      <c r="O316" t="s">
        <v>74</v>
      </c>
      <c r="P316" t="s">
        <v>74</v>
      </c>
      <c r="Q316" t="s">
        <v>74</v>
      </c>
      <c r="R316" t="s">
        <v>74</v>
      </c>
      <c r="S316" t="s">
        <v>74</v>
      </c>
      <c r="T316" t="s">
        <v>74</v>
      </c>
      <c r="U316" t="s">
        <v>6177</v>
      </c>
      <c r="V316" t="s">
        <v>6178</v>
      </c>
      <c r="W316" t="s">
        <v>6179</v>
      </c>
      <c r="X316" t="s">
        <v>6180</v>
      </c>
      <c r="Y316" t="s">
        <v>6181</v>
      </c>
      <c r="Z316" t="s">
        <v>6182</v>
      </c>
      <c r="AA316" t="s">
        <v>6183</v>
      </c>
      <c r="AB316" t="s">
        <v>6184</v>
      </c>
      <c r="AC316" t="s">
        <v>74</v>
      </c>
      <c r="AD316" t="s">
        <v>74</v>
      </c>
      <c r="AE316" t="s">
        <v>74</v>
      </c>
      <c r="AF316" t="s">
        <v>74</v>
      </c>
      <c r="AG316">
        <v>55</v>
      </c>
      <c r="AH316">
        <v>100</v>
      </c>
      <c r="AI316">
        <v>108</v>
      </c>
      <c r="AJ316">
        <v>0</v>
      </c>
      <c r="AK316">
        <v>49</v>
      </c>
      <c r="AL316" t="s">
        <v>6185</v>
      </c>
      <c r="AM316" t="s">
        <v>6186</v>
      </c>
      <c r="AN316" t="s">
        <v>6187</v>
      </c>
      <c r="AO316" t="s">
        <v>6166</v>
      </c>
      <c r="AP316" t="s">
        <v>6167</v>
      </c>
      <c r="AQ316" t="s">
        <v>74</v>
      </c>
      <c r="AR316" t="s">
        <v>6168</v>
      </c>
      <c r="AS316" t="s">
        <v>6169</v>
      </c>
      <c r="AT316" t="s">
        <v>718</v>
      </c>
      <c r="AU316">
        <v>2019</v>
      </c>
      <c r="AV316">
        <v>9</v>
      </c>
      <c r="AW316">
        <v>1</v>
      </c>
      <c r="AX316" t="s">
        <v>74</v>
      </c>
      <c r="AY316" t="s">
        <v>74</v>
      </c>
      <c r="AZ316" t="s">
        <v>74</v>
      </c>
      <c r="BA316" t="s">
        <v>74</v>
      </c>
      <c r="BB316">
        <v>59</v>
      </c>
      <c r="BC316" t="s">
        <v>642</v>
      </c>
      <c r="BD316" t="s">
        <v>74</v>
      </c>
      <c r="BE316" t="s">
        <v>6188</v>
      </c>
      <c r="BF316" t="str">
        <f>HYPERLINK("http://dx.doi.org/10.1038/s41558-018-0350-3","http://dx.doi.org/10.1038/s41558-018-0350-3")</f>
        <v>http://dx.doi.org/10.1038/s41558-018-0350-3</v>
      </c>
      <c r="BG316" t="s">
        <v>74</v>
      </c>
      <c r="BH316" t="s">
        <v>74</v>
      </c>
      <c r="BI316">
        <v>8</v>
      </c>
      <c r="BJ316" t="s">
        <v>6171</v>
      </c>
      <c r="BK316" t="s">
        <v>3493</v>
      </c>
      <c r="BL316" t="s">
        <v>2636</v>
      </c>
      <c r="BM316" t="s">
        <v>6172</v>
      </c>
      <c r="BN316" t="s">
        <v>74</v>
      </c>
      <c r="BO316" t="s">
        <v>74</v>
      </c>
      <c r="BP316" t="s">
        <v>74</v>
      </c>
      <c r="BQ316" t="s">
        <v>74</v>
      </c>
      <c r="BR316" t="s">
        <v>104</v>
      </c>
      <c r="BS316" t="s">
        <v>6189</v>
      </c>
      <c r="BT316" t="str">
        <f>HYPERLINK("https%3A%2F%2Fwww.webofscience.com%2Fwos%2Fwoscc%2Ffull-record%2FWOS:000453600200019","View Full Record in Web of Science")</f>
        <v>View Full Record in Web of Science</v>
      </c>
    </row>
    <row r="317" spans="1:72" x14ac:dyDescent="0.15">
      <c r="A317" t="s">
        <v>72</v>
      </c>
      <c r="B317" t="s">
        <v>6190</v>
      </c>
      <c r="C317" t="s">
        <v>74</v>
      </c>
      <c r="D317" t="s">
        <v>74</v>
      </c>
      <c r="E317" t="s">
        <v>74</v>
      </c>
      <c r="F317" t="s">
        <v>6191</v>
      </c>
      <c r="G317" t="s">
        <v>74</v>
      </c>
      <c r="H317" t="s">
        <v>74</v>
      </c>
      <c r="I317" t="s">
        <v>6192</v>
      </c>
      <c r="J317" t="s">
        <v>6193</v>
      </c>
      <c r="K317" t="s">
        <v>74</v>
      </c>
      <c r="L317" t="s">
        <v>74</v>
      </c>
      <c r="M317" t="s">
        <v>78</v>
      </c>
      <c r="N317" t="s">
        <v>79</v>
      </c>
      <c r="O317" t="s">
        <v>74</v>
      </c>
      <c r="P317" t="s">
        <v>74</v>
      </c>
      <c r="Q317" t="s">
        <v>74</v>
      </c>
      <c r="R317" t="s">
        <v>74</v>
      </c>
      <c r="S317" t="s">
        <v>74</v>
      </c>
      <c r="T317" t="s">
        <v>74</v>
      </c>
      <c r="U317" t="s">
        <v>6194</v>
      </c>
      <c r="V317" t="s">
        <v>6195</v>
      </c>
      <c r="W317" t="s">
        <v>6196</v>
      </c>
      <c r="X317" t="s">
        <v>6197</v>
      </c>
      <c r="Y317" t="s">
        <v>6198</v>
      </c>
      <c r="Z317" t="s">
        <v>6199</v>
      </c>
      <c r="AA317" t="s">
        <v>6200</v>
      </c>
      <c r="AB317" t="s">
        <v>6201</v>
      </c>
      <c r="AC317" t="s">
        <v>6202</v>
      </c>
      <c r="AD317" t="s">
        <v>412</v>
      </c>
      <c r="AE317" t="s">
        <v>6203</v>
      </c>
      <c r="AF317" t="s">
        <v>74</v>
      </c>
      <c r="AG317">
        <v>61</v>
      </c>
      <c r="AH317">
        <v>40</v>
      </c>
      <c r="AI317">
        <v>43</v>
      </c>
      <c r="AJ317">
        <v>7</v>
      </c>
      <c r="AK317">
        <v>60</v>
      </c>
      <c r="AL317" t="s">
        <v>6164</v>
      </c>
      <c r="AM317" t="s">
        <v>3008</v>
      </c>
      <c r="AN317" t="s">
        <v>6165</v>
      </c>
      <c r="AO317" t="s">
        <v>6204</v>
      </c>
      <c r="AP317" t="s">
        <v>74</v>
      </c>
      <c r="AQ317" t="s">
        <v>74</v>
      </c>
      <c r="AR317" t="s">
        <v>6205</v>
      </c>
      <c r="AS317" t="s">
        <v>6206</v>
      </c>
      <c r="AT317" t="s">
        <v>718</v>
      </c>
      <c r="AU317">
        <v>2019</v>
      </c>
      <c r="AV317">
        <v>3</v>
      </c>
      <c r="AW317">
        <v>1</v>
      </c>
      <c r="AX317" t="s">
        <v>74</v>
      </c>
      <c r="AY317" t="s">
        <v>74</v>
      </c>
      <c r="AZ317" t="s">
        <v>74</v>
      </c>
      <c r="BA317" t="s">
        <v>74</v>
      </c>
      <c r="BB317">
        <v>53</v>
      </c>
      <c r="BC317">
        <v>61</v>
      </c>
      <c r="BD317" t="s">
        <v>74</v>
      </c>
      <c r="BE317" t="s">
        <v>6207</v>
      </c>
      <c r="BF317" t="str">
        <f>HYPERLINK("http://dx.doi.org/10.1038/s41559-018-0744-7","http://dx.doi.org/10.1038/s41559-018-0744-7")</f>
        <v>http://dx.doi.org/10.1038/s41559-018-0744-7</v>
      </c>
      <c r="BG317" t="s">
        <v>74</v>
      </c>
      <c r="BH317" t="s">
        <v>74</v>
      </c>
      <c r="BI317">
        <v>9</v>
      </c>
      <c r="BJ317" t="s">
        <v>4809</v>
      </c>
      <c r="BK317" t="s">
        <v>101</v>
      </c>
      <c r="BL317" t="s">
        <v>4810</v>
      </c>
      <c r="BM317" t="s">
        <v>6208</v>
      </c>
      <c r="BN317">
        <v>30532042</v>
      </c>
      <c r="BO317" t="s">
        <v>74</v>
      </c>
      <c r="BP317" t="s">
        <v>74</v>
      </c>
      <c r="BQ317" t="s">
        <v>74</v>
      </c>
      <c r="BR317" t="s">
        <v>104</v>
      </c>
      <c r="BS317" t="s">
        <v>6209</v>
      </c>
      <c r="BT317" t="str">
        <f>HYPERLINK("https%3A%2F%2Fwww.webofscience.com%2Fwos%2Fwoscc%2Ffull-record%2FWOS:000453767000014","View Full Record in Web of Science")</f>
        <v>View Full Record in Web of Science</v>
      </c>
    </row>
    <row r="318" spans="1:72" x14ac:dyDescent="0.15">
      <c r="A318" t="s">
        <v>164</v>
      </c>
      <c r="B318" t="s">
        <v>6210</v>
      </c>
      <c r="C318" t="s">
        <v>74</v>
      </c>
      <c r="D318" t="s">
        <v>74</v>
      </c>
      <c r="E318" t="s">
        <v>1216</v>
      </c>
      <c r="F318" t="s">
        <v>6211</v>
      </c>
      <c r="G318" t="s">
        <v>74</v>
      </c>
      <c r="H318" t="s">
        <v>74</v>
      </c>
      <c r="I318" t="s">
        <v>6212</v>
      </c>
      <c r="J318" t="s">
        <v>6213</v>
      </c>
      <c r="K318" t="s">
        <v>74</v>
      </c>
      <c r="L318" t="s">
        <v>74</v>
      </c>
      <c r="M318" t="s">
        <v>2470</v>
      </c>
      <c r="N318" t="s">
        <v>172</v>
      </c>
      <c r="O318" t="s">
        <v>6214</v>
      </c>
      <c r="P318" t="s">
        <v>6215</v>
      </c>
      <c r="Q318" t="s">
        <v>6216</v>
      </c>
      <c r="R318" t="s">
        <v>74</v>
      </c>
      <c r="S318" t="s">
        <v>74</v>
      </c>
      <c r="T318" t="s">
        <v>6217</v>
      </c>
      <c r="U318" t="s">
        <v>6218</v>
      </c>
      <c r="V318" t="s">
        <v>6219</v>
      </c>
      <c r="W318" t="s">
        <v>6220</v>
      </c>
      <c r="X318" t="s">
        <v>6221</v>
      </c>
      <c r="Y318" t="s">
        <v>6222</v>
      </c>
      <c r="Z318" t="s">
        <v>74</v>
      </c>
      <c r="AA318" t="s">
        <v>6223</v>
      </c>
      <c r="AB318" t="s">
        <v>6224</v>
      </c>
      <c r="AC318" t="s">
        <v>6225</v>
      </c>
      <c r="AD318" t="s">
        <v>6226</v>
      </c>
      <c r="AE318" t="s">
        <v>6227</v>
      </c>
      <c r="AF318" t="s">
        <v>74</v>
      </c>
      <c r="AG318">
        <v>34</v>
      </c>
      <c r="AH318">
        <v>1</v>
      </c>
      <c r="AI318">
        <v>1</v>
      </c>
      <c r="AJ318">
        <v>2</v>
      </c>
      <c r="AK318">
        <v>2</v>
      </c>
      <c r="AL318" t="s">
        <v>1216</v>
      </c>
      <c r="AM318" t="s">
        <v>1080</v>
      </c>
      <c r="AN318" t="s">
        <v>1235</v>
      </c>
      <c r="AO318" t="s">
        <v>74</v>
      </c>
      <c r="AP318" t="s">
        <v>74</v>
      </c>
      <c r="AQ318" t="s">
        <v>6228</v>
      </c>
      <c r="AR318" t="s">
        <v>74</v>
      </c>
      <c r="AS318" t="s">
        <v>74</v>
      </c>
      <c r="AT318" t="s">
        <v>74</v>
      </c>
      <c r="AU318">
        <v>2019</v>
      </c>
      <c r="AV318" t="s">
        <v>74</v>
      </c>
      <c r="AW318" t="s">
        <v>74</v>
      </c>
      <c r="AX318" t="s">
        <v>74</v>
      </c>
      <c r="AY318" t="s">
        <v>74</v>
      </c>
      <c r="AZ318" t="s">
        <v>74</v>
      </c>
      <c r="BA318" t="s">
        <v>74</v>
      </c>
      <c r="BB318" t="s">
        <v>74</v>
      </c>
      <c r="BC318" t="s">
        <v>74</v>
      </c>
      <c r="BD318" t="s">
        <v>74</v>
      </c>
      <c r="BE318" t="s">
        <v>6229</v>
      </c>
      <c r="BF318" t="str">
        <f>HYPERLINK("http://dx.doi.org/10.1109/chilecon47746.2019.8988037","http://dx.doi.org/10.1109/chilecon47746.2019.8988037")</f>
        <v>http://dx.doi.org/10.1109/chilecon47746.2019.8988037</v>
      </c>
      <c r="BG318" t="s">
        <v>74</v>
      </c>
      <c r="BH318" t="s">
        <v>74</v>
      </c>
      <c r="BI318">
        <v>7</v>
      </c>
      <c r="BJ318" t="s">
        <v>128</v>
      </c>
      <c r="BK318" t="s">
        <v>190</v>
      </c>
      <c r="BL318" t="s">
        <v>129</v>
      </c>
      <c r="BM318" t="s">
        <v>6230</v>
      </c>
      <c r="BN318" t="s">
        <v>74</v>
      </c>
      <c r="BO318" t="s">
        <v>74</v>
      </c>
      <c r="BP318" t="s">
        <v>74</v>
      </c>
      <c r="BQ318" t="s">
        <v>74</v>
      </c>
      <c r="BR318" t="s">
        <v>104</v>
      </c>
      <c r="BS318" t="s">
        <v>6231</v>
      </c>
      <c r="BT318" t="str">
        <f>HYPERLINK("https%3A%2F%2Fwww.webofscience.com%2Fwos%2Fwoscc%2Ffull-record%2FWOS:000542919100140","View Full Record in Web of Science")</f>
        <v>View Full Record in Web of Science</v>
      </c>
    </row>
    <row r="319" spans="1:72" x14ac:dyDescent="0.15">
      <c r="A319" t="s">
        <v>164</v>
      </c>
      <c r="B319" t="s">
        <v>6232</v>
      </c>
      <c r="C319" t="s">
        <v>74</v>
      </c>
      <c r="D319" t="s">
        <v>74</v>
      </c>
      <c r="E319" t="s">
        <v>1216</v>
      </c>
      <c r="F319" t="s">
        <v>6233</v>
      </c>
      <c r="G319" t="s">
        <v>74</v>
      </c>
      <c r="H319" t="s">
        <v>74</v>
      </c>
      <c r="I319" t="s">
        <v>6234</v>
      </c>
      <c r="J319" t="s">
        <v>6235</v>
      </c>
      <c r="K319" t="s">
        <v>6236</v>
      </c>
      <c r="L319" t="s">
        <v>74</v>
      </c>
      <c r="M319" t="s">
        <v>78</v>
      </c>
      <c r="N319" t="s">
        <v>172</v>
      </c>
      <c r="O319" t="s">
        <v>6237</v>
      </c>
      <c r="P319" t="s">
        <v>6238</v>
      </c>
      <c r="Q319" t="s">
        <v>6239</v>
      </c>
      <c r="R319" t="s">
        <v>74</v>
      </c>
      <c r="S319" t="s">
        <v>74</v>
      </c>
      <c r="T319" t="s">
        <v>74</v>
      </c>
      <c r="U319" t="s">
        <v>74</v>
      </c>
      <c r="V319" t="s">
        <v>6240</v>
      </c>
      <c r="W319" t="s">
        <v>6241</v>
      </c>
      <c r="X319" t="s">
        <v>6242</v>
      </c>
      <c r="Y319" t="s">
        <v>6243</v>
      </c>
      <c r="Z319" t="s">
        <v>6244</v>
      </c>
      <c r="AA319" t="s">
        <v>74</v>
      </c>
      <c r="AB319" t="s">
        <v>6245</v>
      </c>
      <c r="AC319" t="s">
        <v>6246</v>
      </c>
      <c r="AD319" t="s">
        <v>6247</v>
      </c>
      <c r="AE319" t="s">
        <v>6248</v>
      </c>
      <c r="AF319" t="s">
        <v>74</v>
      </c>
      <c r="AG319">
        <v>4</v>
      </c>
      <c r="AH319">
        <v>0</v>
      </c>
      <c r="AI319">
        <v>0</v>
      </c>
      <c r="AJ319">
        <v>0</v>
      </c>
      <c r="AK319">
        <v>1</v>
      </c>
      <c r="AL319" t="s">
        <v>1216</v>
      </c>
      <c r="AM319" t="s">
        <v>1080</v>
      </c>
      <c r="AN319" t="s">
        <v>1235</v>
      </c>
      <c r="AO319" t="s">
        <v>6249</v>
      </c>
      <c r="AP319" t="s">
        <v>74</v>
      </c>
      <c r="AQ319" t="s">
        <v>6250</v>
      </c>
      <c r="AR319" t="s">
        <v>6251</v>
      </c>
      <c r="AS319" t="s">
        <v>74</v>
      </c>
      <c r="AT319" t="s">
        <v>74</v>
      </c>
      <c r="AU319">
        <v>2019</v>
      </c>
      <c r="AV319" t="s">
        <v>74</v>
      </c>
      <c r="AW319" t="s">
        <v>74</v>
      </c>
      <c r="AX319" t="s">
        <v>74</v>
      </c>
      <c r="AY319" t="s">
        <v>74</v>
      </c>
      <c r="AZ319" t="s">
        <v>74</v>
      </c>
      <c r="BA319" t="s">
        <v>74</v>
      </c>
      <c r="BB319">
        <v>109</v>
      </c>
      <c r="BC319">
        <v>110</v>
      </c>
      <c r="BD319" t="s">
        <v>74</v>
      </c>
      <c r="BE319" t="s">
        <v>6252</v>
      </c>
      <c r="BF319" t="str">
        <f>HYPERLINK("http://dx.doi.org/10.1109/apusncursinrsm.2019.8888447","http://dx.doi.org/10.1109/apusncursinrsm.2019.8888447")</f>
        <v>http://dx.doi.org/10.1109/apusncursinrsm.2019.8888447</v>
      </c>
      <c r="BG319" t="s">
        <v>74</v>
      </c>
      <c r="BH319" t="s">
        <v>74</v>
      </c>
      <c r="BI319">
        <v>2</v>
      </c>
      <c r="BJ319" t="s">
        <v>2373</v>
      </c>
      <c r="BK319" t="s">
        <v>190</v>
      </c>
      <c r="BL319" t="s">
        <v>2374</v>
      </c>
      <c r="BM319" t="s">
        <v>6253</v>
      </c>
      <c r="BN319" t="s">
        <v>74</v>
      </c>
      <c r="BO319" t="s">
        <v>74</v>
      </c>
      <c r="BP319" t="s">
        <v>74</v>
      </c>
      <c r="BQ319" t="s">
        <v>74</v>
      </c>
      <c r="BR319" t="s">
        <v>104</v>
      </c>
      <c r="BS319" t="s">
        <v>6254</v>
      </c>
      <c r="BT319" t="str">
        <f>HYPERLINK("https%3A%2F%2Fwww.webofscience.com%2Fwos%2Fwoscc%2Ffull-record%2FWOS:000657207100053","View Full Record in Web of Science")</f>
        <v>View Full Record in Web of Science</v>
      </c>
    </row>
    <row r="320" spans="1:72" x14ac:dyDescent="0.15">
      <c r="A320" t="s">
        <v>164</v>
      </c>
      <c r="B320" t="s">
        <v>6255</v>
      </c>
      <c r="C320" t="s">
        <v>74</v>
      </c>
      <c r="D320" t="s">
        <v>74</v>
      </c>
      <c r="E320" t="s">
        <v>1216</v>
      </c>
      <c r="F320" t="s">
        <v>6256</v>
      </c>
      <c r="G320" t="s">
        <v>74</v>
      </c>
      <c r="H320" t="s">
        <v>74</v>
      </c>
      <c r="I320" t="s">
        <v>6257</v>
      </c>
      <c r="J320" t="s">
        <v>1247</v>
      </c>
      <c r="K320" t="s">
        <v>74</v>
      </c>
      <c r="L320" t="s">
        <v>74</v>
      </c>
      <c r="M320" t="s">
        <v>78</v>
      </c>
      <c r="N320" t="s">
        <v>172</v>
      </c>
      <c r="O320" t="s">
        <v>1248</v>
      </c>
      <c r="P320" t="s">
        <v>1249</v>
      </c>
      <c r="Q320" t="s">
        <v>1250</v>
      </c>
      <c r="R320" t="s">
        <v>74</v>
      </c>
      <c r="S320" t="s">
        <v>74</v>
      </c>
      <c r="T320" t="s">
        <v>6258</v>
      </c>
      <c r="U320" t="s">
        <v>74</v>
      </c>
      <c r="V320" t="s">
        <v>6259</v>
      </c>
      <c r="W320" t="s">
        <v>6260</v>
      </c>
      <c r="X320" t="s">
        <v>6261</v>
      </c>
      <c r="Y320" t="s">
        <v>6262</v>
      </c>
      <c r="Z320" t="s">
        <v>74</v>
      </c>
      <c r="AA320" t="s">
        <v>74</v>
      </c>
      <c r="AB320" t="s">
        <v>74</v>
      </c>
      <c r="AC320" t="s">
        <v>74</v>
      </c>
      <c r="AD320" t="s">
        <v>74</v>
      </c>
      <c r="AE320" t="s">
        <v>74</v>
      </c>
      <c r="AF320" t="s">
        <v>74</v>
      </c>
      <c r="AG320">
        <v>8</v>
      </c>
      <c r="AH320">
        <v>0</v>
      </c>
      <c r="AI320">
        <v>0</v>
      </c>
      <c r="AJ320">
        <v>0</v>
      </c>
      <c r="AK320">
        <v>0</v>
      </c>
      <c r="AL320" t="s">
        <v>1216</v>
      </c>
      <c r="AM320" t="s">
        <v>1080</v>
      </c>
      <c r="AN320" t="s">
        <v>1235</v>
      </c>
      <c r="AO320" t="s">
        <v>74</v>
      </c>
      <c r="AP320" t="s">
        <v>74</v>
      </c>
      <c r="AQ320" t="s">
        <v>1257</v>
      </c>
      <c r="AR320" t="s">
        <v>74</v>
      </c>
      <c r="AS320" t="s">
        <v>74</v>
      </c>
      <c r="AT320" t="s">
        <v>74</v>
      </c>
      <c r="AU320">
        <v>2019</v>
      </c>
      <c r="AV320" t="s">
        <v>74</v>
      </c>
      <c r="AW320" t="s">
        <v>74</v>
      </c>
      <c r="AX320" t="s">
        <v>74</v>
      </c>
      <c r="AY320" t="s">
        <v>74</v>
      </c>
      <c r="AZ320" t="s">
        <v>74</v>
      </c>
      <c r="BA320" t="s">
        <v>74</v>
      </c>
      <c r="BB320" t="s">
        <v>74</v>
      </c>
      <c r="BC320" t="s">
        <v>74</v>
      </c>
      <c r="BD320" t="s">
        <v>74</v>
      </c>
      <c r="BE320" t="s">
        <v>6263</v>
      </c>
      <c r="BF320" t="str">
        <f>HYPERLINK("http://dx.doi.org/10.23919/ursiap-rasc.2019.8738177","http://dx.doi.org/10.23919/ursiap-rasc.2019.8738177")</f>
        <v>http://dx.doi.org/10.23919/ursiap-rasc.2019.8738177</v>
      </c>
      <c r="BG320" t="s">
        <v>74</v>
      </c>
      <c r="BH320" t="s">
        <v>74</v>
      </c>
      <c r="BI320">
        <v>4</v>
      </c>
      <c r="BJ320" t="s">
        <v>1258</v>
      </c>
      <c r="BK320" t="s">
        <v>190</v>
      </c>
      <c r="BL320" t="s">
        <v>1241</v>
      </c>
      <c r="BM320" t="s">
        <v>1259</v>
      </c>
      <c r="BN320" t="s">
        <v>74</v>
      </c>
      <c r="BO320" t="s">
        <v>74</v>
      </c>
      <c r="BP320" t="s">
        <v>74</v>
      </c>
      <c r="BQ320" t="s">
        <v>74</v>
      </c>
      <c r="BR320" t="s">
        <v>104</v>
      </c>
      <c r="BS320" t="s">
        <v>6264</v>
      </c>
      <c r="BT320" t="str">
        <f>HYPERLINK("https%3A%2F%2Fwww.webofscience.com%2Fwos%2Fwoscc%2Ffull-record%2FWOS:000491262700031","View Full Record in Web of Science")</f>
        <v>View Full Record in Web of Science</v>
      </c>
    </row>
    <row r="321" spans="1:72" x14ac:dyDescent="0.15">
      <c r="A321" t="s">
        <v>164</v>
      </c>
      <c r="B321" t="s">
        <v>6265</v>
      </c>
      <c r="C321" t="s">
        <v>74</v>
      </c>
      <c r="D321" t="s">
        <v>74</v>
      </c>
      <c r="E321" t="s">
        <v>6266</v>
      </c>
      <c r="F321" t="s">
        <v>6267</v>
      </c>
      <c r="G321" t="s">
        <v>74</v>
      </c>
      <c r="H321" t="s">
        <v>74</v>
      </c>
      <c r="I321" t="s">
        <v>6268</v>
      </c>
      <c r="J321" t="s">
        <v>6269</v>
      </c>
      <c r="K321" t="s">
        <v>74</v>
      </c>
      <c r="L321" t="s">
        <v>74</v>
      </c>
      <c r="M321" t="s">
        <v>78</v>
      </c>
      <c r="N321" t="s">
        <v>172</v>
      </c>
      <c r="O321" t="s">
        <v>6270</v>
      </c>
      <c r="P321" t="s">
        <v>6271</v>
      </c>
      <c r="Q321" t="s">
        <v>6272</v>
      </c>
      <c r="R321" t="s">
        <v>74</v>
      </c>
      <c r="S321" t="s">
        <v>74</v>
      </c>
      <c r="T321" t="s">
        <v>74</v>
      </c>
      <c r="U321" t="s">
        <v>6273</v>
      </c>
      <c r="V321" t="s">
        <v>6274</v>
      </c>
      <c r="W321" t="s">
        <v>6275</v>
      </c>
      <c r="X321" t="s">
        <v>6276</v>
      </c>
      <c r="Y321" t="s">
        <v>6277</v>
      </c>
      <c r="Z321" t="s">
        <v>6278</v>
      </c>
      <c r="AA321" t="s">
        <v>6279</v>
      </c>
      <c r="AB321" t="s">
        <v>74</v>
      </c>
      <c r="AC321" t="s">
        <v>6280</v>
      </c>
      <c r="AD321" t="s">
        <v>6281</v>
      </c>
      <c r="AE321" t="s">
        <v>6282</v>
      </c>
      <c r="AF321" t="s">
        <v>74</v>
      </c>
      <c r="AG321">
        <v>70</v>
      </c>
      <c r="AH321">
        <v>0</v>
      </c>
      <c r="AI321">
        <v>0</v>
      </c>
      <c r="AJ321">
        <v>0</v>
      </c>
      <c r="AK321">
        <v>0</v>
      </c>
      <c r="AL321" t="s">
        <v>6283</v>
      </c>
      <c r="AM321" t="s">
        <v>6284</v>
      </c>
      <c r="AN321" t="s">
        <v>6285</v>
      </c>
      <c r="AO321" t="s">
        <v>74</v>
      </c>
      <c r="AP321" t="s">
        <v>74</v>
      </c>
      <c r="AQ321" t="s">
        <v>6286</v>
      </c>
      <c r="AR321" t="s">
        <v>74</v>
      </c>
      <c r="AS321" t="s">
        <v>74</v>
      </c>
      <c r="AT321" t="s">
        <v>74</v>
      </c>
      <c r="AU321">
        <v>2019</v>
      </c>
      <c r="AV321" t="s">
        <v>74</v>
      </c>
      <c r="AW321" t="s">
        <v>74</v>
      </c>
      <c r="AX321" t="s">
        <v>74</v>
      </c>
      <c r="AY321" t="s">
        <v>74</v>
      </c>
      <c r="AZ321" t="s">
        <v>74</v>
      </c>
      <c r="BA321" t="s">
        <v>74</v>
      </c>
      <c r="BB321" t="s">
        <v>74</v>
      </c>
      <c r="BC321" t="s">
        <v>74</v>
      </c>
      <c r="BD321" t="s">
        <v>74</v>
      </c>
      <c r="BE321" t="s">
        <v>74</v>
      </c>
      <c r="BF321" t="s">
        <v>74</v>
      </c>
      <c r="BG321" t="s">
        <v>74</v>
      </c>
      <c r="BH321" t="s">
        <v>74</v>
      </c>
      <c r="BI321">
        <v>12</v>
      </c>
      <c r="BJ321" t="s">
        <v>6287</v>
      </c>
      <c r="BK321" t="s">
        <v>190</v>
      </c>
      <c r="BL321" t="s">
        <v>6288</v>
      </c>
      <c r="BM321" t="s">
        <v>6289</v>
      </c>
      <c r="BN321" t="s">
        <v>74</v>
      </c>
      <c r="BO321" t="s">
        <v>74</v>
      </c>
      <c r="BP321" t="s">
        <v>74</v>
      </c>
      <c r="BQ321" t="s">
        <v>74</v>
      </c>
      <c r="BR321" t="s">
        <v>104</v>
      </c>
      <c r="BS321" t="s">
        <v>6290</v>
      </c>
      <c r="BT321" t="str">
        <f>HYPERLINK("https%3A%2F%2Fwww.webofscience.com%2Fwos%2Fwoscc%2Ffull-record%2FWOS:000712432701027","View Full Record in Web of Science")</f>
        <v>View Full Record in Web of Science</v>
      </c>
    </row>
    <row r="322" spans="1:72" x14ac:dyDescent="0.15">
      <c r="A322" t="s">
        <v>164</v>
      </c>
      <c r="B322" t="s">
        <v>6291</v>
      </c>
      <c r="C322" t="s">
        <v>74</v>
      </c>
      <c r="D322" t="s">
        <v>6292</v>
      </c>
      <c r="E322" t="s">
        <v>74</v>
      </c>
      <c r="F322" t="s">
        <v>6293</v>
      </c>
      <c r="G322" t="s">
        <v>74</v>
      </c>
      <c r="H322" t="s">
        <v>74</v>
      </c>
      <c r="I322" t="s">
        <v>6294</v>
      </c>
      <c r="J322" t="s">
        <v>6295</v>
      </c>
      <c r="K322" t="s">
        <v>74</v>
      </c>
      <c r="L322" t="s">
        <v>74</v>
      </c>
      <c r="M322" t="s">
        <v>78</v>
      </c>
      <c r="N322" t="s">
        <v>172</v>
      </c>
      <c r="O322" t="s">
        <v>6296</v>
      </c>
      <c r="P322" t="s">
        <v>6297</v>
      </c>
      <c r="Q322" t="s">
        <v>6298</v>
      </c>
      <c r="R322" t="s">
        <v>74</v>
      </c>
      <c r="S322" t="s">
        <v>74</v>
      </c>
      <c r="T322" t="s">
        <v>6299</v>
      </c>
      <c r="U322" t="s">
        <v>74</v>
      </c>
      <c r="V322" t="s">
        <v>6300</v>
      </c>
      <c r="W322" t="s">
        <v>6301</v>
      </c>
      <c r="X322" t="s">
        <v>6302</v>
      </c>
      <c r="Y322" t="s">
        <v>6303</v>
      </c>
      <c r="Z322" t="s">
        <v>6304</v>
      </c>
      <c r="AA322" t="s">
        <v>74</v>
      </c>
      <c r="AB322" t="s">
        <v>74</v>
      </c>
      <c r="AC322" t="s">
        <v>6305</v>
      </c>
      <c r="AD322" t="s">
        <v>6306</v>
      </c>
      <c r="AE322" t="s">
        <v>6307</v>
      </c>
      <c r="AF322" t="s">
        <v>74</v>
      </c>
      <c r="AG322">
        <v>18</v>
      </c>
      <c r="AH322">
        <v>1</v>
      </c>
      <c r="AI322">
        <v>1</v>
      </c>
      <c r="AJ322">
        <v>0</v>
      </c>
      <c r="AK322">
        <v>2</v>
      </c>
      <c r="AL322" t="s">
        <v>6308</v>
      </c>
      <c r="AM322" t="s">
        <v>6309</v>
      </c>
      <c r="AN322" t="s">
        <v>6310</v>
      </c>
      <c r="AO322" t="s">
        <v>74</v>
      </c>
      <c r="AP322" t="s">
        <v>74</v>
      </c>
      <c r="AQ322" t="s">
        <v>6311</v>
      </c>
      <c r="AR322" t="s">
        <v>74</v>
      </c>
      <c r="AS322" t="s">
        <v>74</v>
      </c>
      <c r="AT322" t="s">
        <v>74</v>
      </c>
      <c r="AU322">
        <v>2019</v>
      </c>
      <c r="AV322" t="s">
        <v>74</v>
      </c>
      <c r="AW322" t="s">
        <v>74</v>
      </c>
      <c r="AX322" t="s">
        <v>74</v>
      </c>
      <c r="AY322" t="s">
        <v>74</v>
      </c>
      <c r="AZ322" t="s">
        <v>74</v>
      </c>
      <c r="BA322" t="s">
        <v>74</v>
      </c>
      <c r="BB322">
        <v>497</v>
      </c>
      <c r="BC322">
        <v>506</v>
      </c>
      <c r="BD322" t="s">
        <v>74</v>
      </c>
      <c r="BE322" t="s">
        <v>74</v>
      </c>
      <c r="BF322" t="s">
        <v>74</v>
      </c>
      <c r="BG322" t="s">
        <v>74</v>
      </c>
      <c r="BH322" t="s">
        <v>74</v>
      </c>
      <c r="BI322">
        <v>10</v>
      </c>
      <c r="BJ322" t="s">
        <v>6312</v>
      </c>
      <c r="BK322" t="s">
        <v>190</v>
      </c>
      <c r="BL322" t="s">
        <v>6313</v>
      </c>
      <c r="BM322" t="s">
        <v>6314</v>
      </c>
      <c r="BN322" t="s">
        <v>74</v>
      </c>
      <c r="BO322" t="s">
        <v>74</v>
      </c>
      <c r="BP322" t="s">
        <v>74</v>
      </c>
      <c r="BQ322" t="s">
        <v>74</v>
      </c>
      <c r="BR322" t="s">
        <v>104</v>
      </c>
      <c r="BS322" t="s">
        <v>6315</v>
      </c>
      <c r="BT322" t="str">
        <f>HYPERLINK("https%3A%2F%2Fwww.webofscience.com%2Fwos%2Fwoscc%2Ffull-record%2FWOS:000598243800052","View Full Record in Web of Science")</f>
        <v>View Full Record in Web of Science</v>
      </c>
    </row>
    <row r="323" spans="1:72" x14ac:dyDescent="0.15">
      <c r="A323" t="s">
        <v>164</v>
      </c>
      <c r="B323" t="s">
        <v>6316</v>
      </c>
      <c r="C323" t="s">
        <v>74</v>
      </c>
      <c r="D323" t="s">
        <v>6292</v>
      </c>
      <c r="E323" t="s">
        <v>74</v>
      </c>
      <c r="F323" t="s">
        <v>6317</v>
      </c>
      <c r="G323" t="s">
        <v>74</v>
      </c>
      <c r="H323" t="s">
        <v>74</v>
      </c>
      <c r="I323" t="s">
        <v>6318</v>
      </c>
      <c r="J323" t="s">
        <v>6295</v>
      </c>
      <c r="K323" t="s">
        <v>74</v>
      </c>
      <c r="L323" t="s">
        <v>74</v>
      </c>
      <c r="M323" t="s">
        <v>78</v>
      </c>
      <c r="N323" t="s">
        <v>172</v>
      </c>
      <c r="O323" t="s">
        <v>6296</v>
      </c>
      <c r="P323" t="s">
        <v>6297</v>
      </c>
      <c r="Q323" t="s">
        <v>6298</v>
      </c>
      <c r="R323" t="s">
        <v>74</v>
      </c>
      <c r="S323" t="s">
        <v>74</v>
      </c>
      <c r="T323" t="s">
        <v>6319</v>
      </c>
      <c r="U323" t="s">
        <v>74</v>
      </c>
      <c r="V323" t="s">
        <v>6320</v>
      </c>
      <c r="W323" t="s">
        <v>6321</v>
      </c>
      <c r="X323" t="s">
        <v>6302</v>
      </c>
      <c r="Y323" t="s">
        <v>6322</v>
      </c>
      <c r="Z323" t="s">
        <v>6323</v>
      </c>
      <c r="AA323" t="s">
        <v>74</v>
      </c>
      <c r="AB323" t="s">
        <v>74</v>
      </c>
      <c r="AC323" t="s">
        <v>6324</v>
      </c>
      <c r="AD323" t="s">
        <v>6325</v>
      </c>
      <c r="AE323" t="s">
        <v>6326</v>
      </c>
      <c r="AF323" t="s">
        <v>74</v>
      </c>
      <c r="AG323">
        <v>11</v>
      </c>
      <c r="AH323">
        <v>0</v>
      </c>
      <c r="AI323">
        <v>0</v>
      </c>
      <c r="AJ323">
        <v>0</v>
      </c>
      <c r="AK323">
        <v>0</v>
      </c>
      <c r="AL323" t="s">
        <v>6308</v>
      </c>
      <c r="AM323" t="s">
        <v>6309</v>
      </c>
      <c r="AN323" t="s">
        <v>6310</v>
      </c>
      <c r="AO323" t="s">
        <v>74</v>
      </c>
      <c r="AP323" t="s">
        <v>74</v>
      </c>
      <c r="AQ323" t="s">
        <v>6311</v>
      </c>
      <c r="AR323" t="s">
        <v>74</v>
      </c>
      <c r="AS323" t="s">
        <v>74</v>
      </c>
      <c r="AT323" t="s">
        <v>74</v>
      </c>
      <c r="AU323">
        <v>2019</v>
      </c>
      <c r="AV323" t="s">
        <v>74</v>
      </c>
      <c r="AW323" t="s">
        <v>74</v>
      </c>
      <c r="AX323" t="s">
        <v>74</v>
      </c>
      <c r="AY323" t="s">
        <v>74</v>
      </c>
      <c r="AZ323" t="s">
        <v>74</v>
      </c>
      <c r="BA323" t="s">
        <v>74</v>
      </c>
      <c r="BB323">
        <v>561</v>
      </c>
      <c r="BC323">
        <v>576</v>
      </c>
      <c r="BD323" t="s">
        <v>74</v>
      </c>
      <c r="BE323" t="s">
        <v>74</v>
      </c>
      <c r="BF323" t="s">
        <v>74</v>
      </c>
      <c r="BG323" t="s">
        <v>74</v>
      </c>
      <c r="BH323" t="s">
        <v>74</v>
      </c>
      <c r="BI323">
        <v>16</v>
      </c>
      <c r="BJ323" t="s">
        <v>6312</v>
      </c>
      <c r="BK323" t="s">
        <v>190</v>
      </c>
      <c r="BL323" t="s">
        <v>6313</v>
      </c>
      <c r="BM323" t="s">
        <v>6314</v>
      </c>
      <c r="BN323" t="s">
        <v>74</v>
      </c>
      <c r="BO323" t="s">
        <v>74</v>
      </c>
      <c r="BP323" t="s">
        <v>74</v>
      </c>
      <c r="BQ323" t="s">
        <v>74</v>
      </c>
      <c r="BR323" t="s">
        <v>104</v>
      </c>
      <c r="BS323" t="s">
        <v>6327</v>
      </c>
      <c r="BT323" t="str">
        <f>HYPERLINK("https%3A%2F%2Fwww.webofscience.com%2Fwos%2Fwoscc%2Ffull-record%2FWOS:000598243800059","View Full Record in Web of Science")</f>
        <v>View Full Record in Web of Science</v>
      </c>
    </row>
    <row r="324" spans="1:72" x14ac:dyDescent="0.15">
      <c r="A324" t="s">
        <v>133</v>
      </c>
      <c r="B324" t="s">
        <v>6328</v>
      </c>
      <c r="C324" t="s">
        <v>74</v>
      </c>
      <c r="D324" t="s">
        <v>6329</v>
      </c>
      <c r="E324" t="s">
        <v>74</v>
      </c>
      <c r="F324" t="s">
        <v>6330</v>
      </c>
      <c r="G324" t="s">
        <v>74</v>
      </c>
      <c r="H324" t="s">
        <v>74</v>
      </c>
      <c r="I324" t="s">
        <v>6331</v>
      </c>
      <c r="J324" t="s">
        <v>6332</v>
      </c>
      <c r="K324" t="s">
        <v>6333</v>
      </c>
      <c r="L324" t="s">
        <v>74</v>
      </c>
      <c r="M324" t="s">
        <v>78</v>
      </c>
      <c r="N324" t="s">
        <v>1297</v>
      </c>
      <c r="O324" t="s">
        <v>74</v>
      </c>
      <c r="P324" t="s">
        <v>74</v>
      </c>
      <c r="Q324" t="s">
        <v>74</v>
      </c>
      <c r="R324" t="s">
        <v>74</v>
      </c>
      <c r="S324" t="s">
        <v>74</v>
      </c>
      <c r="T324" t="s">
        <v>74</v>
      </c>
      <c r="U324" t="s">
        <v>6334</v>
      </c>
      <c r="V324" t="s">
        <v>6335</v>
      </c>
      <c r="W324" t="s">
        <v>6336</v>
      </c>
      <c r="X324" t="s">
        <v>6337</v>
      </c>
      <c r="Y324" t="s">
        <v>6338</v>
      </c>
      <c r="Z324" t="s">
        <v>6339</v>
      </c>
      <c r="AA324" t="s">
        <v>74</v>
      </c>
      <c r="AB324" t="s">
        <v>6340</v>
      </c>
      <c r="AC324" t="s">
        <v>6341</v>
      </c>
      <c r="AD324" t="s">
        <v>2819</v>
      </c>
      <c r="AE324" t="s">
        <v>74</v>
      </c>
      <c r="AF324" t="s">
        <v>74</v>
      </c>
      <c r="AG324">
        <v>140</v>
      </c>
      <c r="AH324">
        <v>24</v>
      </c>
      <c r="AI324">
        <v>25</v>
      </c>
      <c r="AJ324">
        <v>6</v>
      </c>
      <c r="AK324">
        <v>31</v>
      </c>
      <c r="AL324" t="s">
        <v>3007</v>
      </c>
      <c r="AM324" t="s">
        <v>3008</v>
      </c>
      <c r="AN324" t="s">
        <v>3009</v>
      </c>
      <c r="AO324" t="s">
        <v>6342</v>
      </c>
      <c r="AP324" t="s">
        <v>6343</v>
      </c>
      <c r="AQ324" t="s">
        <v>6344</v>
      </c>
      <c r="AR324" t="s">
        <v>6345</v>
      </c>
      <c r="AS324" t="s">
        <v>6346</v>
      </c>
      <c r="AT324" t="s">
        <v>74</v>
      </c>
      <c r="AU324">
        <v>2019</v>
      </c>
      <c r="AV324">
        <v>82</v>
      </c>
      <c r="AW324" t="s">
        <v>74</v>
      </c>
      <c r="AX324" t="s">
        <v>74</v>
      </c>
      <c r="AY324" t="s">
        <v>74</v>
      </c>
      <c r="AZ324" t="s">
        <v>74</v>
      </c>
      <c r="BA324" t="s">
        <v>74</v>
      </c>
      <c r="BB324">
        <v>51</v>
      </c>
      <c r="BC324" t="s">
        <v>642</v>
      </c>
      <c r="BD324" t="s">
        <v>74</v>
      </c>
      <c r="BE324" t="s">
        <v>6347</v>
      </c>
      <c r="BF324" t="str">
        <f>HYPERLINK("http://dx.doi.org/10.1016/bs.amb.2019.02.002","http://dx.doi.org/10.1016/bs.amb.2019.02.002")</f>
        <v>http://dx.doi.org/10.1016/bs.amb.2019.02.002</v>
      </c>
      <c r="BG324" t="s">
        <v>74</v>
      </c>
      <c r="BH324" t="s">
        <v>74</v>
      </c>
      <c r="BI324">
        <v>10</v>
      </c>
      <c r="BJ324" t="s">
        <v>694</v>
      </c>
      <c r="BK324" t="s">
        <v>6348</v>
      </c>
      <c r="BL324" t="s">
        <v>694</v>
      </c>
      <c r="BM324" t="s">
        <v>6349</v>
      </c>
      <c r="BN324">
        <v>31229150</v>
      </c>
      <c r="BO324" t="s">
        <v>404</v>
      </c>
      <c r="BP324" t="s">
        <v>74</v>
      </c>
      <c r="BQ324" t="s">
        <v>74</v>
      </c>
      <c r="BR324" t="s">
        <v>104</v>
      </c>
      <c r="BS324" t="s">
        <v>6350</v>
      </c>
      <c r="BT324" t="str">
        <f>HYPERLINK("https%3A%2F%2Fwww.webofscience.com%2Fwos%2Fwoscc%2Ffull-record%2FWOS:000500010600002","View Full Record in Web of Science")</f>
        <v>View Full Record in Web of Science</v>
      </c>
    </row>
    <row r="325" spans="1:72" x14ac:dyDescent="0.15">
      <c r="A325" t="s">
        <v>390</v>
      </c>
      <c r="B325" t="s">
        <v>6351</v>
      </c>
      <c r="C325" t="s">
        <v>74</v>
      </c>
      <c r="D325" t="s">
        <v>6352</v>
      </c>
      <c r="E325" t="s">
        <v>74</v>
      </c>
      <c r="F325" t="s">
        <v>6353</v>
      </c>
      <c r="G325" t="s">
        <v>74</v>
      </c>
      <c r="H325" t="s">
        <v>74</v>
      </c>
      <c r="I325" t="s">
        <v>6354</v>
      </c>
      <c r="J325" t="s">
        <v>6355</v>
      </c>
      <c r="K325" t="s">
        <v>74</v>
      </c>
      <c r="L325" t="s">
        <v>74</v>
      </c>
      <c r="M325" t="s">
        <v>78</v>
      </c>
      <c r="N325" t="s">
        <v>140</v>
      </c>
      <c r="O325" t="s">
        <v>74</v>
      </c>
      <c r="P325" t="s">
        <v>74</v>
      </c>
      <c r="Q325" t="s">
        <v>74</v>
      </c>
      <c r="R325" t="s">
        <v>74</v>
      </c>
      <c r="S325" t="s">
        <v>74</v>
      </c>
      <c r="T325" t="s">
        <v>74</v>
      </c>
      <c r="U325" t="s">
        <v>6356</v>
      </c>
      <c r="V325" t="s">
        <v>74</v>
      </c>
      <c r="W325" t="s">
        <v>6357</v>
      </c>
      <c r="X325" t="s">
        <v>6358</v>
      </c>
      <c r="Y325" t="s">
        <v>6359</v>
      </c>
      <c r="Z325" t="s">
        <v>74</v>
      </c>
      <c r="AA325" t="s">
        <v>6360</v>
      </c>
      <c r="AB325" t="s">
        <v>6361</v>
      </c>
      <c r="AC325" t="s">
        <v>6362</v>
      </c>
      <c r="AD325" t="s">
        <v>6363</v>
      </c>
      <c r="AE325" t="s">
        <v>6364</v>
      </c>
      <c r="AF325" t="s">
        <v>74</v>
      </c>
      <c r="AG325">
        <v>225</v>
      </c>
      <c r="AH325">
        <v>7</v>
      </c>
      <c r="AI325">
        <v>7</v>
      </c>
      <c r="AJ325">
        <v>0</v>
      </c>
      <c r="AK325">
        <v>0</v>
      </c>
      <c r="AL325" t="s">
        <v>3290</v>
      </c>
      <c r="AM325" t="s">
        <v>2520</v>
      </c>
      <c r="AN325" t="s">
        <v>6365</v>
      </c>
      <c r="AO325" t="s">
        <v>74</v>
      </c>
      <c r="AP325" t="s">
        <v>74</v>
      </c>
      <c r="AQ325" t="s">
        <v>6366</v>
      </c>
      <c r="AR325" t="s">
        <v>74</v>
      </c>
      <c r="AS325" t="s">
        <v>74</v>
      </c>
      <c r="AT325" t="s">
        <v>74</v>
      </c>
      <c r="AU325">
        <v>2019</v>
      </c>
      <c r="AV325" t="s">
        <v>74</v>
      </c>
      <c r="AW325" t="s">
        <v>74</v>
      </c>
      <c r="AX325" t="s">
        <v>74</v>
      </c>
      <c r="AY325" t="s">
        <v>74</v>
      </c>
      <c r="AZ325" t="s">
        <v>74</v>
      </c>
      <c r="BA325" t="s">
        <v>74</v>
      </c>
      <c r="BB325">
        <v>609</v>
      </c>
      <c r="BC325">
        <v>650</v>
      </c>
      <c r="BD325" t="s">
        <v>74</v>
      </c>
      <c r="BE325" t="s">
        <v>6367</v>
      </c>
      <c r="BF325" t="str">
        <f>HYPERLINK("http://dx.doi.org/10.1016/B978-0-12-816009-1.00022-8","http://dx.doi.org/10.1016/B978-0-12-816009-1.00022-8")</f>
        <v>http://dx.doi.org/10.1016/B978-0-12-816009-1.00022-8</v>
      </c>
      <c r="BG325" t="s">
        <v>6368</v>
      </c>
      <c r="BH325" t="s">
        <v>74</v>
      </c>
      <c r="BI325">
        <v>42</v>
      </c>
      <c r="BJ325" t="s">
        <v>2564</v>
      </c>
      <c r="BK325" t="s">
        <v>159</v>
      </c>
      <c r="BL325" t="s">
        <v>2564</v>
      </c>
      <c r="BM325" t="s">
        <v>6369</v>
      </c>
      <c r="BN325" t="s">
        <v>74</v>
      </c>
      <c r="BO325" t="s">
        <v>74</v>
      </c>
      <c r="BP325" t="s">
        <v>74</v>
      </c>
      <c r="BQ325" t="s">
        <v>74</v>
      </c>
      <c r="BR325" t="s">
        <v>104</v>
      </c>
      <c r="BS325" t="s">
        <v>6370</v>
      </c>
      <c r="BT325" t="str">
        <f>HYPERLINK("https%3A%2F%2Fwww.webofscience.com%2Fwos%2Fwoscc%2Ffull-record%2FWOS:000668139400023","View Full Record in Web of Science")</f>
        <v>View Full Record in Web of Science</v>
      </c>
    </row>
    <row r="326" spans="1:72" x14ac:dyDescent="0.15">
      <c r="A326" t="s">
        <v>390</v>
      </c>
      <c r="B326" t="s">
        <v>6371</v>
      </c>
      <c r="C326" t="s">
        <v>74</v>
      </c>
      <c r="D326" t="s">
        <v>6352</v>
      </c>
      <c r="E326" t="s">
        <v>74</v>
      </c>
      <c r="F326" t="s">
        <v>6372</v>
      </c>
      <c r="G326" t="s">
        <v>74</v>
      </c>
      <c r="H326" t="s">
        <v>74</v>
      </c>
      <c r="I326" t="s">
        <v>6373</v>
      </c>
      <c r="J326" t="s">
        <v>6355</v>
      </c>
      <c r="K326" t="s">
        <v>74</v>
      </c>
      <c r="L326" t="s">
        <v>74</v>
      </c>
      <c r="M326" t="s">
        <v>78</v>
      </c>
      <c r="N326" t="s">
        <v>140</v>
      </c>
      <c r="O326" t="s">
        <v>74</v>
      </c>
      <c r="P326" t="s">
        <v>74</v>
      </c>
      <c r="Q326" t="s">
        <v>74</v>
      </c>
      <c r="R326" t="s">
        <v>74</v>
      </c>
      <c r="S326" t="s">
        <v>74</v>
      </c>
      <c r="T326" t="s">
        <v>74</v>
      </c>
      <c r="U326" t="s">
        <v>6374</v>
      </c>
      <c r="V326" t="s">
        <v>74</v>
      </c>
      <c r="W326" t="s">
        <v>6375</v>
      </c>
      <c r="X326" t="s">
        <v>6376</v>
      </c>
      <c r="Y326" t="s">
        <v>6377</v>
      </c>
      <c r="Z326" t="s">
        <v>74</v>
      </c>
      <c r="AA326" t="s">
        <v>6378</v>
      </c>
      <c r="AB326" t="s">
        <v>6379</v>
      </c>
      <c r="AC326" t="s">
        <v>6380</v>
      </c>
      <c r="AD326" t="s">
        <v>6381</v>
      </c>
      <c r="AE326" t="s">
        <v>6382</v>
      </c>
      <c r="AF326" t="s">
        <v>74</v>
      </c>
      <c r="AG326">
        <v>116</v>
      </c>
      <c r="AH326">
        <v>20</v>
      </c>
      <c r="AI326">
        <v>20</v>
      </c>
      <c r="AJ326">
        <v>0</v>
      </c>
      <c r="AK326">
        <v>0</v>
      </c>
      <c r="AL326" t="s">
        <v>3290</v>
      </c>
      <c r="AM326" t="s">
        <v>2520</v>
      </c>
      <c r="AN326" t="s">
        <v>6365</v>
      </c>
      <c r="AO326" t="s">
        <v>74</v>
      </c>
      <c r="AP326" t="s">
        <v>74</v>
      </c>
      <c r="AQ326" t="s">
        <v>6366</v>
      </c>
      <c r="AR326" t="s">
        <v>74</v>
      </c>
      <c r="AS326" t="s">
        <v>74</v>
      </c>
      <c r="AT326" t="s">
        <v>74</v>
      </c>
      <c r="AU326">
        <v>2019</v>
      </c>
      <c r="AV326" t="s">
        <v>74</v>
      </c>
      <c r="AW326" t="s">
        <v>74</v>
      </c>
      <c r="AX326" t="s">
        <v>74</v>
      </c>
      <c r="AY326" t="s">
        <v>74</v>
      </c>
      <c r="AZ326" t="s">
        <v>74</v>
      </c>
      <c r="BA326" t="s">
        <v>74</v>
      </c>
      <c r="BB326">
        <v>675</v>
      </c>
      <c r="BC326">
        <v>697</v>
      </c>
      <c r="BD326" t="s">
        <v>74</v>
      </c>
      <c r="BE326" t="s">
        <v>6383</v>
      </c>
      <c r="BF326" t="str">
        <f>HYPERLINK("http://dx.doi.org/10.1016/B978-0-12-816009-1.00024-1","http://dx.doi.org/10.1016/B978-0-12-816009-1.00024-1")</f>
        <v>http://dx.doi.org/10.1016/B978-0-12-816009-1.00024-1</v>
      </c>
      <c r="BG326" t="s">
        <v>6368</v>
      </c>
      <c r="BH326" t="s">
        <v>74</v>
      </c>
      <c r="BI326">
        <v>23</v>
      </c>
      <c r="BJ326" t="s">
        <v>2564</v>
      </c>
      <c r="BK326" t="s">
        <v>159</v>
      </c>
      <c r="BL326" t="s">
        <v>2564</v>
      </c>
      <c r="BM326" t="s">
        <v>6369</v>
      </c>
      <c r="BN326" t="s">
        <v>74</v>
      </c>
      <c r="BO326" t="s">
        <v>74</v>
      </c>
      <c r="BP326" t="s">
        <v>74</v>
      </c>
      <c r="BQ326" t="s">
        <v>74</v>
      </c>
      <c r="BR326" t="s">
        <v>104</v>
      </c>
      <c r="BS326" t="s">
        <v>6384</v>
      </c>
      <c r="BT326" t="str">
        <f>HYPERLINK("https%3A%2F%2Fwww.webofscience.com%2Fwos%2Fwoscc%2Ffull-record%2FWOS:000668139400025","View Full Record in Web of Science")</f>
        <v>View Full Record in Web of Science</v>
      </c>
    </row>
    <row r="327" spans="1:72" x14ac:dyDescent="0.15">
      <c r="A327" t="s">
        <v>133</v>
      </c>
      <c r="B327" t="s">
        <v>6385</v>
      </c>
      <c r="C327" t="s">
        <v>74</v>
      </c>
      <c r="D327" t="s">
        <v>6386</v>
      </c>
      <c r="E327" t="s">
        <v>74</v>
      </c>
      <c r="F327" t="s">
        <v>6387</v>
      </c>
      <c r="G327" t="s">
        <v>74</v>
      </c>
      <c r="H327" t="s">
        <v>74</v>
      </c>
      <c r="I327" t="s">
        <v>6388</v>
      </c>
      <c r="J327" t="s">
        <v>6389</v>
      </c>
      <c r="K327" t="s">
        <v>6390</v>
      </c>
      <c r="L327" t="s">
        <v>74</v>
      </c>
      <c r="M327" t="s">
        <v>78</v>
      </c>
      <c r="N327" t="s">
        <v>1297</v>
      </c>
      <c r="O327" t="s">
        <v>74</v>
      </c>
      <c r="P327" t="s">
        <v>74</v>
      </c>
      <c r="Q327" t="s">
        <v>74</v>
      </c>
      <c r="R327" t="s">
        <v>74</v>
      </c>
      <c r="S327" t="s">
        <v>74</v>
      </c>
      <c r="T327" t="s">
        <v>6391</v>
      </c>
      <c r="U327" t="s">
        <v>6392</v>
      </c>
      <c r="V327" t="s">
        <v>6393</v>
      </c>
      <c r="W327" t="s">
        <v>6394</v>
      </c>
      <c r="X327" t="s">
        <v>6395</v>
      </c>
      <c r="Y327" t="s">
        <v>6396</v>
      </c>
      <c r="Z327" t="s">
        <v>6397</v>
      </c>
      <c r="AA327" t="s">
        <v>74</v>
      </c>
      <c r="AB327" t="s">
        <v>74</v>
      </c>
      <c r="AC327" t="s">
        <v>74</v>
      </c>
      <c r="AD327" t="s">
        <v>74</v>
      </c>
      <c r="AE327" t="s">
        <v>74</v>
      </c>
      <c r="AF327" t="s">
        <v>74</v>
      </c>
      <c r="AG327">
        <v>150</v>
      </c>
      <c r="AH327">
        <v>75</v>
      </c>
      <c r="AI327">
        <v>81</v>
      </c>
      <c r="AJ327">
        <v>14</v>
      </c>
      <c r="AK327">
        <v>154</v>
      </c>
      <c r="AL327" t="s">
        <v>1306</v>
      </c>
      <c r="AM327" t="s">
        <v>1307</v>
      </c>
      <c r="AN327" t="s">
        <v>1308</v>
      </c>
      <c r="AO327" t="s">
        <v>6398</v>
      </c>
      <c r="AP327" t="s">
        <v>74</v>
      </c>
      <c r="AQ327" t="s">
        <v>74</v>
      </c>
      <c r="AR327" t="s">
        <v>6399</v>
      </c>
      <c r="AS327" t="s">
        <v>6400</v>
      </c>
      <c r="AT327" t="s">
        <v>74</v>
      </c>
      <c r="AU327">
        <v>2019</v>
      </c>
      <c r="AV327">
        <v>11</v>
      </c>
      <c r="AW327" t="s">
        <v>74</v>
      </c>
      <c r="AX327" t="s">
        <v>74</v>
      </c>
      <c r="AY327" t="s">
        <v>74</v>
      </c>
      <c r="AZ327" t="s">
        <v>74</v>
      </c>
      <c r="BA327" t="s">
        <v>74</v>
      </c>
      <c r="BB327">
        <v>187</v>
      </c>
      <c r="BC327" t="s">
        <v>642</v>
      </c>
      <c r="BD327" t="s">
        <v>74</v>
      </c>
      <c r="BE327" t="s">
        <v>6401</v>
      </c>
      <c r="BF327" t="str">
        <f>HYPERLINK("http://dx.doi.org/10.1146/annurev-marine-010816-060610","http://dx.doi.org/10.1146/annurev-marine-010816-060610")</f>
        <v>http://dx.doi.org/10.1146/annurev-marine-010816-060610</v>
      </c>
      <c r="BG327" t="s">
        <v>74</v>
      </c>
      <c r="BH327" t="s">
        <v>74</v>
      </c>
      <c r="BI327">
        <v>8</v>
      </c>
      <c r="BJ327" t="s">
        <v>6402</v>
      </c>
      <c r="BK327" t="s">
        <v>6348</v>
      </c>
      <c r="BL327" t="s">
        <v>6402</v>
      </c>
      <c r="BM327" t="s">
        <v>6403</v>
      </c>
      <c r="BN327">
        <v>30216739</v>
      </c>
      <c r="BO327" t="s">
        <v>162</v>
      </c>
      <c r="BP327" t="s">
        <v>74</v>
      </c>
      <c r="BQ327" t="s">
        <v>74</v>
      </c>
      <c r="BR327" t="s">
        <v>104</v>
      </c>
      <c r="BS327" t="s">
        <v>6404</v>
      </c>
      <c r="BT327" t="str">
        <f>HYPERLINK("https%3A%2F%2Fwww.webofscience.com%2Fwos%2Fwoscc%2Ffull-record%2FWOS:000456386600009","View Full Record in Web of Science")</f>
        <v>View Full Record in Web of Science</v>
      </c>
    </row>
    <row r="328" spans="1:72" x14ac:dyDescent="0.15">
      <c r="A328" t="s">
        <v>133</v>
      </c>
      <c r="B328" t="s">
        <v>6405</v>
      </c>
      <c r="C328" t="s">
        <v>74</v>
      </c>
      <c r="D328" t="s">
        <v>6386</v>
      </c>
      <c r="E328" t="s">
        <v>74</v>
      </c>
      <c r="F328" t="s">
        <v>6406</v>
      </c>
      <c r="G328" t="s">
        <v>74</v>
      </c>
      <c r="H328" t="s">
        <v>74</v>
      </c>
      <c r="I328" t="s">
        <v>6407</v>
      </c>
      <c r="J328" t="s">
        <v>6389</v>
      </c>
      <c r="K328" t="s">
        <v>6390</v>
      </c>
      <c r="L328" t="s">
        <v>74</v>
      </c>
      <c r="M328" t="s">
        <v>78</v>
      </c>
      <c r="N328" t="s">
        <v>1297</v>
      </c>
      <c r="O328" t="s">
        <v>74</v>
      </c>
      <c r="P328" t="s">
        <v>74</v>
      </c>
      <c r="Q328" t="s">
        <v>74</v>
      </c>
      <c r="R328" t="s">
        <v>74</v>
      </c>
      <c r="S328" t="s">
        <v>74</v>
      </c>
      <c r="T328" t="s">
        <v>6408</v>
      </c>
      <c r="U328" t="s">
        <v>6409</v>
      </c>
      <c r="V328" t="s">
        <v>6410</v>
      </c>
      <c r="W328" t="s">
        <v>6411</v>
      </c>
      <c r="X328" t="s">
        <v>6412</v>
      </c>
      <c r="Y328" t="s">
        <v>6413</v>
      </c>
      <c r="Z328" t="s">
        <v>6414</v>
      </c>
      <c r="AA328" t="s">
        <v>74</v>
      </c>
      <c r="AB328" t="s">
        <v>74</v>
      </c>
      <c r="AC328" t="s">
        <v>74</v>
      </c>
      <c r="AD328" t="s">
        <v>74</v>
      </c>
      <c r="AE328" t="s">
        <v>74</v>
      </c>
      <c r="AF328" t="s">
        <v>74</v>
      </c>
      <c r="AG328">
        <v>65</v>
      </c>
      <c r="AH328">
        <v>73</v>
      </c>
      <c r="AI328">
        <v>79</v>
      </c>
      <c r="AJ328">
        <v>8</v>
      </c>
      <c r="AK328">
        <v>78</v>
      </c>
      <c r="AL328" t="s">
        <v>1306</v>
      </c>
      <c r="AM328" t="s">
        <v>1307</v>
      </c>
      <c r="AN328" t="s">
        <v>1308</v>
      </c>
      <c r="AO328" t="s">
        <v>6398</v>
      </c>
      <c r="AP328" t="s">
        <v>74</v>
      </c>
      <c r="AQ328" t="s">
        <v>74</v>
      </c>
      <c r="AR328" t="s">
        <v>6399</v>
      </c>
      <c r="AS328" t="s">
        <v>6400</v>
      </c>
      <c r="AT328" t="s">
        <v>74</v>
      </c>
      <c r="AU328">
        <v>2019</v>
      </c>
      <c r="AV328">
        <v>11</v>
      </c>
      <c r="AW328" t="s">
        <v>74</v>
      </c>
      <c r="AX328" t="s">
        <v>74</v>
      </c>
      <c r="AY328" t="s">
        <v>74</v>
      </c>
      <c r="AZ328" t="s">
        <v>74</v>
      </c>
      <c r="BA328" t="s">
        <v>74</v>
      </c>
      <c r="BB328">
        <v>249</v>
      </c>
      <c r="BC328">
        <v>270</v>
      </c>
      <c r="BD328" t="s">
        <v>74</v>
      </c>
      <c r="BE328" t="s">
        <v>6415</v>
      </c>
      <c r="BF328" t="str">
        <f>HYPERLINK("http://dx.doi.org/10.1146/annurev-marine-010318-095241","http://dx.doi.org/10.1146/annurev-marine-010318-095241")</f>
        <v>http://dx.doi.org/10.1146/annurev-marine-010318-095241</v>
      </c>
      <c r="BG328" t="s">
        <v>74</v>
      </c>
      <c r="BH328" t="s">
        <v>74</v>
      </c>
      <c r="BI328">
        <v>22</v>
      </c>
      <c r="BJ328" t="s">
        <v>6402</v>
      </c>
      <c r="BK328" t="s">
        <v>6348</v>
      </c>
      <c r="BL328" t="s">
        <v>6402</v>
      </c>
      <c r="BM328" t="s">
        <v>6403</v>
      </c>
      <c r="BN328">
        <v>30606095</v>
      </c>
      <c r="BO328" t="s">
        <v>1089</v>
      </c>
      <c r="BP328" t="s">
        <v>74</v>
      </c>
      <c r="BQ328" t="s">
        <v>74</v>
      </c>
      <c r="BR328" t="s">
        <v>104</v>
      </c>
      <c r="BS328" t="s">
        <v>6416</v>
      </c>
      <c r="BT328" t="str">
        <f>HYPERLINK("https%3A%2F%2Fwww.webofscience.com%2Fwos%2Fwoscc%2Ffull-record%2FWOS:000456386600012","View Full Record in Web of Science")</f>
        <v>View Full Record in Web of Science</v>
      </c>
    </row>
    <row r="329" spans="1:72" x14ac:dyDescent="0.15">
      <c r="A329" t="s">
        <v>72</v>
      </c>
      <c r="B329" t="s">
        <v>6417</v>
      </c>
      <c r="C329" t="s">
        <v>74</v>
      </c>
      <c r="D329" t="s">
        <v>74</v>
      </c>
      <c r="E329" t="s">
        <v>74</v>
      </c>
      <c r="F329" t="s">
        <v>6418</v>
      </c>
      <c r="G329" t="s">
        <v>74</v>
      </c>
      <c r="H329" t="s">
        <v>74</v>
      </c>
      <c r="I329" t="s">
        <v>6419</v>
      </c>
      <c r="J329" t="s">
        <v>198</v>
      </c>
      <c r="K329" t="s">
        <v>74</v>
      </c>
      <c r="L329" t="s">
        <v>74</v>
      </c>
      <c r="M329" t="s">
        <v>78</v>
      </c>
      <c r="N329" t="s">
        <v>79</v>
      </c>
      <c r="O329" t="s">
        <v>74</v>
      </c>
      <c r="P329" t="s">
        <v>74</v>
      </c>
      <c r="Q329" t="s">
        <v>74</v>
      </c>
      <c r="R329" t="s">
        <v>74</v>
      </c>
      <c r="S329" t="s">
        <v>74</v>
      </c>
      <c r="T329" t="s">
        <v>6420</v>
      </c>
      <c r="U329" t="s">
        <v>6421</v>
      </c>
      <c r="V329" t="s">
        <v>6422</v>
      </c>
      <c r="W329" t="s">
        <v>6423</v>
      </c>
      <c r="X329" t="s">
        <v>6424</v>
      </c>
      <c r="Y329" t="s">
        <v>6425</v>
      </c>
      <c r="Z329" t="s">
        <v>6426</v>
      </c>
      <c r="AA329" t="s">
        <v>6427</v>
      </c>
      <c r="AB329" t="s">
        <v>6428</v>
      </c>
      <c r="AC329" t="s">
        <v>6429</v>
      </c>
      <c r="AD329" t="s">
        <v>6430</v>
      </c>
      <c r="AE329" t="s">
        <v>6431</v>
      </c>
      <c r="AF329" t="s">
        <v>74</v>
      </c>
      <c r="AG329">
        <v>82</v>
      </c>
      <c r="AH329">
        <v>1</v>
      </c>
      <c r="AI329">
        <v>1</v>
      </c>
      <c r="AJ329">
        <v>0</v>
      </c>
      <c r="AK329">
        <v>5</v>
      </c>
      <c r="AL329" t="s">
        <v>210</v>
      </c>
      <c r="AM329" t="s">
        <v>211</v>
      </c>
      <c r="AN329" t="s">
        <v>212</v>
      </c>
      <c r="AO329" t="s">
        <v>213</v>
      </c>
      <c r="AP329" t="s">
        <v>214</v>
      </c>
      <c r="AQ329" t="s">
        <v>74</v>
      </c>
      <c r="AR329" t="s">
        <v>215</v>
      </c>
      <c r="AS329" t="s">
        <v>216</v>
      </c>
      <c r="AT329" t="s">
        <v>74</v>
      </c>
      <c r="AU329">
        <v>2019</v>
      </c>
      <c r="AV329">
        <v>51</v>
      </c>
      <c r="AW329">
        <v>1</v>
      </c>
      <c r="AX329" t="s">
        <v>74</v>
      </c>
      <c r="AY329" t="s">
        <v>74</v>
      </c>
      <c r="AZ329" t="s">
        <v>74</v>
      </c>
      <c r="BA329" t="s">
        <v>74</v>
      </c>
      <c r="BB329">
        <v>115</v>
      </c>
      <c r="BC329">
        <v>127</v>
      </c>
      <c r="BD329" t="s">
        <v>74</v>
      </c>
      <c r="BE329" t="s">
        <v>6432</v>
      </c>
      <c r="BF329" t="str">
        <f>HYPERLINK("http://dx.doi.org/10.1080/15230430.2019.1585175","http://dx.doi.org/10.1080/15230430.2019.1585175")</f>
        <v>http://dx.doi.org/10.1080/15230430.2019.1585175</v>
      </c>
      <c r="BG329" t="s">
        <v>74</v>
      </c>
      <c r="BH329" t="s">
        <v>74</v>
      </c>
      <c r="BI329">
        <v>13</v>
      </c>
      <c r="BJ329" t="s">
        <v>218</v>
      </c>
      <c r="BK329" t="s">
        <v>101</v>
      </c>
      <c r="BL329" t="s">
        <v>219</v>
      </c>
      <c r="BM329" t="s">
        <v>1756</v>
      </c>
      <c r="BN329" t="s">
        <v>74</v>
      </c>
      <c r="BO329" t="s">
        <v>221</v>
      </c>
      <c r="BP329" t="s">
        <v>74</v>
      </c>
      <c r="BQ329" t="s">
        <v>74</v>
      </c>
      <c r="BR329" t="s">
        <v>104</v>
      </c>
      <c r="BS329" t="s">
        <v>6433</v>
      </c>
      <c r="BT329" t="str">
        <f>HYPERLINK("https%3A%2F%2Fwww.webofscience.com%2Fwos%2Fwoscc%2Ffull-record%2FWOS:000486105800009","View Full Record in Web of Science")</f>
        <v>View Full Record in Web of Science</v>
      </c>
    </row>
    <row r="330" spans="1:72" x14ac:dyDescent="0.15">
      <c r="A330" t="s">
        <v>72</v>
      </c>
      <c r="B330" t="s">
        <v>6434</v>
      </c>
      <c r="C330" t="s">
        <v>74</v>
      </c>
      <c r="D330" t="s">
        <v>74</v>
      </c>
      <c r="E330" t="s">
        <v>74</v>
      </c>
      <c r="F330" t="s">
        <v>6435</v>
      </c>
      <c r="G330" t="s">
        <v>74</v>
      </c>
      <c r="H330" t="s">
        <v>74</v>
      </c>
      <c r="I330" t="s">
        <v>6436</v>
      </c>
      <c r="J330" t="s">
        <v>198</v>
      </c>
      <c r="K330" t="s">
        <v>74</v>
      </c>
      <c r="L330" t="s">
        <v>74</v>
      </c>
      <c r="M330" t="s">
        <v>78</v>
      </c>
      <c r="N330" t="s">
        <v>79</v>
      </c>
      <c r="O330" t="s">
        <v>74</v>
      </c>
      <c r="P330" t="s">
        <v>74</v>
      </c>
      <c r="Q330" t="s">
        <v>74</v>
      </c>
      <c r="R330" t="s">
        <v>74</v>
      </c>
      <c r="S330" t="s">
        <v>74</v>
      </c>
      <c r="T330" t="s">
        <v>6437</v>
      </c>
      <c r="U330" t="s">
        <v>6438</v>
      </c>
      <c r="V330" t="s">
        <v>6439</v>
      </c>
      <c r="W330" t="s">
        <v>6440</v>
      </c>
      <c r="X330" t="s">
        <v>5583</v>
      </c>
      <c r="Y330" t="s">
        <v>6441</v>
      </c>
      <c r="Z330" t="s">
        <v>6442</v>
      </c>
      <c r="AA330" t="s">
        <v>74</v>
      </c>
      <c r="AB330" t="s">
        <v>6443</v>
      </c>
      <c r="AC330" t="s">
        <v>6444</v>
      </c>
      <c r="AD330" t="s">
        <v>6445</v>
      </c>
      <c r="AE330" t="s">
        <v>6446</v>
      </c>
      <c r="AF330" t="s">
        <v>74</v>
      </c>
      <c r="AG330">
        <v>93</v>
      </c>
      <c r="AH330">
        <v>2</v>
      </c>
      <c r="AI330">
        <v>2</v>
      </c>
      <c r="AJ330">
        <v>1</v>
      </c>
      <c r="AK330">
        <v>5</v>
      </c>
      <c r="AL330" t="s">
        <v>210</v>
      </c>
      <c r="AM330" t="s">
        <v>211</v>
      </c>
      <c r="AN330" t="s">
        <v>212</v>
      </c>
      <c r="AO330" t="s">
        <v>213</v>
      </c>
      <c r="AP330" t="s">
        <v>214</v>
      </c>
      <c r="AQ330" t="s">
        <v>74</v>
      </c>
      <c r="AR330" t="s">
        <v>215</v>
      </c>
      <c r="AS330" t="s">
        <v>216</v>
      </c>
      <c r="AT330" t="s">
        <v>74</v>
      </c>
      <c r="AU330">
        <v>2019</v>
      </c>
      <c r="AV330">
        <v>51</v>
      </c>
      <c r="AW330">
        <v>1</v>
      </c>
      <c r="AX330" t="s">
        <v>74</v>
      </c>
      <c r="AY330" t="s">
        <v>74</v>
      </c>
      <c r="AZ330" t="s">
        <v>74</v>
      </c>
      <c r="BA330" t="s">
        <v>74</v>
      </c>
      <c r="BB330">
        <v>348</v>
      </c>
      <c r="BC330">
        <v>365</v>
      </c>
      <c r="BD330" t="s">
        <v>74</v>
      </c>
      <c r="BE330" t="s">
        <v>6447</v>
      </c>
      <c r="BF330" t="str">
        <f>HYPERLINK("http://dx.doi.org/10.1080/15230430.2019.1640527","http://dx.doi.org/10.1080/15230430.2019.1640527")</f>
        <v>http://dx.doi.org/10.1080/15230430.2019.1640527</v>
      </c>
      <c r="BG330" t="s">
        <v>74</v>
      </c>
      <c r="BH330" t="s">
        <v>74</v>
      </c>
      <c r="BI330">
        <v>18</v>
      </c>
      <c r="BJ330" t="s">
        <v>218</v>
      </c>
      <c r="BK330" t="s">
        <v>101</v>
      </c>
      <c r="BL330" t="s">
        <v>219</v>
      </c>
      <c r="BM330" t="s">
        <v>1756</v>
      </c>
      <c r="BN330" t="s">
        <v>74</v>
      </c>
      <c r="BO330" t="s">
        <v>131</v>
      </c>
      <c r="BP330" t="s">
        <v>74</v>
      </c>
      <c r="BQ330" t="s">
        <v>74</v>
      </c>
      <c r="BR330" t="s">
        <v>104</v>
      </c>
      <c r="BS330" t="s">
        <v>6448</v>
      </c>
      <c r="BT330" t="str">
        <f>HYPERLINK("https%3A%2F%2Fwww.webofscience.com%2Fwos%2Fwoscc%2Ffull-record%2FWOS:000486105800025","View Full Record in Web of Science")</f>
        <v>View Full Record in Web of Science</v>
      </c>
    </row>
    <row r="331" spans="1:72" x14ac:dyDescent="0.15">
      <c r="A331" t="s">
        <v>72</v>
      </c>
      <c r="B331" t="s">
        <v>6449</v>
      </c>
      <c r="C331" t="s">
        <v>74</v>
      </c>
      <c r="D331" t="s">
        <v>74</v>
      </c>
      <c r="E331" t="s">
        <v>74</v>
      </c>
      <c r="F331" t="s">
        <v>6450</v>
      </c>
      <c r="G331" t="s">
        <v>74</v>
      </c>
      <c r="H331" t="s">
        <v>74</v>
      </c>
      <c r="I331" t="s">
        <v>6451</v>
      </c>
      <c r="J331" t="s">
        <v>198</v>
      </c>
      <c r="K331" t="s">
        <v>74</v>
      </c>
      <c r="L331" t="s">
        <v>74</v>
      </c>
      <c r="M331" t="s">
        <v>78</v>
      </c>
      <c r="N331" t="s">
        <v>79</v>
      </c>
      <c r="O331" t="s">
        <v>74</v>
      </c>
      <c r="P331" t="s">
        <v>74</v>
      </c>
      <c r="Q331" t="s">
        <v>74</v>
      </c>
      <c r="R331" t="s">
        <v>74</v>
      </c>
      <c r="S331" t="s">
        <v>74</v>
      </c>
      <c r="T331" t="s">
        <v>6452</v>
      </c>
      <c r="U331" t="s">
        <v>6453</v>
      </c>
      <c r="V331" t="s">
        <v>6454</v>
      </c>
      <c r="W331" t="s">
        <v>6455</v>
      </c>
      <c r="X331" t="s">
        <v>6456</v>
      </c>
      <c r="Y331" t="s">
        <v>6457</v>
      </c>
      <c r="Z331" t="s">
        <v>6458</v>
      </c>
      <c r="AA331" t="s">
        <v>6459</v>
      </c>
      <c r="AB331" t="s">
        <v>6460</v>
      </c>
      <c r="AC331" t="s">
        <v>6461</v>
      </c>
      <c r="AD331" t="s">
        <v>6462</v>
      </c>
      <c r="AE331" t="s">
        <v>6463</v>
      </c>
      <c r="AF331" t="s">
        <v>74</v>
      </c>
      <c r="AG331">
        <v>38</v>
      </c>
      <c r="AH331">
        <v>15</v>
      </c>
      <c r="AI331">
        <v>19</v>
      </c>
      <c r="AJ331">
        <v>13</v>
      </c>
      <c r="AK331">
        <v>60</v>
      </c>
      <c r="AL331" t="s">
        <v>210</v>
      </c>
      <c r="AM331" t="s">
        <v>211</v>
      </c>
      <c r="AN331" t="s">
        <v>212</v>
      </c>
      <c r="AO331" t="s">
        <v>213</v>
      </c>
      <c r="AP331" t="s">
        <v>214</v>
      </c>
      <c r="AQ331" t="s">
        <v>74</v>
      </c>
      <c r="AR331" t="s">
        <v>215</v>
      </c>
      <c r="AS331" t="s">
        <v>216</v>
      </c>
      <c r="AT331" t="s">
        <v>74</v>
      </c>
      <c r="AU331">
        <v>2019</v>
      </c>
      <c r="AV331">
        <v>51</v>
      </c>
      <c r="AW331">
        <v>1</v>
      </c>
      <c r="AX331" t="s">
        <v>74</v>
      </c>
      <c r="AY331" t="s">
        <v>74</v>
      </c>
      <c r="AZ331" t="s">
        <v>74</v>
      </c>
      <c r="BA331" t="s">
        <v>74</v>
      </c>
      <c r="BB331">
        <v>428</v>
      </c>
      <c r="BC331">
        <v>439</v>
      </c>
      <c r="BD331" t="s">
        <v>74</v>
      </c>
      <c r="BE331" t="s">
        <v>6464</v>
      </c>
      <c r="BF331" t="str">
        <f>HYPERLINK("http://dx.doi.org/10.1080/15230430.2019.1650541","http://dx.doi.org/10.1080/15230430.2019.1650541")</f>
        <v>http://dx.doi.org/10.1080/15230430.2019.1650541</v>
      </c>
      <c r="BG331" t="s">
        <v>74</v>
      </c>
      <c r="BH331" t="s">
        <v>74</v>
      </c>
      <c r="BI331">
        <v>12</v>
      </c>
      <c r="BJ331" t="s">
        <v>218</v>
      </c>
      <c r="BK331" t="s">
        <v>101</v>
      </c>
      <c r="BL331" t="s">
        <v>219</v>
      </c>
      <c r="BM331" t="s">
        <v>220</v>
      </c>
      <c r="BN331" t="s">
        <v>74</v>
      </c>
      <c r="BO331" t="s">
        <v>221</v>
      </c>
      <c r="BP331" t="s">
        <v>74</v>
      </c>
      <c r="BQ331" t="s">
        <v>74</v>
      </c>
      <c r="BR331" t="s">
        <v>104</v>
      </c>
      <c r="BS331" t="s">
        <v>6465</v>
      </c>
      <c r="BT331" t="str">
        <f>HYPERLINK("https%3A%2F%2Fwww.webofscience.com%2Fwos%2Fwoscc%2Ffull-record%2FWOS:000508175700001","View Full Record in Web of Science")</f>
        <v>View Full Record in Web of Science</v>
      </c>
    </row>
    <row r="332" spans="1:72" x14ac:dyDescent="0.15">
      <c r="A332" t="s">
        <v>164</v>
      </c>
      <c r="B332" t="s">
        <v>6466</v>
      </c>
      <c r="C332" t="s">
        <v>74</v>
      </c>
      <c r="D332" t="s">
        <v>6467</v>
      </c>
      <c r="E332" t="s">
        <v>74</v>
      </c>
      <c r="F332" t="s">
        <v>6468</v>
      </c>
      <c r="G332" t="s">
        <v>74</v>
      </c>
      <c r="H332" t="s">
        <v>74</v>
      </c>
      <c r="I332" t="s">
        <v>6469</v>
      </c>
      <c r="J332" t="s">
        <v>6470</v>
      </c>
      <c r="K332" t="s">
        <v>6471</v>
      </c>
      <c r="L332" t="s">
        <v>74</v>
      </c>
      <c r="M332" t="s">
        <v>78</v>
      </c>
      <c r="N332" t="s">
        <v>172</v>
      </c>
      <c r="O332" t="s">
        <v>6472</v>
      </c>
      <c r="P332" t="s">
        <v>6473</v>
      </c>
      <c r="Q332" t="s">
        <v>6474</v>
      </c>
      <c r="R332" t="s">
        <v>74</v>
      </c>
      <c r="S332" t="s">
        <v>74</v>
      </c>
      <c r="T332" t="s">
        <v>6475</v>
      </c>
      <c r="U332" t="s">
        <v>74</v>
      </c>
      <c r="V332" t="s">
        <v>6476</v>
      </c>
      <c r="W332" t="s">
        <v>6477</v>
      </c>
      <c r="X332" t="s">
        <v>6478</v>
      </c>
      <c r="Y332" t="s">
        <v>6479</v>
      </c>
      <c r="Z332" t="s">
        <v>6480</v>
      </c>
      <c r="AA332" t="s">
        <v>6481</v>
      </c>
      <c r="AB332" t="s">
        <v>6482</v>
      </c>
      <c r="AC332" t="s">
        <v>6483</v>
      </c>
      <c r="AD332" t="s">
        <v>6484</v>
      </c>
      <c r="AE332" t="s">
        <v>6485</v>
      </c>
      <c r="AF332" t="s">
        <v>74</v>
      </c>
      <c r="AG332">
        <v>6</v>
      </c>
      <c r="AH332">
        <v>2</v>
      </c>
      <c r="AI332">
        <v>2</v>
      </c>
      <c r="AJ332">
        <v>1</v>
      </c>
      <c r="AK332">
        <v>5</v>
      </c>
      <c r="AL332" t="s">
        <v>6486</v>
      </c>
      <c r="AM332" t="s">
        <v>6487</v>
      </c>
      <c r="AN332" t="s">
        <v>6488</v>
      </c>
      <c r="AO332" t="s">
        <v>6489</v>
      </c>
      <c r="AP332" t="s">
        <v>6490</v>
      </c>
      <c r="AQ332" t="s">
        <v>6491</v>
      </c>
      <c r="AR332" t="s">
        <v>6492</v>
      </c>
      <c r="AS332" t="s">
        <v>74</v>
      </c>
      <c r="AT332" t="s">
        <v>74</v>
      </c>
      <c r="AU332">
        <v>2019</v>
      </c>
      <c r="AV332">
        <v>11116</v>
      </c>
      <c r="AW332" t="s">
        <v>74</v>
      </c>
      <c r="AX332" t="s">
        <v>74</v>
      </c>
      <c r="AY332" t="s">
        <v>74</v>
      </c>
      <c r="AZ332" t="s">
        <v>74</v>
      </c>
      <c r="BA332" t="s">
        <v>74</v>
      </c>
      <c r="BB332" t="s">
        <v>74</v>
      </c>
      <c r="BC332" t="s">
        <v>74</v>
      </c>
      <c r="BD332" t="s">
        <v>6493</v>
      </c>
      <c r="BE332" t="s">
        <v>6494</v>
      </c>
      <c r="BF332" t="str">
        <f>HYPERLINK("http://dx.doi.org/10.1117/12.2528974","http://dx.doi.org/10.1117/12.2528974")</f>
        <v>http://dx.doi.org/10.1117/12.2528974</v>
      </c>
      <c r="BG332" t="s">
        <v>74</v>
      </c>
      <c r="BH332" t="s">
        <v>74</v>
      </c>
      <c r="BI332">
        <v>6</v>
      </c>
      <c r="BJ332" t="s">
        <v>6495</v>
      </c>
      <c r="BK332" t="s">
        <v>190</v>
      </c>
      <c r="BL332" t="s">
        <v>6496</v>
      </c>
      <c r="BM332" t="s">
        <v>6497</v>
      </c>
      <c r="BN332" t="s">
        <v>74</v>
      </c>
      <c r="BO332" t="s">
        <v>74</v>
      </c>
      <c r="BP332" t="s">
        <v>74</v>
      </c>
      <c r="BQ332" t="s">
        <v>74</v>
      </c>
      <c r="BR332" t="s">
        <v>104</v>
      </c>
      <c r="BS332" t="s">
        <v>6498</v>
      </c>
      <c r="BT332" t="str">
        <f>HYPERLINK("https%3A%2F%2Fwww.webofscience.com%2Fwos%2Fwoscc%2Ffull-record%2FWOS:000535238500012","View Full Record in Web of Science")</f>
        <v>View Full Record in Web of Science</v>
      </c>
    </row>
    <row r="333" spans="1:72" x14ac:dyDescent="0.15">
      <c r="A333" t="s">
        <v>72</v>
      </c>
      <c r="B333" t="s">
        <v>6499</v>
      </c>
      <c r="C333" t="s">
        <v>74</v>
      </c>
      <c r="D333" t="s">
        <v>74</v>
      </c>
      <c r="E333" t="s">
        <v>74</v>
      </c>
      <c r="F333" t="s">
        <v>6500</v>
      </c>
      <c r="G333" t="s">
        <v>74</v>
      </c>
      <c r="H333" t="s">
        <v>74</v>
      </c>
      <c r="I333" t="s">
        <v>6501</v>
      </c>
      <c r="J333" t="s">
        <v>6502</v>
      </c>
      <c r="K333" t="s">
        <v>74</v>
      </c>
      <c r="L333" t="s">
        <v>74</v>
      </c>
      <c r="M333" t="s">
        <v>78</v>
      </c>
      <c r="N333" t="s">
        <v>79</v>
      </c>
      <c r="O333" t="s">
        <v>74</v>
      </c>
      <c r="P333" t="s">
        <v>74</v>
      </c>
      <c r="Q333" t="s">
        <v>74</v>
      </c>
      <c r="R333" t="s">
        <v>74</v>
      </c>
      <c r="S333" t="s">
        <v>74</v>
      </c>
      <c r="T333" t="s">
        <v>6503</v>
      </c>
      <c r="U333" t="s">
        <v>6504</v>
      </c>
      <c r="V333" t="s">
        <v>6505</v>
      </c>
      <c r="W333" t="s">
        <v>6506</v>
      </c>
      <c r="X333" t="s">
        <v>6507</v>
      </c>
      <c r="Y333" t="s">
        <v>6508</v>
      </c>
      <c r="Z333" t="s">
        <v>6509</v>
      </c>
      <c r="AA333" t="s">
        <v>6510</v>
      </c>
      <c r="AB333" t="s">
        <v>6511</v>
      </c>
      <c r="AC333" t="s">
        <v>6512</v>
      </c>
      <c r="AD333" t="s">
        <v>6513</v>
      </c>
      <c r="AE333" t="s">
        <v>6514</v>
      </c>
      <c r="AF333" t="s">
        <v>74</v>
      </c>
      <c r="AG333">
        <v>68</v>
      </c>
      <c r="AH333">
        <v>11</v>
      </c>
      <c r="AI333">
        <v>11</v>
      </c>
      <c r="AJ333">
        <v>2</v>
      </c>
      <c r="AK333">
        <v>12</v>
      </c>
      <c r="AL333" t="s">
        <v>6139</v>
      </c>
      <c r="AM333" t="s">
        <v>3353</v>
      </c>
      <c r="AN333" t="s">
        <v>6140</v>
      </c>
      <c r="AO333" t="s">
        <v>74</v>
      </c>
      <c r="AP333" t="s">
        <v>6515</v>
      </c>
      <c r="AQ333" t="s">
        <v>74</v>
      </c>
      <c r="AR333" t="s">
        <v>6516</v>
      </c>
      <c r="AS333" t="s">
        <v>6517</v>
      </c>
      <c r="AT333" t="s">
        <v>718</v>
      </c>
      <c r="AU333">
        <v>2019</v>
      </c>
      <c r="AV333">
        <v>1</v>
      </c>
      <c r="AW333" t="s">
        <v>74</v>
      </c>
      <c r="AX333" t="s">
        <v>74</v>
      </c>
      <c r="AY333" t="s">
        <v>74</v>
      </c>
      <c r="AZ333" t="s">
        <v>74</v>
      </c>
      <c r="BA333" t="s">
        <v>74</v>
      </c>
      <c r="BB333" t="s">
        <v>74</v>
      </c>
      <c r="BC333" t="s">
        <v>74</v>
      </c>
      <c r="BD333">
        <v>100016</v>
      </c>
      <c r="BE333" t="s">
        <v>6518</v>
      </c>
      <c r="BF333" t="str">
        <f>HYPERLINK("http://dx.doi.org/10.1016/j.aeaoa.2019.100016","http://dx.doi.org/10.1016/j.aeaoa.2019.100016")</f>
        <v>http://dx.doi.org/10.1016/j.aeaoa.2019.100016</v>
      </c>
      <c r="BG333" t="s">
        <v>74</v>
      </c>
      <c r="BH333" t="s">
        <v>74</v>
      </c>
      <c r="BI333">
        <v>10</v>
      </c>
      <c r="BJ333" t="s">
        <v>2635</v>
      </c>
      <c r="BK333" t="s">
        <v>349</v>
      </c>
      <c r="BL333" t="s">
        <v>2636</v>
      </c>
      <c r="BM333" t="s">
        <v>6519</v>
      </c>
      <c r="BN333" t="s">
        <v>74</v>
      </c>
      <c r="BO333" t="s">
        <v>6520</v>
      </c>
      <c r="BP333" t="s">
        <v>74</v>
      </c>
      <c r="BQ333" t="s">
        <v>74</v>
      </c>
      <c r="BR333" t="s">
        <v>104</v>
      </c>
      <c r="BS333" t="s">
        <v>6521</v>
      </c>
      <c r="BT333" t="str">
        <f>HYPERLINK("https%3A%2F%2Fwww.webofscience.com%2Fwos%2Fwoscc%2Ffull-record%2FWOS:000530641200010","View Full Record in Web of Science")</f>
        <v>View Full Record in Web of Science</v>
      </c>
    </row>
    <row r="334" spans="1:72" x14ac:dyDescent="0.15">
      <c r="A334" t="s">
        <v>164</v>
      </c>
      <c r="B334" t="s">
        <v>6522</v>
      </c>
      <c r="C334" t="s">
        <v>74</v>
      </c>
      <c r="D334" t="s">
        <v>6523</v>
      </c>
      <c r="E334" t="s">
        <v>74</v>
      </c>
      <c r="F334" t="s">
        <v>6524</v>
      </c>
      <c r="G334" t="s">
        <v>74</v>
      </c>
      <c r="H334" t="s">
        <v>74</v>
      </c>
      <c r="I334" t="s">
        <v>6525</v>
      </c>
      <c r="J334" t="s">
        <v>6526</v>
      </c>
      <c r="K334" t="s">
        <v>6527</v>
      </c>
      <c r="L334" t="s">
        <v>74</v>
      </c>
      <c r="M334" t="s">
        <v>78</v>
      </c>
      <c r="N334" t="s">
        <v>172</v>
      </c>
      <c r="O334" t="s">
        <v>6528</v>
      </c>
      <c r="P334" t="s">
        <v>6529</v>
      </c>
      <c r="Q334" t="s">
        <v>6530</v>
      </c>
      <c r="R334" t="s">
        <v>74</v>
      </c>
      <c r="S334" t="s">
        <v>74</v>
      </c>
      <c r="T334" t="s">
        <v>6531</v>
      </c>
      <c r="U334" t="s">
        <v>6532</v>
      </c>
      <c r="V334" t="s">
        <v>6533</v>
      </c>
      <c r="W334" t="s">
        <v>6534</v>
      </c>
      <c r="X334" t="s">
        <v>6535</v>
      </c>
      <c r="Y334" t="s">
        <v>6536</v>
      </c>
      <c r="Z334" t="s">
        <v>6537</v>
      </c>
      <c r="AA334" t="s">
        <v>6538</v>
      </c>
      <c r="AB334" t="s">
        <v>6539</v>
      </c>
      <c r="AC334" t="s">
        <v>6540</v>
      </c>
      <c r="AD334" t="s">
        <v>2819</v>
      </c>
      <c r="AE334" t="s">
        <v>74</v>
      </c>
      <c r="AF334" t="s">
        <v>74</v>
      </c>
      <c r="AG334">
        <v>11</v>
      </c>
      <c r="AH334">
        <v>0</v>
      </c>
      <c r="AI334">
        <v>0</v>
      </c>
      <c r="AJ334">
        <v>0</v>
      </c>
      <c r="AK334">
        <v>0</v>
      </c>
      <c r="AL334" t="s">
        <v>1203</v>
      </c>
      <c r="AM334" t="s">
        <v>1204</v>
      </c>
      <c r="AN334" t="s">
        <v>1205</v>
      </c>
      <c r="AO334" t="s">
        <v>6541</v>
      </c>
      <c r="AP334" t="s">
        <v>74</v>
      </c>
      <c r="AQ334" t="s">
        <v>6542</v>
      </c>
      <c r="AR334" t="s">
        <v>6543</v>
      </c>
      <c r="AS334" t="s">
        <v>74</v>
      </c>
      <c r="AT334" t="s">
        <v>74</v>
      </c>
      <c r="AU334">
        <v>2019</v>
      </c>
      <c r="AV334">
        <v>296</v>
      </c>
      <c r="AW334" t="s">
        <v>74</v>
      </c>
      <c r="AX334" t="s">
        <v>74</v>
      </c>
      <c r="AY334" t="s">
        <v>74</v>
      </c>
      <c r="AZ334" t="s">
        <v>74</v>
      </c>
      <c r="BA334" t="s">
        <v>74</v>
      </c>
      <c r="BB334">
        <v>175</v>
      </c>
      <c r="BC334">
        <v>182</v>
      </c>
      <c r="BD334" t="s">
        <v>74</v>
      </c>
      <c r="BE334" t="s">
        <v>6544</v>
      </c>
      <c r="BF334" t="str">
        <f>HYPERLINK("http://dx.doi.org/10.1007/978-3-030-30611-3_18","http://dx.doi.org/10.1007/978-3-030-30611-3_18")</f>
        <v>http://dx.doi.org/10.1007/978-3-030-30611-3_18</v>
      </c>
      <c r="BG334" t="s">
        <v>74</v>
      </c>
      <c r="BH334" t="s">
        <v>74</v>
      </c>
      <c r="BI334">
        <v>8</v>
      </c>
      <c r="BJ334" t="s">
        <v>6545</v>
      </c>
      <c r="BK334" t="s">
        <v>190</v>
      </c>
      <c r="BL334" t="s">
        <v>6546</v>
      </c>
      <c r="BM334" t="s">
        <v>6547</v>
      </c>
      <c r="BN334" t="s">
        <v>74</v>
      </c>
      <c r="BO334" t="s">
        <v>404</v>
      </c>
      <c r="BP334" t="s">
        <v>74</v>
      </c>
      <c r="BQ334" t="s">
        <v>74</v>
      </c>
      <c r="BR334" t="s">
        <v>104</v>
      </c>
      <c r="BS334" t="s">
        <v>6548</v>
      </c>
      <c r="BT334" t="str">
        <f>HYPERLINK("https%3A%2F%2Fwww.webofscience.com%2Fwos%2Fwoscc%2Ffull-record%2FWOS:000927892500018","View Full Record in Web of Science")</f>
        <v>View Full Record in Web of Science</v>
      </c>
    </row>
    <row r="335" spans="1:72" x14ac:dyDescent="0.15">
      <c r="A335" t="s">
        <v>72</v>
      </c>
      <c r="B335" t="s">
        <v>6549</v>
      </c>
      <c r="C335" t="s">
        <v>74</v>
      </c>
      <c r="D335" t="s">
        <v>74</v>
      </c>
      <c r="E335" t="s">
        <v>74</v>
      </c>
      <c r="F335" t="s">
        <v>6550</v>
      </c>
      <c r="G335" t="s">
        <v>74</v>
      </c>
      <c r="H335" t="s">
        <v>74</v>
      </c>
      <c r="I335" t="s">
        <v>6551</v>
      </c>
      <c r="J335" t="s">
        <v>6552</v>
      </c>
      <c r="K335" t="s">
        <v>74</v>
      </c>
      <c r="L335" t="s">
        <v>74</v>
      </c>
      <c r="M335" t="s">
        <v>78</v>
      </c>
      <c r="N335" t="s">
        <v>79</v>
      </c>
      <c r="O335" t="s">
        <v>74</v>
      </c>
      <c r="P335" t="s">
        <v>74</v>
      </c>
      <c r="Q335" t="s">
        <v>74</v>
      </c>
      <c r="R335" t="s">
        <v>74</v>
      </c>
      <c r="S335" t="s">
        <v>74</v>
      </c>
      <c r="T335" t="s">
        <v>6553</v>
      </c>
      <c r="U335" t="s">
        <v>6554</v>
      </c>
      <c r="V335" t="s">
        <v>6555</v>
      </c>
      <c r="W335" t="s">
        <v>6556</v>
      </c>
      <c r="X335" t="s">
        <v>6557</v>
      </c>
      <c r="Y335" t="s">
        <v>6558</v>
      </c>
      <c r="Z335" t="s">
        <v>6559</v>
      </c>
      <c r="AA335" t="s">
        <v>6560</v>
      </c>
      <c r="AB335" t="s">
        <v>6561</v>
      </c>
      <c r="AC335" t="s">
        <v>6562</v>
      </c>
      <c r="AD335" t="s">
        <v>6563</v>
      </c>
      <c r="AE335" t="s">
        <v>6564</v>
      </c>
      <c r="AF335" t="s">
        <v>74</v>
      </c>
      <c r="AG335">
        <v>56</v>
      </c>
      <c r="AH335">
        <v>22</v>
      </c>
      <c r="AI335">
        <v>24</v>
      </c>
      <c r="AJ335">
        <v>4</v>
      </c>
      <c r="AK335">
        <v>31</v>
      </c>
      <c r="AL335" t="s">
        <v>1079</v>
      </c>
      <c r="AM335" t="s">
        <v>4862</v>
      </c>
      <c r="AN335" t="s">
        <v>4863</v>
      </c>
      <c r="AO335" t="s">
        <v>6565</v>
      </c>
      <c r="AP335" t="s">
        <v>6566</v>
      </c>
      <c r="AQ335" t="s">
        <v>74</v>
      </c>
      <c r="AR335" t="s">
        <v>6567</v>
      </c>
      <c r="AS335" t="s">
        <v>6568</v>
      </c>
      <c r="AT335" t="s">
        <v>718</v>
      </c>
      <c r="AU335">
        <v>2019</v>
      </c>
      <c r="AV335">
        <v>28</v>
      </c>
      <c r="AW335">
        <v>1</v>
      </c>
      <c r="AX335" t="s">
        <v>74</v>
      </c>
      <c r="AY335" t="s">
        <v>74</v>
      </c>
      <c r="AZ335" t="s">
        <v>74</v>
      </c>
      <c r="BA335" t="s">
        <v>74</v>
      </c>
      <c r="BB335">
        <v>37</v>
      </c>
      <c r="BC335">
        <v>53</v>
      </c>
      <c r="BD335" t="s">
        <v>74</v>
      </c>
      <c r="BE335" t="s">
        <v>6569</v>
      </c>
      <c r="BF335" t="str">
        <f>HYPERLINK("http://dx.doi.org/10.1007/s10531-018-1635-6","http://dx.doi.org/10.1007/s10531-018-1635-6")</f>
        <v>http://dx.doi.org/10.1007/s10531-018-1635-6</v>
      </c>
      <c r="BG335" t="s">
        <v>74</v>
      </c>
      <c r="BH335" t="s">
        <v>74</v>
      </c>
      <c r="BI335">
        <v>17</v>
      </c>
      <c r="BJ335" t="s">
        <v>6570</v>
      </c>
      <c r="BK335" t="s">
        <v>101</v>
      </c>
      <c r="BL335" t="s">
        <v>102</v>
      </c>
      <c r="BM335" t="s">
        <v>6571</v>
      </c>
      <c r="BN335" t="s">
        <v>74</v>
      </c>
      <c r="BO335" t="s">
        <v>6572</v>
      </c>
      <c r="BP335" t="s">
        <v>74</v>
      </c>
      <c r="BQ335" t="s">
        <v>74</v>
      </c>
      <c r="BR335" t="s">
        <v>104</v>
      </c>
      <c r="BS335" t="s">
        <v>6573</v>
      </c>
      <c r="BT335" t="str">
        <f>HYPERLINK("https%3A%2F%2Fwww.webofscience.com%2Fwos%2Fwoscc%2Ffull-record%2FWOS:000454776800003","View Full Record in Web of Science")</f>
        <v>View Full Record in Web of Science</v>
      </c>
    </row>
    <row r="336" spans="1:72" x14ac:dyDescent="0.15">
      <c r="A336" t="s">
        <v>390</v>
      </c>
      <c r="B336" t="s">
        <v>6574</v>
      </c>
      <c r="C336" t="s">
        <v>74</v>
      </c>
      <c r="D336" t="s">
        <v>6575</v>
      </c>
      <c r="E336" t="s">
        <v>74</v>
      </c>
      <c r="F336" t="s">
        <v>6576</v>
      </c>
      <c r="G336" t="s">
        <v>74</v>
      </c>
      <c r="H336" t="s">
        <v>74</v>
      </c>
      <c r="I336" t="s">
        <v>6577</v>
      </c>
      <c r="J336" t="s">
        <v>6578</v>
      </c>
      <c r="K336" t="s">
        <v>6579</v>
      </c>
      <c r="L336" t="s">
        <v>74</v>
      </c>
      <c r="M336" t="s">
        <v>78</v>
      </c>
      <c r="N336" t="s">
        <v>140</v>
      </c>
      <c r="O336" t="s">
        <v>74</v>
      </c>
      <c r="P336" t="s">
        <v>74</v>
      </c>
      <c r="Q336" t="s">
        <v>74</v>
      </c>
      <c r="R336" t="s">
        <v>74</v>
      </c>
      <c r="S336" t="s">
        <v>74</v>
      </c>
      <c r="T336" t="s">
        <v>74</v>
      </c>
      <c r="U336" t="s">
        <v>74</v>
      </c>
      <c r="V336" t="s">
        <v>74</v>
      </c>
      <c r="W336" t="s">
        <v>6580</v>
      </c>
      <c r="X336" t="s">
        <v>6581</v>
      </c>
      <c r="Y336" t="s">
        <v>6582</v>
      </c>
      <c r="Z336" t="s">
        <v>6583</v>
      </c>
      <c r="AA336" t="s">
        <v>74</v>
      </c>
      <c r="AB336" t="s">
        <v>74</v>
      </c>
      <c r="AC336" t="s">
        <v>74</v>
      </c>
      <c r="AD336" t="s">
        <v>74</v>
      </c>
      <c r="AE336" t="s">
        <v>74</v>
      </c>
      <c r="AF336" t="s">
        <v>74</v>
      </c>
      <c r="AG336">
        <v>35</v>
      </c>
      <c r="AH336">
        <v>0</v>
      </c>
      <c r="AI336">
        <v>0</v>
      </c>
      <c r="AJ336">
        <v>0</v>
      </c>
      <c r="AK336">
        <v>0</v>
      </c>
      <c r="AL336" t="s">
        <v>6584</v>
      </c>
      <c r="AM336" t="s">
        <v>3008</v>
      </c>
      <c r="AN336" t="s">
        <v>6585</v>
      </c>
      <c r="AO336" t="s">
        <v>74</v>
      </c>
      <c r="AP336" t="s">
        <v>74</v>
      </c>
      <c r="AQ336" t="s">
        <v>6586</v>
      </c>
      <c r="AR336" t="s">
        <v>6587</v>
      </c>
      <c r="AS336" t="s">
        <v>74</v>
      </c>
      <c r="AT336" t="s">
        <v>74</v>
      </c>
      <c r="AU336">
        <v>2019</v>
      </c>
      <c r="AV336" t="s">
        <v>74</v>
      </c>
      <c r="AW336" t="s">
        <v>74</v>
      </c>
      <c r="AX336" t="s">
        <v>74</v>
      </c>
      <c r="AY336" t="s">
        <v>74</v>
      </c>
      <c r="AZ336" t="s">
        <v>74</v>
      </c>
      <c r="BA336" t="s">
        <v>74</v>
      </c>
      <c r="BB336">
        <v>257</v>
      </c>
      <c r="BC336">
        <v>275</v>
      </c>
      <c r="BD336" t="s">
        <v>74</v>
      </c>
      <c r="BE336" t="s">
        <v>6588</v>
      </c>
      <c r="BF336" t="str">
        <f>HYPERLINK("http://dx.doi.org/10.1007/978-3-319-89408-9_11","http://dx.doi.org/10.1007/978-3-319-89408-9_11")</f>
        <v>http://dx.doi.org/10.1007/978-3-319-89408-9_11</v>
      </c>
      <c r="BG336" t="s">
        <v>6589</v>
      </c>
      <c r="BH336" t="s">
        <v>74</v>
      </c>
      <c r="BI336">
        <v>19</v>
      </c>
      <c r="BJ336" t="s">
        <v>6590</v>
      </c>
      <c r="BK336" t="s">
        <v>2733</v>
      </c>
      <c r="BL336" t="s">
        <v>6591</v>
      </c>
      <c r="BM336" t="s">
        <v>6592</v>
      </c>
      <c r="BN336" t="s">
        <v>74</v>
      </c>
      <c r="BO336" t="s">
        <v>74</v>
      </c>
      <c r="BP336" t="s">
        <v>74</v>
      </c>
      <c r="BQ336" t="s">
        <v>74</v>
      </c>
      <c r="BR336" t="s">
        <v>104</v>
      </c>
      <c r="BS336" t="s">
        <v>6593</v>
      </c>
      <c r="BT336" t="str">
        <f>HYPERLINK("https%3A%2F%2Fwww.webofscience.com%2Fwos%2Fwoscc%2Ffull-record%2FWOS:000579613500011","View Full Record in Web of Science")</f>
        <v>View Full Record in Web of Science</v>
      </c>
    </row>
    <row r="337" spans="1:72" x14ac:dyDescent="0.15">
      <c r="A337" t="s">
        <v>133</v>
      </c>
      <c r="B337" t="s">
        <v>6594</v>
      </c>
      <c r="C337" t="s">
        <v>74</v>
      </c>
      <c r="D337" t="s">
        <v>6595</v>
      </c>
      <c r="E337" t="s">
        <v>74</v>
      </c>
      <c r="F337" t="s">
        <v>6596</v>
      </c>
      <c r="G337" t="s">
        <v>74</v>
      </c>
      <c r="H337" t="s">
        <v>74</v>
      </c>
      <c r="I337" t="s">
        <v>6597</v>
      </c>
      <c r="J337" t="s">
        <v>6598</v>
      </c>
      <c r="K337" t="s">
        <v>6599</v>
      </c>
      <c r="L337" t="s">
        <v>74</v>
      </c>
      <c r="M337" t="s">
        <v>78</v>
      </c>
      <c r="N337" t="s">
        <v>140</v>
      </c>
      <c r="O337" t="s">
        <v>74</v>
      </c>
      <c r="P337" t="s">
        <v>74</v>
      </c>
      <c r="Q337" t="s">
        <v>74</v>
      </c>
      <c r="R337" t="s">
        <v>74</v>
      </c>
      <c r="S337" t="s">
        <v>74</v>
      </c>
      <c r="T337" t="s">
        <v>74</v>
      </c>
      <c r="U337" t="s">
        <v>6600</v>
      </c>
      <c r="V337" t="s">
        <v>6601</v>
      </c>
      <c r="W337" t="s">
        <v>6602</v>
      </c>
      <c r="X337" t="s">
        <v>6603</v>
      </c>
      <c r="Y337" t="s">
        <v>6604</v>
      </c>
      <c r="Z337" t="s">
        <v>6605</v>
      </c>
      <c r="AA337" t="s">
        <v>74</v>
      </c>
      <c r="AB337" t="s">
        <v>74</v>
      </c>
      <c r="AC337" t="s">
        <v>74</v>
      </c>
      <c r="AD337" t="s">
        <v>74</v>
      </c>
      <c r="AE337" t="s">
        <v>74</v>
      </c>
      <c r="AF337" t="s">
        <v>74</v>
      </c>
      <c r="AG337">
        <v>76</v>
      </c>
      <c r="AH337">
        <v>4</v>
      </c>
      <c r="AI337">
        <v>4</v>
      </c>
      <c r="AJ337">
        <v>0</v>
      </c>
      <c r="AK337">
        <v>7</v>
      </c>
      <c r="AL337" t="s">
        <v>1203</v>
      </c>
      <c r="AM337" t="s">
        <v>1204</v>
      </c>
      <c r="AN337" t="s">
        <v>1205</v>
      </c>
      <c r="AO337" t="s">
        <v>6606</v>
      </c>
      <c r="AP337" t="s">
        <v>74</v>
      </c>
      <c r="AQ337" t="s">
        <v>6607</v>
      </c>
      <c r="AR337" t="s">
        <v>6608</v>
      </c>
      <c r="AS337" t="s">
        <v>6609</v>
      </c>
      <c r="AT337" t="s">
        <v>74</v>
      </c>
      <c r="AU337">
        <v>2019</v>
      </c>
      <c r="AV337" t="s">
        <v>74</v>
      </c>
      <c r="AW337" t="s">
        <v>74</v>
      </c>
      <c r="AX337" t="s">
        <v>74</v>
      </c>
      <c r="AY337" t="s">
        <v>74</v>
      </c>
      <c r="AZ337" t="s">
        <v>74</v>
      </c>
      <c r="BA337" t="s">
        <v>74</v>
      </c>
      <c r="BB337">
        <v>167</v>
      </c>
      <c r="BC337">
        <v>182</v>
      </c>
      <c r="BD337" t="s">
        <v>74</v>
      </c>
      <c r="BE337" t="s">
        <v>6610</v>
      </c>
      <c r="BF337" t="str">
        <f>HYPERLINK("http://dx.doi.org/10.1007/978-3-319-96175-0_8","http://dx.doi.org/10.1007/978-3-319-96175-0_8")</f>
        <v>http://dx.doi.org/10.1007/978-3-319-96175-0_8</v>
      </c>
      <c r="BG337" t="s">
        <v>6611</v>
      </c>
      <c r="BH337" t="s">
        <v>74</v>
      </c>
      <c r="BI337">
        <v>16</v>
      </c>
      <c r="BJ337" t="s">
        <v>6612</v>
      </c>
      <c r="BK337" t="s">
        <v>159</v>
      </c>
      <c r="BL337" t="s">
        <v>6613</v>
      </c>
      <c r="BM337" t="s">
        <v>6614</v>
      </c>
      <c r="BN337" t="s">
        <v>74</v>
      </c>
      <c r="BO337" t="s">
        <v>74</v>
      </c>
      <c r="BP337" t="s">
        <v>74</v>
      </c>
      <c r="BQ337" t="s">
        <v>74</v>
      </c>
      <c r="BR337" t="s">
        <v>104</v>
      </c>
      <c r="BS337" t="s">
        <v>6615</v>
      </c>
      <c r="BT337" t="str">
        <f>HYPERLINK("https%3A%2F%2Fwww.webofscience.com%2Fwos%2Fwoscc%2Ffull-record%2FWOS:000573728200010","View Full Record in Web of Science")</f>
        <v>View Full Record in Web of Science</v>
      </c>
    </row>
    <row r="338" spans="1:72" x14ac:dyDescent="0.15">
      <c r="A338" t="s">
        <v>72</v>
      </c>
      <c r="B338" t="s">
        <v>6616</v>
      </c>
      <c r="C338" t="s">
        <v>74</v>
      </c>
      <c r="D338" t="s">
        <v>74</v>
      </c>
      <c r="E338" t="s">
        <v>74</v>
      </c>
      <c r="F338" t="s">
        <v>6617</v>
      </c>
      <c r="G338" t="s">
        <v>74</v>
      </c>
      <c r="H338" t="s">
        <v>74</v>
      </c>
      <c r="I338" t="s">
        <v>6618</v>
      </c>
      <c r="J338" t="s">
        <v>5457</v>
      </c>
      <c r="K338" t="s">
        <v>74</v>
      </c>
      <c r="L338" t="s">
        <v>74</v>
      </c>
      <c r="M338" t="s">
        <v>78</v>
      </c>
      <c r="N338" t="s">
        <v>79</v>
      </c>
      <c r="O338" t="s">
        <v>74</v>
      </c>
      <c r="P338" t="s">
        <v>74</v>
      </c>
      <c r="Q338" t="s">
        <v>74</v>
      </c>
      <c r="R338" t="s">
        <v>74</v>
      </c>
      <c r="S338" t="s">
        <v>74</v>
      </c>
      <c r="T338" t="s">
        <v>6619</v>
      </c>
      <c r="U338" t="s">
        <v>6620</v>
      </c>
      <c r="V338" t="s">
        <v>6621</v>
      </c>
      <c r="W338" t="s">
        <v>6622</v>
      </c>
      <c r="X338" t="s">
        <v>6623</v>
      </c>
      <c r="Y338" t="s">
        <v>6624</v>
      </c>
      <c r="Z338" t="s">
        <v>6625</v>
      </c>
      <c r="AA338" t="s">
        <v>6626</v>
      </c>
      <c r="AB338" t="s">
        <v>6627</v>
      </c>
      <c r="AC338" t="s">
        <v>74</v>
      </c>
      <c r="AD338" t="s">
        <v>74</v>
      </c>
      <c r="AE338" t="s">
        <v>74</v>
      </c>
      <c r="AF338" t="s">
        <v>74</v>
      </c>
      <c r="AG338">
        <v>70</v>
      </c>
      <c r="AH338">
        <v>48</v>
      </c>
      <c r="AI338">
        <v>53</v>
      </c>
      <c r="AJ338">
        <v>2</v>
      </c>
      <c r="AK338">
        <v>67</v>
      </c>
      <c r="AL338" t="s">
        <v>3670</v>
      </c>
      <c r="AM338" t="s">
        <v>3671</v>
      </c>
      <c r="AN338" t="s">
        <v>3672</v>
      </c>
      <c r="AO338" t="s">
        <v>5470</v>
      </c>
      <c r="AP338" t="s">
        <v>5471</v>
      </c>
      <c r="AQ338" t="s">
        <v>74</v>
      </c>
      <c r="AR338" t="s">
        <v>5472</v>
      </c>
      <c r="AS338" t="s">
        <v>5473</v>
      </c>
      <c r="AT338" t="s">
        <v>718</v>
      </c>
      <c r="AU338">
        <v>2019</v>
      </c>
      <c r="AV338">
        <v>25</v>
      </c>
      <c r="AW338">
        <v>1</v>
      </c>
      <c r="AX338" t="s">
        <v>74</v>
      </c>
      <c r="AY338" t="s">
        <v>74</v>
      </c>
      <c r="AZ338" t="s">
        <v>74</v>
      </c>
      <c r="BA338" t="s">
        <v>74</v>
      </c>
      <c r="BB338">
        <v>9</v>
      </c>
      <c r="BC338">
        <v>20</v>
      </c>
      <c r="BD338" t="s">
        <v>74</v>
      </c>
      <c r="BE338" t="s">
        <v>6628</v>
      </c>
      <c r="BF338" t="str">
        <f>HYPERLINK("http://dx.doi.org/10.1111/ddi.12838","http://dx.doi.org/10.1111/ddi.12838")</f>
        <v>http://dx.doi.org/10.1111/ddi.12838</v>
      </c>
      <c r="BG338" t="s">
        <v>74</v>
      </c>
      <c r="BH338" t="s">
        <v>74</v>
      </c>
      <c r="BI338">
        <v>12</v>
      </c>
      <c r="BJ338" t="s">
        <v>1087</v>
      </c>
      <c r="BK338" t="s">
        <v>101</v>
      </c>
      <c r="BL338" t="s">
        <v>102</v>
      </c>
      <c r="BM338" t="s">
        <v>5475</v>
      </c>
      <c r="BN338" t="s">
        <v>74</v>
      </c>
      <c r="BO338" t="s">
        <v>3810</v>
      </c>
      <c r="BP338" t="s">
        <v>74</v>
      </c>
      <c r="BQ338" t="s">
        <v>74</v>
      </c>
      <c r="BR338" t="s">
        <v>104</v>
      </c>
      <c r="BS338" t="s">
        <v>6629</v>
      </c>
      <c r="BT338" t="str">
        <f>HYPERLINK("https%3A%2F%2Fwww.webofscience.com%2Fwos%2Fwoscc%2Ffull-record%2FWOS:000455265600003","View Full Record in Web of Science")</f>
        <v>View Full Record in Web of Science</v>
      </c>
    </row>
    <row r="339" spans="1:72" x14ac:dyDescent="0.15">
      <c r="A339" t="s">
        <v>72</v>
      </c>
      <c r="B339" t="s">
        <v>6630</v>
      </c>
      <c r="C339" t="s">
        <v>74</v>
      </c>
      <c r="D339" t="s">
        <v>74</v>
      </c>
      <c r="E339" t="s">
        <v>74</v>
      </c>
      <c r="F339" t="s">
        <v>6631</v>
      </c>
      <c r="G339" t="s">
        <v>74</v>
      </c>
      <c r="H339" t="s">
        <v>74</v>
      </c>
      <c r="I339" t="s">
        <v>6632</v>
      </c>
      <c r="J339" t="s">
        <v>6633</v>
      </c>
      <c r="K339" t="s">
        <v>74</v>
      </c>
      <c r="L339" t="s">
        <v>74</v>
      </c>
      <c r="M339" t="s">
        <v>78</v>
      </c>
      <c r="N339" t="s">
        <v>1003</v>
      </c>
      <c r="O339" t="s">
        <v>74</v>
      </c>
      <c r="P339" t="s">
        <v>74</v>
      </c>
      <c r="Q339" t="s">
        <v>74</v>
      </c>
      <c r="R339" t="s">
        <v>74</v>
      </c>
      <c r="S339" t="s">
        <v>74</v>
      </c>
      <c r="T339" t="s">
        <v>74</v>
      </c>
      <c r="U339" t="s">
        <v>6634</v>
      </c>
      <c r="V339" t="s">
        <v>6635</v>
      </c>
      <c r="W339" t="s">
        <v>6636</v>
      </c>
      <c r="X339" t="s">
        <v>6637</v>
      </c>
      <c r="Y339" t="s">
        <v>6638</v>
      </c>
      <c r="Z339" t="s">
        <v>6639</v>
      </c>
      <c r="AA339" t="s">
        <v>6640</v>
      </c>
      <c r="AB339" t="s">
        <v>6641</v>
      </c>
      <c r="AC339" t="s">
        <v>6642</v>
      </c>
      <c r="AD339" t="s">
        <v>6643</v>
      </c>
      <c r="AE339" t="s">
        <v>6644</v>
      </c>
      <c r="AF339" t="s">
        <v>74</v>
      </c>
      <c r="AG339">
        <v>155</v>
      </c>
      <c r="AH339">
        <v>41</v>
      </c>
      <c r="AI339">
        <v>44</v>
      </c>
      <c r="AJ339">
        <v>0</v>
      </c>
      <c r="AK339">
        <v>18</v>
      </c>
      <c r="AL339" t="s">
        <v>3290</v>
      </c>
      <c r="AM339" t="s">
        <v>2520</v>
      </c>
      <c r="AN339" t="s">
        <v>3291</v>
      </c>
      <c r="AO339" t="s">
        <v>6645</v>
      </c>
      <c r="AP339" t="s">
        <v>6646</v>
      </c>
      <c r="AQ339" t="s">
        <v>74</v>
      </c>
      <c r="AR339" t="s">
        <v>6647</v>
      </c>
      <c r="AS339" t="s">
        <v>6648</v>
      </c>
      <c r="AT339" t="s">
        <v>718</v>
      </c>
      <c r="AU339">
        <v>2019</v>
      </c>
      <c r="AV339">
        <v>188</v>
      </c>
      <c r="AW339" t="s">
        <v>74</v>
      </c>
      <c r="AX339" t="s">
        <v>74</v>
      </c>
      <c r="AY339" t="s">
        <v>74</v>
      </c>
      <c r="AZ339" t="s">
        <v>74</v>
      </c>
      <c r="BA339" t="s">
        <v>74</v>
      </c>
      <c r="BB339">
        <v>41</v>
      </c>
      <c r="BC339">
        <v>58</v>
      </c>
      <c r="BD339" t="s">
        <v>74</v>
      </c>
      <c r="BE339" t="s">
        <v>6649</v>
      </c>
      <c r="BF339" t="str">
        <f>HYPERLINK("http://dx.doi.org/10.1016/j.earscirev.2018.10.011","http://dx.doi.org/10.1016/j.earscirev.2018.10.011")</f>
        <v>http://dx.doi.org/10.1016/j.earscirev.2018.10.011</v>
      </c>
      <c r="BG339" t="s">
        <v>74</v>
      </c>
      <c r="BH339" t="s">
        <v>74</v>
      </c>
      <c r="BI339">
        <v>18</v>
      </c>
      <c r="BJ339" t="s">
        <v>884</v>
      </c>
      <c r="BK339" t="s">
        <v>101</v>
      </c>
      <c r="BL339" t="s">
        <v>528</v>
      </c>
      <c r="BM339" t="s">
        <v>6650</v>
      </c>
      <c r="BN339" t="s">
        <v>74</v>
      </c>
      <c r="BO339" t="s">
        <v>74</v>
      </c>
      <c r="BP339" t="s">
        <v>74</v>
      </c>
      <c r="BQ339" t="s">
        <v>74</v>
      </c>
      <c r="BR339" t="s">
        <v>104</v>
      </c>
      <c r="BS339" t="s">
        <v>6651</v>
      </c>
      <c r="BT339" t="str">
        <f>HYPERLINK("https%3A%2F%2Fwww.webofscience.com%2Fwos%2Fwoscc%2Ffull-record%2FWOS:000463462500002","View Full Record in Web of Science")</f>
        <v>View Full Record in Web of Science</v>
      </c>
    </row>
    <row r="340" spans="1:72" x14ac:dyDescent="0.15">
      <c r="A340" t="s">
        <v>72</v>
      </c>
      <c r="B340" t="s">
        <v>6652</v>
      </c>
      <c r="C340" t="s">
        <v>74</v>
      </c>
      <c r="D340" t="s">
        <v>74</v>
      </c>
      <c r="E340" t="s">
        <v>74</v>
      </c>
      <c r="F340" t="s">
        <v>6653</v>
      </c>
      <c r="G340" t="s">
        <v>74</v>
      </c>
      <c r="H340" t="s">
        <v>74</v>
      </c>
      <c r="I340" t="s">
        <v>6654</v>
      </c>
      <c r="J340" t="s">
        <v>6655</v>
      </c>
      <c r="K340" t="s">
        <v>74</v>
      </c>
      <c r="L340" t="s">
        <v>74</v>
      </c>
      <c r="M340" t="s">
        <v>78</v>
      </c>
      <c r="N340" t="s">
        <v>79</v>
      </c>
      <c r="O340" t="s">
        <v>74</v>
      </c>
      <c r="P340" t="s">
        <v>74</v>
      </c>
      <c r="Q340" t="s">
        <v>74</v>
      </c>
      <c r="R340" t="s">
        <v>74</v>
      </c>
      <c r="S340" t="s">
        <v>74</v>
      </c>
      <c r="T340" t="s">
        <v>6656</v>
      </c>
      <c r="U340" t="s">
        <v>6657</v>
      </c>
      <c r="V340" t="s">
        <v>6658</v>
      </c>
      <c r="W340" t="s">
        <v>6659</v>
      </c>
      <c r="X340" t="s">
        <v>6660</v>
      </c>
      <c r="Y340" t="s">
        <v>6661</v>
      </c>
      <c r="Z340" t="s">
        <v>6662</v>
      </c>
      <c r="AA340" t="s">
        <v>6663</v>
      </c>
      <c r="AB340" t="s">
        <v>6664</v>
      </c>
      <c r="AC340" t="s">
        <v>6665</v>
      </c>
      <c r="AD340" t="s">
        <v>6666</v>
      </c>
      <c r="AE340" t="s">
        <v>6667</v>
      </c>
      <c r="AF340" t="s">
        <v>74</v>
      </c>
      <c r="AG340">
        <v>48</v>
      </c>
      <c r="AH340">
        <v>58</v>
      </c>
      <c r="AI340">
        <v>64</v>
      </c>
      <c r="AJ340">
        <v>6</v>
      </c>
      <c r="AK340">
        <v>115</v>
      </c>
      <c r="AL340" t="s">
        <v>6114</v>
      </c>
      <c r="AM340" t="s">
        <v>6115</v>
      </c>
      <c r="AN340" t="s">
        <v>6116</v>
      </c>
      <c r="AO340" t="s">
        <v>6668</v>
      </c>
      <c r="AP340" t="s">
        <v>6669</v>
      </c>
      <c r="AQ340" t="s">
        <v>74</v>
      </c>
      <c r="AR340" t="s">
        <v>6670</v>
      </c>
      <c r="AS340" t="s">
        <v>6671</v>
      </c>
      <c r="AT340" t="s">
        <v>718</v>
      </c>
      <c r="AU340">
        <v>2019</v>
      </c>
      <c r="AV340">
        <v>26</v>
      </c>
      <c r="AW340">
        <v>1</v>
      </c>
      <c r="AX340" t="s">
        <v>74</v>
      </c>
      <c r="AY340" t="s">
        <v>74</v>
      </c>
      <c r="AZ340" t="s">
        <v>74</v>
      </c>
      <c r="BA340" t="s">
        <v>74</v>
      </c>
      <c r="BB340">
        <v>292</v>
      </c>
      <c r="BC340">
        <v>298</v>
      </c>
      <c r="BD340" t="s">
        <v>74</v>
      </c>
      <c r="BE340" t="s">
        <v>6672</v>
      </c>
      <c r="BF340" t="str">
        <f>HYPERLINK("http://dx.doi.org/10.1007/s11356-018-3509-6","http://dx.doi.org/10.1007/s11356-018-3509-6")</f>
        <v>http://dx.doi.org/10.1007/s11356-018-3509-6</v>
      </c>
      <c r="BG340" t="s">
        <v>74</v>
      </c>
      <c r="BH340" t="s">
        <v>74</v>
      </c>
      <c r="BI340">
        <v>7</v>
      </c>
      <c r="BJ340" t="s">
        <v>798</v>
      </c>
      <c r="BK340" t="s">
        <v>101</v>
      </c>
      <c r="BL340" t="s">
        <v>799</v>
      </c>
      <c r="BM340" t="s">
        <v>6673</v>
      </c>
      <c r="BN340">
        <v>30392176</v>
      </c>
      <c r="BO340" t="s">
        <v>1089</v>
      </c>
      <c r="BP340" t="s">
        <v>74</v>
      </c>
      <c r="BQ340" t="s">
        <v>74</v>
      </c>
      <c r="BR340" t="s">
        <v>104</v>
      </c>
      <c r="BS340" t="s">
        <v>6674</v>
      </c>
      <c r="BT340" t="str">
        <f>HYPERLINK("https%3A%2F%2Fwww.webofscience.com%2Fwos%2Fwoscc%2Ffull-record%2FWOS:000454939400028","View Full Record in Web of Science")</f>
        <v>View Full Record in Web of Science</v>
      </c>
    </row>
    <row r="341" spans="1:72" x14ac:dyDescent="0.15">
      <c r="A341" t="s">
        <v>390</v>
      </c>
      <c r="B341" t="s">
        <v>6675</v>
      </c>
      <c r="C341" t="s">
        <v>74</v>
      </c>
      <c r="D341" t="s">
        <v>6676</v>
      </c>
      <c r="E341" t="s">
        <v>74</v>
      </c>
      <c r="F341" t="s">
        <v>6677</v>
      </c>
      <c r="G341" t="s">
        <v>74</v>
      </c>
      <c r="H341" t="s">
        <v>74</v>
      </c>
      <c r="I341" t="s">
        <v>6678</v>
      </c>
      <c r="J341" t="s">
        <v>6679</v>
      </c>
      <c r="K341" t="s">
        <v>6680</v>
      </c>
      <c r="L341" t="s">
        <v>74</v>
      </c>
      <c r="M341" t="s">
        <v>78</v>
      </c>
      <c r="N341" t="s">
        <v>140</v>
      </c>
      <c r="O341" t="s">
        <v>74</v>
      </c>
      <c r="P341" t="s">
        <v>74</v>
      </c>
      <c r="Q341" t="s">
        <v>74</v>
      </c>
      <c r="R341" t="s">
        <v>74</v>
      </c>
      <c r="S341" t="s">
        <v>74</v>
      </c>
      <c r="T341" t="s">
        <v>74</v>
      </c>
      <c r="U341" t="s">
        <v>74</v>
      </c>
      <c r="V341" t="s">
        <v>74</v>
      </c>
      <c r="W341" t="s">
        <v>6681</v>
      </c>
      <c r="X341" t="s">
        <v>6682</v>
      </c>
      <c r="Y341" t="s">
        <v>6683</v>
      </c>
      <c r="Z341" t="s">
        <v>74</v>
      </c>
      <c r="AA341" t="s">
        <v>74</v>
      </c>
      <c r="AB341" t="s">
        <v>74</v>
      </c>
      <c r="AC341" t="s">
        <v>74</v>
      </c>
      <c r="AD341" t="s">
        <v>74</v>
      </c>
      <c r="AE341" t="s">
        <v>74</v>
      </c>
      <c r="AF341" t="s">
        <v>74</v>
      </c>
      <c r="AG341">
        <v>14</v>
      </c>
      <c r="AH341">
        <v>0</v>
      </c>
      <c r="AI341">
        <v>0</v>
      </c>
      <c r="AJ341">
        <v>0</v>
      </c>
      <c r="AK341">
        <v>0</v>
      </c>
      <c r="AL341" t="s">
        <v>1473</v>
      </c>
      <c r="AM341" t="s">
        <v>151</v>
      </c>
      <c r="AN341" t="s">
        <v>6684</v>
      </c>
      <c r="AO341" t="s">
        <v>74</v>
      </c>
      <c r="AP341" t="s">
        <v>74</v>
      </c>
      <c r="AQ341" t="s">
        <v>6685</v>
      </c>
      <c r="AR341" t="s">
        <v>6686</v>
      </c>
      <c r="AS341" t="s">
        <v>74</v>
      </c>
      <c r="AT341" t="s">
        <v>74</v>
      </c>
      <c r="AU341">
        <v>2019</v>
      </c>
      <c r="AV341" t="s">
        <v>74</v>
      </c>
      <c r="AW341" t="s">
        <v>74</v>
      </c>
      <c r="AX341" t="s">
        <v>74</v>
      </c>
      <c r="AY341" t="s">
        <v>74</v>
      </c>
      <c r="AZ341" t="s">
        <v>74</v>
      </c>
      <c r="BA341" t="s">
        <v>74</v>
      </c>
      <c r="BB341">
        <v>24</v>
      </c>
      <c r="BC341">
        <v>45</v>
      </c>
      <c r="BD341" t="s">
        <v>74</v>
      </c>
      <c r="BE341" t="s">
        <v>74</v>
      </c>
      <c r="BF341" t="s">
        <v>74</v>
      </c>
      <c r="BG341" t="s">
        <v>6687</v>
      </c>
      <c r="BH341" t="s">
        <v>74</v>
      </c>
      <c r="BI341">
        <v>22</v>
      </c>
      <c r="BJ341" t="s">
        <v>6688</v>
      </c>
      <c r="BK341" t="s">
        <v>2733</v>
      </c>
      <c r="BL341" t="s">
        <v>6689</v>
      </c>
      <c r="BM341" t="s">
        <v>6690</v>
      </c>
      <c r="BN341" t="s">
        <v>74</v>
      </c>
      <c r="BO341" t="s">
        <v>74</v>
      </c>
      <c r="BP341" t="s">
        <v>74</v>
      </c>
      <c r="BQ341" t="s">
        <v>74</v>
      </c>
      <c r="BR341" t="s">
        <v>104</v>
      </c>
      <c r="BS341" t="s">
        <v>6691</v>
      </c>
      <c r="BT341" t="str">
        <f>HYPERLINK("https%3A%2F%2Fwww.webofscience.com%2Fwos%2Fwoscc%2Ffull-record%2FWOS:000605276400003","View Full Record in Web of Science")</f>
        <v>View Full Record in Web of Science</v>
      </c>
    </row>
    <row r="342" spans="1:72" x14ac:dyDescent="0.15">
      <c r="A342" t="s">
        <v>390</v>
      </c>
      <c r="B342" t="s">
        <v>6692</v>
      </c>
      <c r="C342" t="s">
        <v>74</v>
      </c>
      <c r="D342" t="s">
        <v>6693</v>
      </c>
      <c r="E342" t="s">
        <v>74</v>
      </c>
      <c r="F342" t="s">
        <v>6694</v>
      </c>
      <c r="G342" t="s">
        <v>74</v>
      </c>
      <c r="H342" t="s">
        <v>74</v>
      </c>
      <c r="I342" t="s">
        <v>6695</v>
      </c>
      <c r="J342" t="s">
        <v>6696</v>
      </c>
      <c r="K342" t="s">
        <v>74</v>
      </c>
      <c r="L342" t="s">
        <v>74</v>
      </c>
      <c r="M342" t="s">
        <v>78</v>
      </c>
      <c r="N342" t="s">
        <v>6697</v>
      </c>
      <c r="O342" t="s">
        <v>74</v>
      </c>
      <c r="P342" t="s">
        <v>74</v>
      </c>
      <c r="Q342" t="s">
        <v>74</v>
      </c>
      <c r="R342" t="s">
        <v>74</v>
      </c>
      <c r="S342" t="s">
        <v>74</v>
      </c>
      <c r="T342" t="s">
        <v>74</v>
      </c>
      <c r="U342" t="s">
        <v>74</v>
      </c>
      <c r="V342" t="s">
        <v>74</v>
      </c>
      <c r="W342" t="s">
        <v>6698</v>
      </c>
      <c r="X342" t="s">
        <v>6699</v>
      </c>
      <c r="Y342" t="s">
        <v>6700</v>
      </c>
      <c r="Z342" t="s">
        <v>74</v>
      </c>
      <c r="AA342" t="s">
        <v>74</v>
      </c>
      <c r="AB342" t="s">
        <v>74</v>
      </c>
      <c r="AC342" t="s">
        <v>74</v>
      </c>
      <c r="AD342" t="s">
        <v>74</v>
      </c>
      <c r="AE342" t="s">
        <v>74</v>
      </c>
      <c r="AF342" t="s">
        <v>74</v>
      </c>
      <c r="AG342">
        <v>45</v>
      </c>
      <c r="AH342">
        <v>10</v>
      </c>
      <c r="AI342">
        <v>10</v>
      </c>
      <c r="AJ342">
        <v>0</v>
      </c>
      <c r="AK342">
        <v>0</v>
      </c>
      <c r="AL342" t="s">
        <v>6701</v>
      </c>
      <c r="AM342" t="s">
        <v>3008</v>
      </c>
      <c r="AN342" t="s">
        <v>6702</v>
      </c>
      <c r="AO342" t="s">
        <v>74</v>
      </c>
      <c r="AP342" t="s">
        <v>74</v>
      </c>
      <c r="AQ342" t="s">
        <v>6703</v>
      </c>
      <c r="AR342" t="s">
        <v>74</v>
      </c>
      <c r="AS342" t="s">
        <v>74</v>
      </c>
      <c r="AT342" t="s">
        <v>74</v>
      </c>
      <c r="AU342">
        <v>2019</v>
      </c>
      <c r="AV342" t="s">
        <v>74</v>
      </c>
      <c r="AW342" t="s">
        <v>74</v>
      </c>
      <c r="AX342" t="s">
        <v>74</v>
      </c>
      <c r="AY342" t="s">
        <v>74</v>
      </c>
      <c r="AZ342" t="s">
        <v>74</v>
      </c>
      <c r="BA342" t="s">
        <v>74</v>
      </c>
      <c r="BB342">
        <v>479</v>
      </c>
      <c r="BC342">
        <v>493</v>
      </c>
      <c r="BD342" t="s">
        <v>74</v>
      </c>
      <c r="BE342" t="s">
        <v>74</v>
      </c>
      <c r="BF342" t="s">
        <v>74</v>
      </c>
      <c r="BG342" t="s">
        <v>74</v>
      </c>
      <c r="BH342" t="s">
        <v>74</v>
      </c>
      <c r="BI342">
        <v>15</v>
      </c>
      <c r="BJ342" t="s">
        <v>6704</v>
      </c>
      <c r="BK342" t="s">
        <v>2733</v>
      </c>
      <c r="BL342" t="s">
        <v>6705</v>
      </c>
      <c r="BM342" t="s">
        <v>6706</v>
      </c>
      <c r="BN342" t="s">
        <v>74</v>
      </c>
      <c r="BO342" t="s">
        <v>74</v>
      </c>
      <c r="BP342" t="s">
        <v>74</v>
      </c>
      <c r="BQ342" t="s">
        <v>74</v>
      </c>
      <c r="BR342" t="s">
        <v>104</v>
      </c>
      <c r="BS342" t="s">
        <v>6707</v>
      </c>
      <c r="BT342" t="str">
        <f>HYPERLINK("https%3A%2F%2Fwww.webofscience.com%2Fwos%2Fwoscc%2Ffull-record%2FWOS:000579795800018","View Full Record in Web of Science")</f>
        <v>View Full Record in Web of Science</v>
      </c>
    </row>
    <row r="343" spans="1:72" x14ac:dyDescent="0.15">
      <c r="A343" t="s">
        <v>390</v>
      </c>
      <c r="B343" t="s">
        <v>6708</v>
      </c>
      <c r="C343" t="s">
        <v>74</v>
      </c>
      <c r="D343" t="s">
        <v>6709</v>
      </c>
      <c r="E343" t="s">
        <v>74</v>
      </c>
      <c r="F343" t="s">
        <v>6710</v>
      </c>
      <c r="G343" t="s">
        <v>74</v>
      </c>
      <c r="H343" t="s">
        <v>74</v>
      </c>
      <c r="I343" t="s">
        <v>6711</v>
      </c>
      <c r="J343" t="s">
        <v>6712</v>
      </c>
      <c r="K343" t="s">
        <v>74</v>
      </c>
      <c r="L343" t="s">
        <v>74</v>
      </c>
      <c r="M343" t="s">
        <v>78</v>
      </c>
      <c r="N343" t="s">
        <v>140</v>
      </c>
      <c r="O343" t="s">
        <v>74</v>
      </c>
      <c r="P343" t="s">
        <v>74</v>
      </c>
      <c r="Q343" t="s">
        <v>74</v>
      </c>
      <c r="R343" t="s">
        <v>74</v>
      </c>
      <c r="S343" t="s">
        <v>74</v>
      </c>
      <c r="T343" t="s">
        <v>74</v>
      </c>
      <c r="U343" t="s">
        <v>74</v>
      </c>
      <c r="V343" t="s">
        <v>74</v>
      </c>
      <c r="W343" t="s">
        <v>6713</v>
      </c>
      <c r="X343" t="s">
        <v>6714</v>
      </c>
      <c r="Y343" t="s">
        <v>6715</v>
      </c>
      <c r="Z343" t="s">
        <v>74</v>
      </c>
      <c r="AA343" t="s">
        <v>6716</v>
      </c>
      <c r="AB343" t="s">
        <v>6717</v>
      </c>
      <c r="AC343" t="s">
        <v>6718</v>
      </c>
      <c r="AD343" t="s">
        <v>6719</v>
      </c>
      <c r="AE343" t="s">
        <v>6720</v>
      </c>
      <c r="AF343" t="s">
        <v>74</v>
      </c>
      <c r="AG343">
        <v>66</v>
      </c>
      <c r="AH343">
        <v>1</v>
      </c>
      <c r="AI343">
        <v>1</v>
      </c>
      <c r="AJ343">
        <v>0</v>
      </c>
      <c r="AK343">
        <v>0</v>
      </c>
      <c r="AL343" t="s">
        <v>6721</v>
      </c>
      <c r="AM343" t="s">
        <v>6722</v>
      </c>
      <c r="AN343" t="s">
        <v>6723</v>
      </c>
      <c r="AO343" t="s">
        <v>74</v>
      </c>
      <c r="AP343" t="s">
        <v>74</v>
      </c>
      <c r="AQ343" t="s">
        <v>6724</v>
      </c>
      <c r="AR343" t="s">
        <v>74</v>
      </c>
      <c r="AS343" t="s">
        <v>74</v>
      </c>
      <c r="AT343" t="s">
        <v>74</v>
      </c>
      <c r="AU343">
        <v>2019</v>
      </c>
      <c r="AV343" t="s">
        <v>74</v>
      </c>
      <c r="AW343" t="s">
        <v>74</v>
      </c>
      <c r="AX343" t="s">
        <v>74</v>
      </c>
      <c r="AY343" t="s">
        <v>74</v>
      </c>
      <c r="AZ343" t="s">
        <v>74</v>
      </c>
      <c r="BA343" t="s">
        <v>74</v>
      </c>
      <c r="BB343">
        <v>158</v>
      </c>
      <c r="BC343">
        <v>177</v>
      </c>
      <c r="BD343" t="s">
        <v>74</v>
      </c>
      <c r="BE343" t="s">
        <v>74</v>
      </c>
      <c r="BF343" t="s">
        <v>74</v>
      </c>
      <c r="BG343" t="s">
        <v>74</v>
      </c>
      <c r="BH343" t="s">
        <v>74</v>
      </c>
      <c r="BI343">
        <v>20</v>
      </c>
      <c r="BJ343" t="s">
        <v>6725</v>
      </c>
      <c r="BK343" t="s">
        <v>2733</v>
      </c>
      <c r="BL343" t="s">
        <v>6726</v>
      </c>
      <c r="BM343" t="s">
        <v>6727</v>
      </c>
      <c r="BN343" t="s">
        <v>74</v>
      </c>
      <c r="BO343" t="s">
        <v>74</v>
      </c>
      <c r="BP343" t="s">
        <v>74</v>
      </c>
      <c r="BQ343" t="s">
        <v>74</v>
      </c>
      <c r="BR343" t="s">
        <v>104</v>
      </c>
      <c r="BS343" t="s">
        <v>6728</v>
      </c>
      <c r="BT343" t="str">
        <f>HYPERLINK("https%3A%2F%2Fwww.webofscience.com%2Fwos%2Fwoscc%2Ffull-record%2FWOS:000646758100010","View Full Record in Web of Science")</f>
        <v>View Full Record in Web of Science</v>
      </c>
    </row>
    <row r="344" spans="1:72" x14ac:dyDescent="0.15">
      <c r="A344" t="s">
        <v>133</v>
      </c>
      <c r="B344" t="s">
        <v>6729</v>
      </c>
      <c r="C344" t="s">
        <v>6729</v>
      </c>
      <c r="D344" t="s">
        <v>74</v>
      </c>
      <c r="E344" t="s">
        <v>74</v>
      </c>
      <c r="F344" t="s">
        <v>6730</v>
      </c>
      <c r="G344" t="s">
        <v>6729</v>
      </c>
      <c r="H344" t="s">
        <v>74</v>
      </c>
      <c r="I344" t="s">
        <v>6731</v>
      </c>
      <c r="J344" t="s">
        <v>6732</v>
      </c>
      <c r="K344" t="s">
        <v>6733</v>
      </c>
      <c r="L344" t="s">
        <v>74</v>
      </c>
      <c r="M344" t="s">
        <v>78</v>
      </c>
      <c r="N344" t="s">
        <v>140</v>
      </c>
      <c r="O344" t="s">
        <v>74</v>
      </c>
      <c r="P344" t="s">
        <v>74</v>
      </c>
      <c r="Q344" t="s">
        <v>74</v>
      </c>
      <c r="R344" t="s">
        <v>74</v>
      </c>
      <c r="S344" t="s">
        <v>74</v>
      </c>
      <c r="T344" t="s">
        <v>74</v>
      </c>
      <c r="U344" t="s">
        <v>6734</v>
      </c>
      <c r="V344" t="s">
        <v>74</v>
      </c>
      <c r="W344" t="s">
        <v>6735</v>
      </c>
      <c r="X344" t="s">
        <v>6736</v>
      </c>
      <c r="Y344" t="s">
        <v>6737</v>
      </c>
      <c r="Z344" t="s">
        <v>74</v>
      </c>
      <c r="AA344" t="s">
        <v>74</v>
      </c>
      <c r="AB344" t="s">
        <v>74</v>
      </c>
      <c r="AC344" t="s">
        <v>74</v>
      </c>
      <c r="AD344" t="s">
        <v>74</v>
      </c>
      <c r="AE344" t="s">
        <v>74</v>
      </c>
      <c r="AF344" t="s">
        <v>74</v>
      </c>
      <c r="AG344">
        <v>48</v>
      </c>
      <c r="AH344">
        <v>0</v>
      </c>
      <c r="AI344">
        <v>0</v>
      </c>
      <c r="AJ344">
        <v>0</v>
      </c>
      <c r="AK344">
        <v>0</v>
      </c>
      <c r="AL344" t="s">
        <v>1079</v>
      </c>
      <c r="AM344" t="s">
        <v>4862</v>
      </c>
      <c r="AN344" t="s">
        <v>6738</v>
      </c>
      <c r="AO344" t="s">
        <v>6739</v>
      </c>
      <c r="AP344" t="s">
        <v>74</v>
      </c>
      <c r="AQ344" t="s">
        <v>6740</v>
      </c>
      <c r="AR344" t="s">
        <v>6741</v>
      </c>
      <c r="AS344" t="s">
        <v>6742</v>
      </c>
      <c r="AT344" t="s">
        <v>74</v>
      </c>
      <c r="AU344">
        <v>2019</v>
      </c>
      <c r="AV344">
        <v>42</v>
      </c>
      <c r="AW344" t="s">
        <v>74</v>
      </c>
      <c r="AX344" t="s">
        <v>74</v>
      </c>
      <c r="AY344" t="s">
        <v>74</v>
      </c>
      <c r="AZ344" t="s">
        <v>74</v>
      </c>
      <c r="BA344" t="s">
        <v>74</v>
      </c>
      <c r="BB344">
        <v>185</v>
      </c>
      <c r="BC344">
        <v>198</v>
      </c>
      <c r="BD344" t="s">
        <v>74</v>
      </c>
      <c r="BE344" t="s">
        <v>6743</v>
      </c>
      <c r="BF344" t="str">
        <f>HYPERLINK("http://dx.doi.org/10.1007/978-3-319-98449-0_9","http://dx.doi.org/10.1007/978-3-319-98449-0_9")</f>
        <v>http://dx.doi.org/10.1007/978-3-319-98449-0_9</v>
      </c>
      <c r="BG344" t="s">
        <v>6744</v>
      </c>
      <c r="BH344" t="s">
        <v>74</v>
      </c>
      <c r="BI344">
        <v>14</v>
      </c>
      <c r="BJ344" t="s">
        <v>6745</v>
      </c>
      <c r="BK344" t="s">
        <v>159</v>
      </c>
      <c r="BL344" t="s">
        <v>6745</v>
      </c>
      <c r="BM344" t="s">
        <v>6746</v>
      </c>
      <c r="BN344" t="s">
        <v>74</v>
      </c>
      <c r="BO344" t="s">
        <v>74</v>
      </c>
      <c r="BP344" t="s">
        <v>74</v>
      </c>
      <c r="BQ344" t="s">
        <v>74</v>
      </c>
      <c r="BR344" t="s">
        <v>104</v>
      </c>
      <c r="BS344" t="s">
        <v>6747</v>
      </c>
      <c r="BT344" t="str">
        <f>HYPERLINK("https%3A%2F%2Fwww.webofscience.com%2Fwos%2Fwoscc%2Ffull-record%2FWOS:000714396800010","View Full Record in Web of Science")</f>
        <v>View Full Record in Web of Science</v>
      </c>
    </row>
    <row r="345" spans="1:72" x14ac:dyDescent="0.15">
      <c r="A345" t="s">
        <v>72</v>
      </c>
      <c r="B345" t="s">
        <v>6748</v>
      </c>
      <c r="C345" t="s">
        <v>74</v>
      </c>
      <c r="D345" t="s">
        <v>74</v>
      </c>
      <c r="E345" t="s">
        <v>74</v>
      </c>
      <c r="F345" t="s">
        <v>6749</v>
      </c>
      <c r="G345" t="s">
        <v>74</v>
      </c>
      <c r="H345" t="s">
        <v>74</v>
      </c>
      <c r="I345" t="s">
        <v>6750</v>
      </c>
      <c r="J345" t="s">
        <v>109</v>
      </c>
      <c r="K345" t="s">
        <v>74</v>
      </c>
      <c r="L345" t="s">
        <v>74</v>
      </c>
      <c r="M345" t="s">
        <v>78</v>
      </c>
      <c r="N345" t="s">
        <v>79</v>
      </c>
      <c r="O345" t="s">
        <v>74</v>
      </c>
      <c r="P345" t="s">
        <v>74</v>
      </c>
      <c r="Q345" t="s">
        <v>74</v>
      </c>
      <c r="R345" t="s">
        <v>74</v>
      </c>
      <c r="S345" t="s">
        <v>74</v>
      </c>
      <c r="T345" t="s">
        <v>6751</v>
      </c>
      <c r="U345" t="s">
        <v>6752</v>
      </c>
      <c r="V345" t="s">
        <v>6753</v>
      </c>
      <c r="W345" t="s">
        <v>6754</v>
      </c>
      <c r="X345" t="s">
        <v>2864</v>
      </c>
      <c r="Y345" t="s">
        <v>6755</v>
      </c>
      <c r="Z345" t="s">
        <v>6756</v>
      </c>
      <c r="AA345" t="s">
        <v>6757</v>
      </c>
      <c r="AB345" t="s">
        <v>6758</v>
      </c>
      <c r="AC345" t="s">
        <v>6759</v>
      </c>
      <c r="AD345" t="s">
        <v>6760</v>
      </c>
      <c r="AE345" t="s">
        <v>6761</v>
      </c>
      <c r="AF345" t="s">
        <v>74</v>
      </c>
      <c r="AG345">
        <v>19</v>
      </c>
      <c r="AH345">
        <v>3</v>
      </c>
      <c r="AI345">
        <v>5</v>
      </c>
      <c r="AJ345">
        <v>2</v>
      </c>
      <c r="AK345">
        <v>16</v>
      </c>
      <c r="AL345" t="s">
        <v>122</v>
      </c>
      <c r="AM345" t="s">
        <v>123</v>
      </c>
      <c r="AN345" t="s">
        <v>124</v>
      </c>
      <c r="AO345" t="s">
        <v>125</v>
      </c>
      <c r="AP345" t="s">
        <v>74</v>
      </c>
      <c r="AQ345" t="s">
        <v>74</v>
      </c>
      <c r="AR345" t="s">
        <v>109</v>
      </c>
      <c r="AS345" t="s">
        <v>126</v>
      </c>
      <c r="AT345" t="s">
        <v>74</v>
      </c>
      <c r="AU345">
        <v>2019</v>
      </c>
      <c r="AV345">
        <v>7</v>
      </c>
      <c r="AW345" t="s">
        <v>74</v>
      </c>
      <c r="AX345" t="s">
        <v>74</v>
      </c>
      <c r="AY345" t="s">
        <v>74</v>
      </c>
      <c r="AZ345" t="s">
        <v>74</v>
      </c>
      <c r="BA345" t="s">
        <v>74</v>
      </c>
      <c r="BB345">
        <v>113596</v>
      </c>
      <c r="BC345">
        <v>113604</v>
      </c>
      <c r="BD345" t="s">
        <v>74</v>
      </c>
      <c r="BE345" t="s">
        <v>6762</v>
      </c>
      <c r="BF345" t="str">
        <f>HYPERLINK("http://dx.doi.org/10.1109/ACCESS.2019.2935544","http://dx.doi.org/10.1109/ACCESS.2019.2935544")</f>
        <v>http://dx.doi.org/10.1109/ACCESS.2019.2935544</v>
      </c>
      <c r="BG345" t="s">
        <v>74</v>
      </c>
      <c r="BH345" t="s">
        <v>74</v>
      </c>
      <c r="BI345">
        <v>9</v>
      </c>
      <c r="BJ345" t="s">
        <v>128</v>
      </c>
      <c r="BK345" t="s">
        <v>101</v>
      </c>
      <c r="BL345" t="s">
        <v>129</v>
      </c>
      <c r="BM345" t="s">
        <v>6763</v>
      </c>
      <c r="BN345" t="s">
        <v>74</v>
      </c>
      <c r="BO345" t="s">
        <v>131</v>
      </c>
      <c r="BP345" t="s">
        <v>74</v>
      </c>
      <c r="BQ345" t="s">
        <v>74</v>
      </c>
      <c r="BR345" t="s">
        <v>104</v>
      </c>
      <c r="BS345" t="s">
        <v>6764</v>
      </c>
      <c r="BT345" t="str">
        <f>HYPERLINK("https%3A%2F%2Fwww.webofscience.com%2Fwos%2Fwoscc%2Ffull-record%2FWOS:000483022100017","View Full Record in Web of Science")</f>
        <v>View Full Record in Web of Science</v>
      </c>
    </row>
    <row r="346" spans="1:72" x14ac:dyDescent="0.15">
      <c r="A346" t="s">
        <v>133</v>
      </c>
      <c r="B346" t="s">
        <v>6765</v>
      </c>
      <c r="C346" t="s">
        <v>74</v>
      </c>
      <c r="D346" t="s">
        <v>6766</v>
      </c>
      <c r="E346" t="s">
        <v>74</v>
      </c>
      <c r="F346" t="s">
        <v>6767</v>
      </c>
      <c r="G346" t="s">
        <v>74</v>
      </c>
      <c r="H346" t="s">
        <v>74</v>
      </c>
      <c r="I346" t="s">
        <v>6768</v>
      </c>
      <c r="J346" t="s">
        <v>6769</v>
      </c>
      <c r="K346" t="s">
        <v>6770</v>
      </c>
      <c r="L346" t="s">
        <v>74</v>
      </c>
      <c r="M346" t="s">
        <v>78</v>
      </c>
      <c r="N346" t="s">
        <v>140</v>
      </c>
      <c r="O346" t="s">
        <v>74</v>
      </c>
      <c r="P346" t="s">
        <v>74</v>
      </c>
      <c r="Q346" t="s">
        <v>74</v>
      </c>
      <c r="R346" t="s">
        <v>74</v>
      </c>
      <c r="S346" t="s">
        <v>74</v>
      </c>
      <c r="T346" t="s">
        <v>6771</v>
      </c>
      <c r="U346" t="s">
        <v>6772</v>
      </c>
      <c r="V346" t="s">
        <v>6773</v>
      </c>
      <c r="W346" t="s">
        <v>6774</v>
      </c>
      <c r="X346" t="s">
        <v>6775</v>
      </c>
      <c r="Y346" t="s">
        <v>6776</v>
      </c>
      <c r="Z346" t="s">
        <v>6777</v>
      </c>
      <c r="AA346" t="s">
        <v>6778</v>
      </c>
      <c r="AB346" t="s">
        <v>6779</v>
      </c>
      <c r="AC346" t="s">
        <v>74</v>
      </c>
      <c r="AD346" t="s">
        <v>74</v>
      </c>
      <c r="AE346" t="s">
        <v>74</v>
      </c>
      <c r="AF346" t="s">
        <v>74</v>
      </c>
      <c r="AG346">
        <v>159</v>
      </c>
      <c r="AH346">
        <v>3</v>
      </c>
      <c r="AI346">
        <v>3</v>
      </c>
      <c r="AJ346">
        <v>0</v>
      </c>
      <c r="AK346">
        <v>4</v>
      </c>
      <c r="AL346" t="s">
        <v>1203</v>
      </c>
      <c r="AM346" t="s">
        <v>1204</v>
      </c>
      <c r="AN346" t="s">
        <v>1205</v>
      </c>
      <c r="AO346" t="s">
        <v>6780</v>
      </c>
      <c r="AP346" t="s">
        <v>6781</v>
      </c>
      <c r="AQ346" t="s">
        <v>6782</v>
      </c>
      <c r="AR346" t="s">
        <v>6783</v>
      </c>
      <c r="AS346" t="s">
        <v>74</v>
      </c>
      <c r="AT346" t="s">
        <v>74</v>
      </c>
      <c r="AU346">
        <v>2019</v>
      </c>
      <c r="AV346">
        <v>9</v>
      </c>
      <c r="AW346" t="s">
        <v>74</v>
      </c>
      <c r="AX346" t="s">
        <v>74</v>
      </c>
      <c r="AY346" t="s">
        <v>74</v>
      </c>
      <c r="AZ346" t="s">
        <v>74</v>
      </c>
      <c r="BA346" t="s">
        <v>74</v>
      </c>
      <c r="BB346">
        <v>69</v>
      </c>
      <c r="BC346">
        <v>98</v>
      </c>
      <c r="BD346" t="s">
        <v>74</v>
      </c>
      <c r="BE346" t="s">
        <v>6784</v>
      </c>
      <c r="BF346" t="str">
        <f>HYPERLINK("http://dx.doi.org/10.1007/978-3-030-10516-7_4","http://dx.doi.org/10.1007/978-3-030-10516-7_4")</f>
        <v>http://dx.doi.org/10.1007/978-3-030-10516-7_4</v>
      </c>
      <c r="BG346" t="s">
        <v>6785</v>
      </c>
      <c r="BH346" t="s">
        <v>74</v>
      </c>
      <c r="BI346">
        <v>30</v>
      </c>
      <c r="BJ346" t="s">
        <v>6786</v>
      </c>
      <c r="BK346" t="s">
        <v>159</v>
      </c>
      <c r="BL346" t="s">
        <v>6786</v>
      </c>
      <c r="BM346" t="s">
        <v>6787</v>
      </c>
      <c r="BN346" t="s">
        <v>74</v>
      </c>
      <c r="BO346" t="s">
        <v>74</v>
      </c>
      <c r="BP346" t="s">
        <v>74</v>
      </c>
      <c r="BQ346" t="s">
        <v>74</v>
      </c>
      <c r="BR346" t="s">
        <v>104</v>
      </c>
      <c r="BS346" t="s">
        <v>6788</v>
      </c>
      <c r="BT346" t="str">
        <f>HYPERLINK("https%3A%2F%2Fwww.webofscience.com%2Fwos%2Fwoscc%2Ffull-record%2FWOS:000621179500005","View Full Record in Web of Science")</f>
        <v>View Full Record in Web of Science</v>
      </c>
    </row>
    <row r="347" spans="1:72" x14ac:dyDescent="0.15">
      <c r="A347" t="s">
        <v>390</v>
      </c>
      <c r="B347" t="s">
        <v>6675</v>
      </c>
      <c r="C347" t="s">
        <v>74</v>
      </c>
      <c r="D347" t="s">
        <v>6789</v>
      </c>
      <c r="E347" t="s">
        <v>74</v>
      </c>
      <c r="F347" t="s">
        <v>6677</v>
      </c>
      <c r="G347" t="s">
        <v>74</v>
      </c>
      <c r="H347" t="s">
        <v>74</v>
      </c>
      <c r="I347" t="s">
        <v>6790</v>
      </c>
      <c r="J347" t="s">
        <v>6791</v>
      </c>
      <c r="K347" t="s">
        <v>74</v>
      </c>
      <c r="L347" t="s">
        <v>74</v>
      </c>
      <c r="M347" t="s">
        <v>78</v>
      </c>
      <c r="N347" t="s">
        <v>6697</v>
      </c>
      <c r="O347" t="s">
        <v>74</v>
      </c>
      <c r="P347" t="s">
        <v>74</v>
      </c>
      <c r="Q347" t="s">
        <v>74</v>
      </c>
      <c r="R347" t="s">
        <v>74</v>
      </c>
      <c r="S347" t="s">
        <v>74</v>
      </c>
      <c r="T347" t="s">
        <v>74</v>
      </c>
      <c r="U347" t="s">
        <v>74</v>
      </c>
      <c r="V347" t="s">
        <v>74</v>
      </c>
      <c r="W347" t="s">
        <v>6792</v>
      </c>
      <c r="X347" t="s">
        <v>6793</v>
      </c>
      <c r="Y347" t="s">
        <v>6794</v>
      </c>
      <c r="Z347" t="s">
        <v>74</v>
      </c>
      <c r="AA347" t="s">
        <v>74</v>
      </c>
      <c r="AB347" t="s">
        <v>74</v>
      </c>
      <c r="AC347" t="s">
        <v>74</v>
      </c>
      <c r="AD347" t="s">
        <v>74</v>
      </c>
      <c r="AE347" t="s">
        <v>74</v>
      </c>
      <c r="AF347" t="s">
        <v>74</v>
      </c>
      <c r="AG347">
        <v>3</v>
      </c>
      <c r="AH347">
        <v>0</v>
      </c>
      <c r="AI347">
        <v>0</v>
      </c>
      <c r="AJ347">
        <v>0</v>
      </c>
      <c r="AK347">
        <v>0</v>
      </c>
      <c r="AL347" t="s">
        <v>1473</v>
      </c>
      <c r="AM347" t="s">
        <v>151</v>
      </c>
      <c r="AN347" t="s">
        <v>6684</v>
      </c>
      <c r="AO347" t="s">
        <v>74</v>
      </c>
      <c r="AP347" t="s">
        <v>74</v>
      </c>
      <c r="AQ347" t="s">
        <v>6795</v>
      </c>
      <c r="AR347" t="s">
        <v>74</v>
      </c>
      <c r="AS347" t="s">
        <v>74</v>
      </c>
      <c r="AT347" t="s">
        <v>74</v>
      </c>
      <c r="AU347">
        <v>2019</v>
      </c>
      <c r="AV347" t="s">
        <v>74</v>
      </c>
      <c r="AW347" t="s">
        <v>74</v>
      </c>
      <c r="AX347" t="s">
        <v>74</v>
      </c>
      <c r="AY347" t="s">
        <v>74</v>
      </c>
      <c r="AZ347" t="s">
        <v>74</v>
      </c>
      <c r="BA347" t="s">
        <v>74</v>
      </c>
      <c r="BB347">
        <v>336</v>
      </c>
      <c r="BC347">
        <v>339</v>
      </c>
      <c r="BD347" t="s">
        <v>74</v>
      </c>
      <c r="BE347" t="s">
        <v>74</v>
      </c>
      <c r="BF347" t="s">
        <v>74</v>
      </c>
      <c r="BG347" t="s">
        <v>6796</v>
      </c>
      <c r="BH347" t="s">
        <v>74</v>
      </c>
      <c r="BI347">
        <v>4</v>
      </c>
      <c r="BJ347" t="s">
        <v>6797</v>
      </c>
      <c r="BK347" t="s">
        <v>2733</v>
      </c>
      <c r="BL347" t="s">
        <v>6798</v>
      </c>
      <c r="BM347" t="s">
        <v>6799</v>
      </c>
      <c r="BN347" t="s">
        <v>74</v>
      </c>
      <c r="BO347" t="s">
        <v>404</v>
      </c>
      <c r="BP347" t="s">
        <v>74</v>
      </c>
      <c r="BQ347" t="s">
        <v>74</v>
      </c>
      <c r="BR347" t="s">
        <v>104</v>
      </c>
      <c r="BS347" t="s">
        <v>6800</v>
      </c>
      <c r="BT347" t="str">
        <f>HYPERLINK("https%3A%2F%2Fwww.webofscience.com%2Fwos%2Fwoscc%2Ffull-record%2FWOS:000680223900022","View Full Record in Web of Science")</f>
        <v>View Full Record in Web of Science</v>
      </c>
    </row>
    <row r="348" spans="1:72" x14ac:dyDescent="0.15">
      <c r="A348" t="s">
        <v>164</v>
      </c>
      <c r="B348" t="s">
        <v>6801</v>
      </c>
      <c r="C348" t="s">
        <v>74</v>
      </c>
      <c r="D348" t="s">
        <v>74</v>
      </c>
      <c r="E348" t="s">
        <v>6802</v>
      </c>
      <c r="F348" t="s">
        <v>6803</v>
      </c>
      <c r="G348" t="s">
        <v>74</v>
      </c>
      <c r="H348" t="s">
        <v>74</v>
      </c>
      <c r="I348" t="s">
        <v>6804</v>
      </c>
      <c r="J348" t="s">
        <v>6805</v>
      </c>
      <c r="K348" t="s">
        <v>2780</v>
      </c>
      <c r="L348" t="s">
        <v>74</v>
      </c>
      <c r="M348" t="s">
        <v>78</v>
      </c>
      <c r="N348" t="s">
        <v>172</v>
      </c>
      <c r="O348" t="s">
        <v>6806</v>
      </c>
      <c r="P348" t="s">
        <v>6807</v>
      </c>
      <c r="Q348" t="s">
        <v>6808</v>
      </c>
      <c r="R348" t="s">
        <v>74</v>
      </c>
      <c r="S348" t="s">
        <v>74</v>
      </c>
      <c r="T348" t="s">
        <v>6809</v>
      </c>
      <c r="U348" t="s">
        <v>6810</v>
      </c>
      <c r="V348" t="s">
        <v>6811</v>
      </c>
      <c r="W348" t="s">
        <v>6812</v>
      </c>
      <c r="X348" t="s">
        <v>6813</v>
      </c>
      <c r="Y348" t="s">
        <v>6814</v>
      </c>
      <c r="Z348" t="s">
        <v>6815</v>
      </c>
      <c r="AA348" t="s">
        <v>74</v>
      </c>
      <c r="AB348" t="s">
        <v>74</v>
      </c>
      <c r="AC348" t="s">
        <v>74</v>
      </c>
      <c r="AD348" t="s">
        <v>74</v>
      </c>
      <c r="AE348" t="s">
        <v>74</v>
      </c>
      <c r="AF348" t="s">
        <v>74</v>
      </c>
      <c r="AG348">
        <v>25</v>
      </c>
      <c r="AH348">
        <v>0</v>
      </c>
      <c r="AI348">
        <v>0</v>
      </c>
      <c r="AJ348">
        <v>0</v>
      </c>
      <c r="AK348">
        <v>0</v>
      </c>
      <c r="AL348" t="s">
        <v>2795</v>
      </c>
      <c r="AM348" t="s">
        <v>2796</v>
      </c>
      <c r="AN348" t="s">
        <v>2797</v>
      </c>
      <c r="AO348" t="s">
        <v>2798</v>
      </c>
      <c r="AP348" t="s">
        <v>74</v>
      </c>
      <c r="AQ348" t="s">
        <v>6816</v>
      </c>
      <c r="AR348" t="s">
        <v>2800</v>
      </c>
      <c r="AS348" t="s">
        <v>74</v>
      </c>
      <c r="AT348" t="s">
        <v>74</v>
      </c>
      <c r="AU348">
        <v>2019</v>
      </c>
      <c r="AV348">
        <v>2105</v>
      </c>
      <c r="AW348" t="s">
        <v>74</v>
      </c>
      <c r="AX348" t="s">
        <v>74</v>
      </c>
      <c r="AY348" t="s">
        <v>74</v>
      </c>
      <c r="AZ348" t="s">
        <v>74</v>
      </c>
      <c r="BA348" t="s">
        <v>74</v>
      </c>
      <c r="BB348" t="s">
        <v>74</v>
      </c>
      <c r="BC348" t="s">
        <v>74</v>
      </c>
      <c r="BD348">
        <v>20034</v>
      </c>
      <c r="BE348" t="s">
        <v>6817</v>
      </c>
      <c r="BF348" t="str">
        <f>HYPERLINK("http://dx.doi.org/10.1063/1.5100719","http://dx.doi.org/10.1063/1.5100719")</f>
        <v>http://dx.doi.org/10.1063/1.5100719</v>
      </c>
      <c r="BG348" t="s">
        <v>74</v>
      </c>
      <c r="BH348" t="s">
        <v>74</v>
      </c>
      <c r="BI348">
        <v>8</v>
      </c>
      <c r="BJ348" t="s">
        <v>6818</v>
      </c>
      <c r="BK348" t="s">
        <v>190</v>
      </c>
      <c r="BL348" t="s">
        <v>6819</v>
      </c>
      <c r="BM348" t="s">
        <v>6820</v>
      </c>
      <c r="BN348" t="s">
        <v>74</v>
      </c>
      <c r="BO348" t="s">
        <v>74</v>
      </c>
      <c r="BP348" t="s">
        <v>74</v>
      </c>
      <c r="BQ348" t="s">
        <v>74</v>
      </c>
      <c r="BR348" t="s">
        <v>104</v>
      </c>
      <c r="BS348" t="s">
        <v>6821</v>
      </c>
      <c r="BT348" t="str">
        <f>HYPERLINK("https%3A%2F%2Fwww.webofscience.com%2Fwos%2Fwoscc%2Ffull-record%2FWOS:000619502500034","View Full Record in Web of Science")</f>
        <v>View Full Record in Web of Science</v>
      </c>
    </row>
    <row r="349" spans="1:72" x14ac:dyDescent="0.15">
      <c r="A349" t="s">
        <v>72</v>
      </c>
      <c r="B349" t="s">
        <v>6822</v>
      </c>
      <c r="C349" t="s">
        <v>74</v>
      </c>
      <c r="D349" t="s">
        <v>74</v>
      </c>
      <c r="E349" t="s">
        <v>74</v>
      </c>
      <c r="F349" t="s">
        <v>6823</v>
      </c>
      <c r="G349" t="s">
        <v>74</v>
      </c>
      <c r="H349" t="s">
        <v>74</v>
      </c>
      <c r="I349" t="s">
        <v>6824</v>
      </c>
      <c r="J349" t="s">
        <v>6825</v>
      </c>
      <c r="K349" t="s">
        <v>74</v>
      </c>
      <c r="L349" t="s">
        <v>74</v>
      </c>
      <c r="M349" t="s">
        <v>78</v>
      </c>
      <c r="N349" t="s">
        <v>79</v>
      </c>
      <c r="O349" t="s">
        <v>74</v>
      </c>
      <c r="P349" t="s">
        <v>74</v>
      </c>
      <c r="Q349" t="s">
        <v>74</v>
      </c>
      <c r="R349" t="s">
        <v>74</v>
      </c>
      <c r="S349" t="s">
        <v>74</v>
      </c>
      <c r="T349" t="s">
        <v>6826</v>
      </c>
      <c r="U349" t="s">
        <v>6827</v>
      </c>
      <c r="V349" t="s">
        <v>6828</v>
      </c>
      <c r="W349" t="s">
        <v>6829</v>
      </c>
      <c r="X349" t="s">
        <v>6830</v>
      </c>
      <c r="Y349" t="s">
        <v>6831</v>
      </c>
      <c r="Z349" t="s">
        <v>6832</v>
      </c>
      <c r="AA349" t="s">
        <v>74</v>
      </c>
      <c r="AB349" t="s">
        <v>6833</v>
      </c>
      <c r="AC349" t="s">
        <v>6834</v>
      </c>
      <c r="AD349" t="s">
        <v>6835</v>
      </c>
      <c r="AE349" t="s">
        <v>6836</v>
      </c>
      <c r="AF349" t="s">
        <v>74</v>
      </c>
      <c r="AG349">
        <v>68</v>
      </c>
      <c r="AH349">
        <v>21</v>
      </c>
      <c r="AI349">
        <v>26</v>
      </c>
      <c r="AJ349">
        <v>3</v>
      </c>
      <c r="AK349">
        <v>53</v>
      </c>
      <c r="AL349" t="s">
        <v>3670</v>
      </c>
      <c r="AM349" t="s">
        <v>3671</v>
      </c>
      <c r="AN349" t="s">
        <v>3672</v>
      </c>
      <c r="AO349" t="s">
        <v>6837</v>
      </c>
      <c r="AP349" t="s">
        <v>6838</v>
      </c>
      <c r="AQ349" t="s">
        <v>74</v>
      </c>
      <c r="AR349" t="s">
        <v>6839</v>
      </c>
      <c r="AS349" t="s">
        <v>6840</v>
      </c>
      <c r="AT349" t="s">
        <v>718</v>
      </c>
      <c r="AU349">
        <v>2019</v>
      </c>
      <c r="AV349">
        <v>88</v>
      </c>
      <c r="AW349">
        <v>1</v>
      </c>
      <c r="AX349" t="s">
        <v>74</v>
      </c>
      <c r="AY349" t="s">
        <v>74</v>
      </c>
      <c r="AZ349" t="s">
        <v>74</v>
      </c>
      <c r="BA349" t="s">
        <v>74</v>
      </c>
      <c r="BB349">
        <v>138</v>
      </c>
      <c r="BC349">
        <v>153</v>
      </c>
      <c r="BD349" t="s">
        <v>74</v>
      </c>
      <c r="BE349" t="s">
        <v>6841</v>
      </c>
      <c r="BF349" t="str">
        <f>HYPERLINK("http://dx.doi.org/10.1111/1365-2656.12904","http://dx.doi.org/10.1111/1365-2656.12904")</f>
        <v>http://dx.doi.org/10.1111/1365-2656.12904</v>
      </c>
      <c r="BG349" t="s">
        <v>74</v>
      </c>
      <c r="BH349" t="s">
        <v>74</v>
      </c>
      <c r="BI349">
        <v>16</v>
      </c>
      <c r="BJ349" t="s">
        <v>6842</v>
      </c>
      <c r="BK349" t="s">
        <v>101</v>
      </c>
      <c r="BL349" t="s">
        <v>6843</v>
      </c>
      <c r="BM349" t="s">
        <v>6844</v>
      </c>
      <c r="BN349">
        <v>30353538</v>
      </c>
      <c r="BO349" t="s">
        <v>2948</v>
      </c>
      <c r="BP349" t="s">
        <v>74</v>
      </c>
      <c r="BQ349" t="s">
        <v>74</v>
      </c>
      <c r="BR349" t="s">
        <v>104</v>
      </c>
      <c r="BS349" t="s">
        <v>6845</v>
      </c>
      <c r="BT349" t="str">
        <f>HYPERLINK("https%3A%2F%2Fwww.webofscience.com%2Fwos%2Fwoscc%2Ffull-record%2FWOS:000456690800013","View Full Record in Web of Science")</f>
        <v>View Full Record in Web of Science</v>
      </c>
    </row>
    <row r="350" spans="1:72" x14ac:dyDescent="0.15">
      <c r="A350" t="s">
        <v>72</v>
      </c>
      <c r="B350" t="s">
        <v>6846</v>
      </c>
      <c r="C350" t="s">
        <v>74</v>
      </c>
      <c r="D350" t="s">
        <v>74</v>
      </c>
      <c r="E350" t="s">
        <v>74</v>
      </c>
      <c r="F350" t="s">
        <v>6847</v>
      </c>
      <c r="G350" t="s">
        <v>74</v>
      </c>
      <c r="H350" t="s">
        <v>74</v>
      </c>
      <c r="I350" t="s">
        <v>6848</v>
      </c>
      <c r="J350" t="s">
        <v>4496</v>
      </c>
      <c r="K350" t="s">
        <v>74</v>
      </c>
      <c r="L350" t="s">
        <v>74</v>
      </c>
      <c r="M350" t="s">
        <v>78</v>
      </c>
      <c r="N350" t="s">
        <v>79</v>
      </c>
      <c r="O350" t="s">
        <v>74</v>
      </c>
      <c r="P350" t="s">
        <v>74</v>
      </c>
      <c r="Q350" t="s">
        <v>74</v>
      </c>
      <c r="R350" t="s">
        <v>74</v>
      </c>
      <c r="S350" t="s">
        <v>74</v>
      </c>
      <c r="T350" t="s">
        <v>74</v>
      </c>
      <c r="U350" t="s">
        <v>6849</v>
      </c>
      <c r="V350" t="s">
        <v>6850</v>
      </c>
      <c r="W350" t="s">
        <v>6851</v>
      </c>
      <c r="X350" t="s">
        <v>6852</v>
      </c>
      <c r="Y350" t="s">
        <v>6853</v>
      </c>
      <c r="Z350" t="s">
        <v>6854</v>
      </c>
      <c r="AA350" t="s">
        <v>74</v>
      </c>
      <c r="AB350" t="s">
        <v>6855</v>
      </c>
      <c r="AC350" t="s">
        <v>6856</v>
      </c>
      <c r="AD350" t="s">
        <v>6857</v>
      </c>
      <c r="AE350" t="s">
        <v>6858</v>
      </c>
      <c r="AF350" t="s">
        <v>74</v>
      </c>
      <c r="AG350">
        <v>30</v>
      </c>
      <c r="AH350">
        <v>31</v>
      </c>
      <c r="AI350">
        <v>37</v>
      </c>
      <c r="AJ350">
        <v>3</v>
      </c>
      <c r="AK350">
        <v>31</v>
      </c>
      <c r="AL350" t="s">
        <v>4034</v>
      </c>
      <c r="AM350" t="s">
        <v>4035</v>
      </c>
      <c r="AN350" t="s">
        <v>4036</v>
      </c>
      <c r="AO350" t="s">
        <v>4507</v>
      </c>
      <c r="AP350" t="s">
        <v>4508</v>
      </c>
      <c r="AQ350" t="s">
        <v>74</v>
      </c>
      <c r="AR350" t="s">
        <v>4509</v>
      </c>
      <c r="AS350" t="s">
        <v>4510</v>
      </c>
      <c r="AT350" t="s">
        <v>718</v>
      </c>
      <c r="AU350">
        <v>2019</v>
      </c>
      <c r="AV350">
        <v>124</v>
      </c>
      <c r="AW350">
        <v>1</v>
      </c>
      <c r="AX350" t="s">
        <v>74</v>
      </c>
      <c r="AY350" t="s">
        <v>74</v>
      </c>
      <c r="AZ350" t="s">
        <v>74</v>
      </c>
      <c r="BA350" t="s">
        <v>74</v>
      </c>
      <c r="BB350">
        <v>390</v>
      </c>
      <c r="BC350">
        <v>402</v>
      </c>
      <c r="BD350" t="s">
        <v>74</v>
      </c>
      <c r="BE350" t="s">
        <v>6859</v>
      </c>
      <c r="BF350" t="str">
        <f>HYPERLINK("http://dx.doi.org/10.1029/2018JC014629","http://dx.doi.org/10.1029/2018JC014629")</f>
        <v>http://dx.doi.org/10.1029/2018JC014629</v>
      </c>
      <c r="BG350" t="s">
        <v>74</v>
      </c>
      <c r="BH350" t="s">
        <v>74</v>
      </c>
      <c r="BI350">
        <v>13</v>
      </c>
      <c r="BJ350" t="s">
        <v>773</v>
      </c>
      <c r="BK350" t="s">
        <v>101</v>
      </c>
      <c r="BL350" t="s">
        <v>773</v>
      </c>
      <c r="BM350" t="s">
        <v>4512</v>
      </c>
      <c r="BN350" t="s">
        <v>74</v>
      </c>
      <c r="BO350" t="s">
        <v>6860</v>
      </c>
      <c r="BP350" t="s">
        <v>74</v>
      </c>
      <c r="BQ350" t="s">
        <v>74</v>
      </c>
      <c r="BR350" t="s">
        <v>104</v>
      </c>
      <c r="BS350" t="s">
        <v>6861</v>
      </c>
      <c r="BT350" t="str">
        <f>HYPERLINK("https%3A%2F%2Fwww.webofscience.com%2Fwos%2Fwoscc%2Ffull-record%2FWOS:000458718600023","View Full Record in Web of Science")</f>
        <v>View Full Record in Web of Science</v>
      </c>
    </row>
    <row r="351" spans="1:72" x14ac:dyDescent="0.15">
      <c r="A351" t="s">
        <v>72</v>
      </c>
      <c r="B351" t="s">
        <v>6862</v>
      </c>
      <c r="C351" t="s">
        <v>74</v>
      </c>
      <c r="D351" t="s">
        <v>74</v>
      </c>
      <c r="E351" t="s">
        <v>74</v>
      </c>
      <c r="F351" t="s">
        <v>6863</v>
      </c>
      <c r="G351" t="s">
        <v>74</v>
      </c>
      <c r="H351" t="s">
        <v>74</v>
      </c>
      <c r="I351" t="s">
        <v>6864</v>
      </c>
      <c r="J351" t="s">
        <v>4583</v>
      </c>
      <c r="K351" t="s">
        <v>74</v>
      </c>
      <c r="L351" t="s">
        <v>74</v>
      </c>
      <c r="M351" t="s">
        <v>78</v>
      </c>
      <c r="N351" t="s">
        <v>79</v>
      </c>
      <c r="O351" t="s">
        <v>74</v>
      </c>
      <c r="P351" t="s">
        <v>74</v>
      </c>
      <c r="Q351" t="s">
        <v>74</v>
      </c>
      <c r="R351" t="s">
        <v>74</v>
      </c>
      <c r="S351" t="s">
        <v>74</v>
      </c>
      <c r="T351" t="s">
        <v>74</v>
      </c>
      <c r="U351" t="s">
        <v>6865</v>
      </c>
      <c r="V351" t="s">
        <v>6866</v>
      </c>
      <c r="W351" t="s">
        <v>6867</v>
      </c>
      <c r="X351" t="s">
        <v>6868</v>
      </c>
      <c r="Y351" t="s">
        <v>6869</v>
      </c>
      <c r="Z351" t="s">
        <v>6870</v>
      </c>
      <c r="AA351" t="s">
        <v>6871</v>
      </c>
      <c r="AB351" t="s">
        <v>6872</v>
      </c>
      <c r="AC351" t="s">
        <v>6873</v>
      </c>
      <c r="AD351" t="s">
        <v>6874</v>
      </c>
      <c r="AE351" t="s">
        <v>6875</v>
      </c>
      <c r="AF351" t="s">
        <v>74</v>
      </c>
      <c r="AG351">
        <v>74</v>
      </c>
      <c r="AH351">
        <v>9</v>
      </c>
      <c r="AI351">
        <v>10</v>
      </c>
      <c r="AJ351">
        <v>1</v>
      </c>
      <c r="AK351">
        <v>5</v>
      </c>
      <c r="AL351" t="s">
        <v>4034</v>
      </c>
      <c r="AM351" t="s">
        <v>4035</v>
      </c>
      <c r="AN351" t="s">
        <v>4036</v>
      </c>
      <c r="AO351" t="s">
        <v>4594</v>
      </c>
      <c r="AP351" t="s">
        <v>4595</v>
      </c>
      <c r="AQ351" t="s">
        <v>74</v>
      </c>
      <c r="AR351" t="s">
        <v>4596</v>
      </c>
      <c r="AS351" t="s">
        <v>4597</v>
      </c>
      <c r="AT351" t="s">
        <v>718</v>
      </c>
      <c r="AU351">
        <v>2019</v>
      </c>
      <c r="AV351">
        <v>124</v>
      </c>
      <c r="AW351">
        <v>1</v>
      </c>
      <c r="AX351" t="s">
        <v>74</v>
      </c>
      <c r="AY351" t="s">
        <v>74</v>
      </c>
      <c r="AZ351" t="s">
        <v>74</v>
      </c>
      <c r="BA351" t="s">
        <v>74</v>
      </c>
      <c r="BB351">
        <v>661</v>
      </c>
      <c r="BC351">
        <v>673</v>
      </c>
      <c r="BD351" t="s">
        <v>74</v>
      </c>
      <c r="BE351" t="s">
        <v>6876</v>
      </c>
      <c r="BF351" t="str">
        <f>HYPERLINK("http://dx.doi.org/10.1029/2018JA025834","http://dx.doi.org/10.1029/2018JA025834")</f>
        <v>http://dx.doi.org/10.1029/2018JA025834</v>
      </c>
      <c r="BG351" t="s">
        <v>74</v>
      </c>
      <c r="BH351" t="s">
        <v>74</v>
      </c>
      <c r="BI351">
        <v>13</v>
      </c>
      <c r="BJ351" t="s">
        <v>2351</v>
      </c>
      <c r="BK351" t="s">
        <v>101</v>
      </c>
      <c r="BL351" t="s">
        <v>2351</v>
      </c>
      <c r="BM351" t="s">
        <v>4599</v>
      </c>
      <c r="BN351" t="s">
        <v>74</v>
      </c>
      <c r="BO351" t="s">
        <v>4470</v>
      </c>
      <c r="BP351" t="s">
        <v>74</v>
      </c>
      <c r="BQ351" t="s">
        <v>74</v>
      </c>
      <c r="BR351" t="s">
        <v>104</v>
      </c>
      <c r="BS351" t="s">
        <v>6877</v>
      </c>
      <c r="BT351" t="str">
        <f>HYPERLINK("https%3A%2F%2Fwww.webofscience.com%2Fwos%2Fwoscc%2Ffull-record%2FWOS:000458729500042","View Full Record in Web of Science")</f>
        <v>View Full Record in Web of Science</v>
      </c>
    </row>
    <row r="352" spans="1:72" x14ac:dyDescent="0.15">
      <c r="A352" t="s">
        <v>72</v>
      </c>
      <c r="B352" t="s">
        <v>6878</v>
      </c>
      <c r="C352" t="s">
        <v>74</v>
      </c>
      <c r="D352" t="s">
        <v>74</v>
      </c>
      <c r="E352" t="s">
        <v>74</v>
      </c>
      <c r="F352" t="s">
        <v>6879</v>
      </c>
      <c r="G352" t="s">
        <v>74</v>
      </c>
      <c r="H352" t="s">
        <v>74</v>
      </c>
      <c r="I352" t="s">
        <v>6880</v>
      </c>
      <c r="J352" t="s">
        <v>6881</v>
      </c>
      <c r="K352" t="s">
        <v>74</v>
      </c>
      <c r="L352" t="s">
        <v>74</v>
      </c>
      <c r="M352" t="s">
        <v>78</v>
      </c>
      <c r="N352" t="s">
        <v>79</v>
      </c>
      <c r="O352" t="s">
        <v>74</v>
      </c>
      <c r="P352" t="s">
        <v>74</v>
      </c>
      <c r="Q352" t="s">
        <v>74</v>
      </c>
      <c r="R352" t="s">
        <v>74</v>
      </c>
      <c r="S352" t="s">
        <v>74</v>
      </c>
      <c r="T352" t="s">
        <v>6882</v>
      </c>
      <c r="U352" t="s">
        <v>6883</v>
      </c>
      <c r="V352" t="s">
        <v>6884</v>
      </c>
      <c r="W352" t="s">
        <v>6885</v>
      </c>
      <c r="X352" t="s">
        <v>6886</v>
      </c>
      <c r="Y352" t="s">
        <v>6887</v>
      </c>
      <c r="Z352" t="s">
        <v>6888</v>
      </c>
      <c r="AA352" t="s">
        <v>6889</v>
      </c>
      <c r="AB352" t="s">
        <v>6890</v>
      </c>
      <c r="AC352" t="s">
        <v>6891</v>
      </c>
      <c r="AD352" t="s">
        <v>6892</v>
      </c>
      <c r="AE352" t="s">
        <v>6893</v>
      </c>
      <c r="AF352" t="s">
        <v>74</v>
      </c>
      <c r="AG352">
        <v>57</v>
      </c>
      <c r="AH352">
        <v>10</v>
      </c>
      <c r="AI352">
        <v>11</v>
      </c>
      <c r="AJ352">
        <v>0</v>
      </c>
      <c r="AK352">
        <v>14</v>
      </c>
      <c r="AL352" t="s">
        <v>6139</v>
      </c>
      <c r="AM352" t="s">
        <v>3353</v>
      </c>
      <c r="AN352" t="s">
        <v>6140</v>
      </c>
      <c r="AO352" t="s">
        <v>6894</v>
      </c>
      <c r="AP352" t="s">
        <v>6895</v>
      </c>
      <c r="AQ352" t="s">
        <v>74</v>
      </c>
      <c r="AR352" t="s">
        <v>6896</v>
      </c>
      <c r="AS352" t="s">
        <v>6897</v>
      </c>
      <c r="AT352" t="s">
        <v>718</v>
      </c>
      <c r="AU352">
        <v>2019</v>
      </c>
      <c r="AV352">
        <v>143</v>
      </c>
      <c r="AW352" t="s">
        <v>74</v>
      </c>
      <c r="AX352" t="s">
        <v>74</v>
      </c>
      <c r="AY352" t="s">
        <v>74</v>
      </c>
      <c r="AZ352" t="s">
        <v>74</v>
      </c>
      <c r="BA352" t="s">
        <v>74</v>
      </c>
      <c r="BB352">
        <v>39</v>
      </c>
      <c r="BC352">
        <v>48</v>
      </c>
      <c r="BD352" t="s">
        <v>74</v>
      </c>
      <c r="BE352" t="s">
        <v>6898</v>
      </c>
      <c r="BF352" t="str">
        <f>HYPERLINK("http://dx.doi.org/10.1016/j.marenvres.2018.11.003","http://dx.doi.org/10.1016/j.marenvres.2018.11.003")</f>
        <v>http://dx.doi.org/10.1016/j.marenvres.2018.11.003</v>
      </c>
      <c r="BG352" t="s">
        <v>74</v>
      </c>
      <c r="BH352" t="s">
        <v>74</v>
      </c>
      <c r="BI352">
        <v>10</v>
      </c>
      <c r="BJ352" t="s">
        <v>6899</v>
      </c>
      <c r="BK352" t="s">
        <v>101</v>
      </c>
      <c r="BL352" t="s">
        <v>6900</v>
      </c>
      <c r="BM352" t="s">
        <v>6901</v>
      </c>
      <c r="BN352">
        <v>30448239</v>
      </c>
      <c r="BO352" t="s">
        <v>2948</v>
      </c>
      <c r="BP352" t="s">
        <v>74</v>
      </c>
      <c r="BQ352" t="s">
        <v>74</v>
      </c>
      <c r="BR352" t="s">
        <v>104</v>
      </c>
      <c r="BS352" t="s">
        <v>6902</v>
      </c>
      <c r="BT352" t="str">
        <f>HYPERLINK("https%3A%2F%2Fwww.webofscience.com%2Fwos%2Fwoscc%2Ffull-record%2FWOS:000458595600005","View Full Record in Web of Science")</f>
        <v>View Full Record in Web of Science</v>
      </c>
    </row>
    <row r="353" spans="1:72" x14ac:dyDescent="0.15">
      <c r="A353" t="s">
        <v>72</v>
      </c>
      <c r="B353" t="s">
        <v>6903</v>
      </c>
      <c r="C353" t="s">
        <v>74</v>
      </c>
      <c r="D353" t="s">
        <v>74</v>
      </c>
      <c r="E353" t="s">
        <v>74</v>
      </c>
      <c r="F353" t="s">
        <v>6904</v>
      </c>
      <c r="G353" t="s">
        <v>74</v>
      </c>
      <c r="H353" t="s">
        <v>74</v>
      </c>
      <c r="I353" t="s">
        <v>6905</v>
      </c>
      <c r="J353" t="s">
        <v>6881</v>
      </c>
      <c r="K353" t="s">
        <v>74</v>
      </c>
      <c r="L353" t="s">
        <v>74</v>
      </c>
      <c r="M353" t="s">
        <v>78</v>
      </c>
      <c r="N353" t="s">
        <v>79</v>
      </c>
      <c r="O353" t="s">
        <v>74</v>
      </c>
      <c r="P353" t="s">
        <v>74</v>
      </c>
      <c r="Q353" t="s">
        <v>74</v>
      </c>
      <c r="R353" t="s">
        <v>74</v>
      </c>
      <c r="S353" t="s">
        <v>74</v>
      </c>
      <c r="T353" t="s">
        <v>6906</v>
      </c>
      <c r="U353" t="s">
        <v>6907</v>
      </c>
      <c r="V353" t="s">
        <v>6908</v>
      </c>
      <c r="W353" t="s">
        <v>6909</v>
      </c>
      <c r="X353" t="s">
        <v>6910</v>
      </c>
      <c r="Y353" t="s">
        <v>6911</v>
      </c>
      <c r="Z353" t="s">
        <v>6912</v>
      </c>
      <c r="AA353" t="s">
        <v>6913</v>
      </c>
      <c r="AB353" t="s">
        <v>6914</v>
      </c>
      <c r="AC353" t="s">
        <v>6915</v>
      </c>
      <c r="AD353" t="s">
        <v>6916</v>
      </c>
      <c r="AE353" t="s">
        <v>6917</v>
      </c>
      <c r="AF353" t="s">
        <v>74</v>
      </c>
      <c r="AG353">
        <v>45</v>
      </c>
      <c r="AH353">
        <v>8</v>
      </c>
      <c r="AI353">
        <v>9</v>
      </c>
      <c r="AJ353">
        <v>0</v>
      </c>
      <c r="AK353">
        <v>7</v>
      </c>
      <c r="AL353" t="s">
        <v>6139</v>
      </c>
      <c r="AM353" t="s">
        <v>3353</v>
      </c>
      <c r="AN353" t="s">
        <v>6140</v>
      </c>
      <c r="AO353" t="s">
        <v>6894</v>
      </c>
      <c r="AP353" t="s">
        <v>6895</v>
      </c>
      <c r="AQ353" t="s">
        <v>74</v>
      </c>
      <c r="AR353" t="s">
        <v>6896</v>
      </c>
      <c r="AS353" t="s">
        <v>6897</v>
      </c>
      <c r="AT353" t="s">
        <v>718</v>
      </c>
      <c r="AU353">
        <v>2019</v>
      </c>
      <c r="AV353">
        <v>143</v>
      </c>
      <c r="AW353" t="s">
        <v>74</v>
      </c>
      <c r="AX353" t="s">
        <v>74</v>
      </c>
      <c r="AY353" t="s">
        <v>74</v>
      </c>
      <c r="AZ353" t="s">
        <v>74</v>
      </c>
      <c r="BA353" t="s">
        <v>74</v>
      </c>
      <c r="BB353">
        <v>49</v>
      </c>
      <c r="BC353">
        <v>59</v>
      </c>
      <c r="BD353" t="s">
        <v>74</v>
      </c>
      <c r="BE353" t="s">
        <v>6918</v>
      </c>
      <c r="BF353" t="str">
        <f>HYPERLINK("http://dx.doi.org/10.1016/j.marenvres.2018.10.006","http://dx.doi.org/10.1016/j.marenvres.2018.10.006")</f>
        <v>http://dx.doi.org/10.1016/j.marenvres.2018.10.006</v>
      </c>
      <c r="BG353" t="s">
        <v>74</v>
      </c>
      <c r="BH353" t="s">
        <v>74</v>
      </c>
      <c r="BI353">
        <v>11</v>
      </c>
      <c r="BJ353" t="s">
        <v>6899</v>
      </c>
      <c r="BK353" t="s">
        <v>101</v>
      </c>
      <c r="BL353" t="s">
        <v>6900</v>
      </c>
      <c r="BM353" t="s">
        <v>6901</v>
      </c>
      <c r="BN353">
        <v>30448238</v>
      </c>
      <c r="BO353" t="s">
        <v>3810</v>
      </c>
      <c r="BP353" t="s">
        <v>74</v>
      </c>
      <c r="BQ353" t="s">
        <v>74</v>
      </c>
      <c r="BR353" t="s">
        <v>104</v>
      </c>
      <c r="BS353" t="s">
        <v>6919</v>
      </c>
      <c r="BT353" t="str">
        <f>HYPERLINK("https%3A%2F%2Fwww.webofscience.com%2Fwos%2Fwoscc%2Ffull-record%2FWOS:000458595600006","View Full Record in Web of Science")</f>
        <v>View Full Record in Web of Science</v>
      </c>
    </row>
    <row r="354" spans="1:72" x14ac:dyDescent="0.15">
      <c r="A354" t="s">
        <v>390</v>
      </c>
      <c r="B354" t="s">
        <v>6920</v>
      </c>
      <c r="C354" t="s">
        <v>6920</v>
      </c>
      <c r="D354" t="s">
        <v>74</v>
      </c>
      <c r="E354" t="s">
        <v>74</v>
      </c>
      <c r="F354" t="s">
        <v>6921</v>
      </c>
      <c r="G354" t="s">
        <v>6920</v>
      </c>
      <c r="H354" t="s">
        <v>74</v>
      </c>
      <c r="I354" t="s">
        <v>6922</v>
      </c>
      <c r="J354" t="s">
        <v>6923</v>
      </c>
      <c r="K354" t="s">
        <v>74</v>
      </c>
      <c r="L354" t="s">
        <v>74</v>
      </c>
      <c r="M354" t="s">
        <v>78</v>
      </c>
      <c r="N354" t="s">
        <v>6697</v>
      </c>
      <c r="O354" t="s">
        <v>74</v>
      </c>
      <c r="P354" t="s">
        <v>74</v>
      </c>
      <c r="Q354" t="s">
        <v>74</v>
      </c>
      <c r="R354" t="s">
        <v>74</v>
      </c>
      <c r="S354" t="s">
        <v>74</v>
      </c>
      <c r="T354" t="s">
        <v>74</v>
      </c>
      <c r="U354" t="s">
        <v>6924</v>
      </c>
      <c r="V354" t="s">
        <v>74</v>
      </c>
      <c r="W354" t="s">
        <v>6925</v>
      </c>
      <c r="X354" t="s">
        <v>6926</v>
      </c>
      <c r="Y354" t="s">
        <v>6927</v>
      </c>
      <c r="Z354" t="s">
        <v>74</v>
      </c>
      <c r="AA354" t="s">
        <v>74</v>
      </c>
      <c r="AB354" t="s">
        <v>74</v>
      </c>
      <c r="AC354" t="s">
        <v>74</v>
      </c>
      <c r="AD354" t="s">
        <v>74</v>
      </c>
      <c r="AE354" t="s">
        <v>74</v>
      </c>
      <c r="AF354" t="s">
        <v>74</v>
      </c>
      <c r="AG354">
        <v>99</v>
      </c>
      <c r="AH354">
        <v>0</v>
      </c>
      <c r="AI354">
        <v>0</v>
      </c>
      <c r="AJ354">
        <v>1</v>
      </c>
      <c r="AK354">
        <v>4</v>
      </c>
      <c r="AL354" t="s">
        <v>1203</v>
      </c>
      <c r="AM354" t="s">
        <v>1204</v>
      </c>
      <c r="AN354" t="s">
        <v>1205</v>
      </c>
      <c r="AO354" t="s">
        <v>74</v>
      </c>
      <c r="AP354" t="s">
        <v>74</v>
      </c>
      <c r="AQ354" t="s">
        <v>6928</v>
      </c>
      <c r="AR354" t="s">
        <v>74</v>
      </c>
      <c r="AS354" t="s">
        <v>74</v>
      </c>
      <c r="AT354" t="s">
        <v>74</v>
      </c>
      <c r="AU354">
        <v>2019</v>
      </c>
      <c r="AV354" t="s">
        <v>74</v>
      </c>
      <c r="AW354" t="s">
        <v>74</v>
      </c>
      <c r="AX354" t="s">
        <v>74</v>
      </c>
      <c r="AY354" t="s">
        <v>74</v>
      </c>
      <c r="AZ354" t="s">
        <v>74</v>
      </c>
      <c r="BA354" t="s">
        <v>74</v>
      </c>
      <c r="BB354" t="s">
        <v>6929</v>
      </c>
      <c r="BC354" t="s">
        <v>642</v>
      </c>
      <c r="BD354" t="s">
        <v>74</v>
      </c>
      <c r="BE354" t="s">
        <v>74</v>
      </c>
      <c r="BF354" t="s">
        <v>74</v>
      </c>
      <c r="BG354" t="s">
        <v>6930</v>
      </c>
      <c r="BH354" t="s">
        <v>74</v>
      </c>
      <c r="BI354">
        <v>18</v>
      </c>
      <c r="BJ354" t="s">
        <v>6931</v>
      </c>
      <c r="BK354" t="s">
        <v>159</v>
      </c>
      <c r="BL354" t="s">
        <v>6931</v>
      </c>
      <c r="BM354" t="s">
        <v>6932</v>
      </c>
      <c r="BN354" t="s">
        <v>74</v>
      </c>
      <c r="BO354" t="s">
        <v>404</v>
      </c>
      <c r="BP354" t="s">
        <v>74</v>
      </c>
      <c r="BQ354" t="s">
        <v>74</v>
      </c>
      <c r="BR354" t="s">
        <v>104</v>
      </c>
      <c r="BS354" t="s">
        <v>6933</v>
      </c>
      <c r="BT354" t="str">
        <f>HYPERLINK("https%3A%2F%2Fwww.webofscience.com%2Fwos%2Fwoscc%2Ffull-record%2FWOS:000637539300001","View Full Record in Web of Science")</f>
        <v>View Full Record in Web of Science</v>
      </c>
    </row>
    <row r="355" spans="1:72" x14ac:dyDescent="0.15">
      <c r="A355" t="s">
        <v>133</v>
      </c>
      <c r="B355" t="s">
        <v>6934</v>
      </c>
      <c r="C355" t="s">
        <v>74</v>
      </c>
      <c r="D355" t="s">
        <v>6935</v>
      </c>
      <c r="E355" t="s">
        <v>74</v>
      </c>
      <c r="F355" t="s">
        <v>6936</v>
      </c>
      <c r="G355" t="s">
        <v>74</v>
      </c>
      <c r="H355" t="s">
        <v>74</v>
      </c>
      <c r="I355" t="s">
        <v>6937</v>
      </c>
      <c r="J355" t="s">
        <v>6938</v>
      </c>
      <c r="K355" t="s">
        <v>6939</v>
      </c>
      <c r="L355" t="s">
        <v>74</v>
      </c>
      <c r="M355" t="s">
        <v>78</v>
      </c>
      <c r="N355" t="s">
        <v>140</v>
      </c>
      <c r="O355" t="s">
        <v>74</v>
      </c>
      <c r="P355" t="s">
        <v>74</v>
      </c>
      <c r="Q355" t="s">
        <v>74</v>
      </c>
      <c r="R355" t="s">
        <v>74</v>
      </c>
      <c r="S355" t="s">
        <v>74</v>
      </c>
      <c r="T355" t="s">
        <v>74</v>
      </c>
      <c r="U355" t="s">
        <v>6940</v>
      </c>
      <c r="V355" t="s">
        <v>6941</v>
      </c>
      <c r="W355" t="s">
        <v>6942</v>
      </c>
      <c r="X355" t="s">
        <v>6943</v>
      </c>
      <c r="Y355" t="s">
        <v>6944</v>
      </c>
      <c r="Z355" t="s">
        <v>6945</v>
      </c>
      <c r="AA355" t="s">
        <v>74</v>
      </c>
      <c r="AB355" t="s">
        <v>74</v>
      </c>
      <c r="AC355" t="s">
        <v>74</v>
      </c>
      <c r="AD355" t="s">
        <v>74</v>
      </c>
      <c r="AE355" t="s">
        <v>74</v>
      </c>
      <c r="AF355" t="s">
        <v>74</v>
      </c>
      <c r="AG355">
        <v>24</v>
      </c>
      <c r="AH355">
        <v>1</v>
      </c>
      <c r="AI355">
        <v>1</v>
      </c>
      <c r="AJ355">
        <v>0</v>
      </c>
      <c r="AK355">
        <v>1</v>
      </c>
      <c r="AL355" t="s">
        <v>6946</v>
      </c>
      <c r="AM355" t="s">
        <v>2520</v>
      </c>
      <c r="AN355" t="s">
        <v>6947</v>
      </c>
      <c r="AO355" t="s">
        <v>6948</v>
      </c>
      <c r="AP355" t="s">
        <v>6949</v>
      </c>
      <c r="AQ355" t="s">
        <v>6950</v>
      </c>
      <c r="AR355" t="s">
        <v>6951</v>
      </c>
      <c r="AS355" t="s">
        <v>74</v>
      </c>
      <c r="AT355" t="s">
        <v>74</v>
      </c>
      <c r="AU355">
        <v>2019</v>
      </c>
      <c r="AV355">
        <v>202</v>
      </c>
      <c r="AW355" t="s">
        <v>74</v>
      </c>
      <c r="AX355" t="s">
        <v>74</v>
      </c>
      <c r="AY355" t="s">
        <v>74</v>
      </c>
      <c r="AZ355" t="s">
        <v>74</v>
      </c>
      <c r="BA355" t="s">
        <v>74</v>
      </c>
      <c r="BB355">
        <v>33</v>
      </c>
      <c r="BC355">
        <v>52</v>
      </c>
      <c r="BD355" t="s">
        <v>74</v>
      </c>
      <c r="BE355" t="s">
        <v>6952</v>
      </c>
      <c r="BF355" t="str">
        <f>HYPERLINK("http://dx.doi.org/10.3254/978-1-61499-979-9-33","http://dx.doi.org/10.3254/978-1-61499-979-9-33")</f>
        <v>http://dx.doi.org/10.3254/978-1-61499-979-9-33</v>
      </c>
      <c r="BG355" t="s">
        <v>74</v>
      </c>
      <c r="BH355" t="s">
        <v>74</v>
      </c>
      <c r="BI355">
        <v>20</v>
      </c>
      <c r="BJ355" t="s">
        <v>746</v>
      </c>
      <c r="BK355" t="s">
        <v>159</v>
      </c>
      <c r="BL355" t="s">
        <v>746</v>
      </c>
      <c r="BM355" t="s">
        <v>6953</v>
      </c>
      <c r="BN355" t="s">
        <v>74</v>
      </c>
      <c r="BO355" t="s">
        <v>74</v>
      </c>
      <c r="BP355" t="s">
        <v>74</v>
      </c>
      <c r="BQ355" t="s">
        <v>74</v>
      </c>
      <c r="BR355" t="s">
        <v>104</v>
      </c>
      <c r="BS355" t="s">
        <v>6954</v>
      </c>
      <c r="BT355" t="str">
        <f>HYPERLINK("https%3A%2F%2Fwww.webofscience.com%2Fwos%2Fwoscc%2Ffull-record%2FWOS:000629740400003","View Full Record in Web of Science")</f>
        <v>View Full Record in Web of Science</v>
      </c>
    </row>
    <row r="356" spans="1:72" x14ac:dyDescent="0.15">
      <c r="A356" t="s">
        <v>72</v>
      </c>
      <c r="B356" t="s">
        <v>6955</v>
      </c>
      <c r="C356" t="s">
        <v>74</v>
      </c>
      <c r="D356" t="s">
        <v>74</v>
      </c>
      <c r="E356" t="s">
        <v>74</v>
      </c>
      <c r="F356" t="s">
        <v>6956</v>
      </c>
      <c r="G356" t="s">
        <v>74</v>
      </c>
      <c r="H356" t="s">
        <v>74</v>
      </c>
      <c r="I356" t="s">
        <v>6957</v>
      </c>
      <c r="J356" t="s">
        <v>4249</v>
      </c>
      <c r="K356" t="s">
        <v>74</v>
      </c>
      <c r="L356" t="s">
        <v>74</v>
      </c>
      <c r="M356" t="s">
        <v>78</v>
      </c>
      <c r="N356" t="s">
        <v>79</v>
      </c>
      <c r="O356" t="s">
        <v>74</v>
      </c>
      <c r="P356" t="s">
        <v>74</v>
      </c>
      <c r="Q356" t="s">
        <v>74</v>
      </c>
      <c r="R356" t="s">
        <v>74</v>
      </c>
      <c r="S356" t="s">
        <v>74</v>
      </c>
      <c r="T356" t="s">
        <v>74</v>
      </c>
      <c r="U356" t="s">
        <v>6958</v>
      </c>
      <c r="V356" t="s">
        <v>6959</v>
      </c>
      <c r="W356" t="s">
        <v>6960</v>
      </c>
      <c r="X356" t="s">
        <v>6961</v>
      </c>
      <c r="Y356" t="s">
        <v>6962</v>
      </c>
      <c r="Z356" t="s">
        <v>6963</v>
      </c>
      <c r="AA356" t="s">
        <v>6964</v>
      </c>
      <c r="AB356" t="s">
        <v>6965</v>
      </c>
      <c r="AC356" t="s">
        <v>74</v>
      </c>
      <c r="AD356" t="s">
        <v>74</v>
      </c>
      <c r="AE356" t="s">
        <v>74</v>
      </c>
      <c r="AF356" t="s">
        <v>74</v>
      </c>
      <c r="AG356">
        <v>87</v>
      </c>
      <c r="AH356">
        <v>383</v>
      </c>
      <c r="AI356">
        <v>439</v>
      </c>
      <c r="AJ356">
        <v>12</v>
      </c>
      <c r="AK356">
        <v>138</v>
      </c>
      <c r="AL356" t="s">
        <v>3670</v>
      </c>
      <c r="AM356" t="s">
        <v>3671</v>
      </c>
      <c r="AN356" t="s">
        <v>3672</v>
      </c>
      <c r="AO356" t="s">
        <v>4262</v>
      </c>
      <c r="AP356" t="s">
        <v>4263</v>
      </c>
      <c r="AQ356" t="s">
        <v>74</v>
      </c>
      <c r="AR356" t="s">
        <v>4264</v>
      </c>
      <c r="AS356" t="s">
        <v>4265</v>
      </c>
      <c r="AT356" t="s">
        <v>718</v>
      </c>
      <c r="AU356">
        <v>2019</v>
      </c>
      <c r="AV356">
        <v>28</v>
      </c>
      <c r="AW356">
        <v>2</v>
      </c>
      <c r="AX356" t="s">
        <v>74</v>
      </c>
      <c r="AY356" t="s">
        <v>74</v>
      </c>
      <c r="AZ356" t="s">
        <v>4266</v>
      </c>
      <c r="BA356" t="s">
        <v>74</v>
      </c>
      <c r="BB356">
        <v>391</v>
      </c>
      <c r="BC356">
        <v>406</v>
      </c>
      <c r="BD356" t="s">
        <v>74</v>
      </c>
      <c r="BE356" t="s">
        <v>6966</v>
      </c>
      <c r="BF356" t="str">
        <f>HYPERLINK("http://dx.doi.org/10.1111/mec.14734","http://dx.doi.org/10.1111/mec.14734")</f>
        <v>http://dx.doi.org/10.1111/mec.14734</v>
      </c>
      <c r="BG356" t="s">
        <v>74</v>
      </c>
      <c r="BH356" t="s">
        <v>74</v>
      </c>
      <c r="BI356">
        <v>16</v>
      </c>
      <c r="BJ356" t="s">
        <v>4268</v>
      </c>
      <c r="BK356" t="s">
        <v>101</v>
      </c>
      <c r="BL356" t="s">
        <v>4269</v>
      </c>
      <c r="BM356" t="s">
        <v>4270</v>
      </c>
      <c r="BN356">
        <v>29858539</v>
      </c>
      <c r="BO356" t="s">
        <v>4544</v>
      </c>
      <c r="BP356" t="s">
        <v>4786</v>
      </c>
      <c r="BQ356" t="s">
        <v>4787</v>
      </c>
      <c r="BR356" t="s">
        <v>104</v>
      </c>
      <c r="BS356" t="s">
        <v>6967</v>
      </c>
      <c r="BT356" t="str">
        <f>HYPERLINK("https%3A%2F%2Fwww.webofscience.com%2Fwos%2Fwoscc%2Ffull-record%2FWOS:000459345000018","View Full Record in Web of Science")</f>
        <v>View Full Record in Web of Science</v>
      </c>
    </row>
    <row r="357" spans="1:72" x14ac:dyDescent="0.15">
      <c r="A357" t="s">
        <v>72</v>
      </c>
      <c r="B357" t="s">
        <v>6968</v>
      </c>
      <c r="C357" t="s">
        <v>74</v>
      </c>
      <c r="D357" t="s">
        <v>74</v>
      </c>
      <c r="E357" t="s">
        <v>74</v>
      </c>
      <c r="F357" t="s">
        <v>6969</v>
      </c>
      <c r="G357" t="s">
        <v>74</v>
      </c>
      <c r="H357" t="s">
        <v>74</v>
      </c>
      <c r="I357" t="s">
        <v>6970</v>
      </c>
      <c r="J357" t="s">
        <v>6003</v>
      </c>
      <c r="K357" t="s">
        <v>74</v>
      </c>
      <c r="L357" t="s">
        <v>74</v>
      </c>
      <c r="M357" t="s">
        <v>78</v>
      </c>
      <c r="N357" t="s">
        <v>79</v>
      </c>
      <c r="O357" t="s">
        <v>74</v>
      </c>
      <c r="P357" t="s">
        <v>74</v>
      </c>
      <c r="Q357" t="s">
        <v>74</v>
      </c>
      <c r="R357" t="s">
        <v>74</v>
      </c>
      <c r="S357" t="s">
        <v>74</v>
      </c>
      <c r="T357" t="s">
        <v>6971</v>
      </c>
      <c r="U357" t="s">
        <v>6972</v>
      </c>
      <c r="V357" t="s">
        <v>6973</v>
      </c>
      <c r="W357" t="s">
        <v>6974</v>
      </c>
      <c r="X357" t="s">
        <v>6975</v>
      </c>
      <c r="Y357" t="s">
        <v>6976</v>
      </c>
      <c r="Z357" t="s">
        <v>6977</v>
      </c>
      <c r="AA357" t="s">
        <v>6978</v>
      </c>
      <c r="AB357" t="s">
        <v>6979</v>
      </c>
      <c r="AC357" t="s">
        <v>6980</v>
      </c>
      <c r="AD357" t="s">
        <v>6981</v>
      </c>
      <c r="AE357" t="s">
        <v>6982</v>
      </c>
      <c r="AF357" t="s">
        <v>74</v>
      </c>
      <c r="AG357">
        <v>42</v>
      </c>
      <c r="AH357">
        <v>15</v>
      </c>
      <c r="AI357">
        <v>17</v>
      </c>
      <c r="AJ357">
        <v>0</v>
      </c>
      <c r="AK357">
        <v>13</v>
      </c>
      <c r="AL357" t="s">
        <v>6016</v>
      </c>
      <c r="AM357" t="s">
        <v>6017</v>
      </c>
      <c r="AN357" t="s">
        <v>6018</v>
      </c>
      <c r="AO357" t="s">
        <v>6019</v>
      </c>
      <c r="AP357" t="s">
        <v>6020</v>
      </c>
      <c r="AQ357" t="s">
        <v>74</v>
      </c>
      <c r="AR357" t="s">
        <v>6021</v>
      </c>
      <c r="AS357" t="s">
        <v>6022</v>
      </c>
      <c r="AT357" t="s">
        <v>718</v>
      </c>
      <c r="AU357">
        <v>2019</v>
      </c>
      <c r="AV357">
        <v>130</v>
      </c>
      <c r="AW357" t="s">
        <v>74</v>
      </c>
      <c r="AX357" t="s">
        <v>74</v>
      </c>
      <c r="AY357" t="s">
        <v>74</v>
      </c>
      <c r="AZ357" t="s">
        <v>74</v>
      </c>
      <c r="BA357" t="s">
        <v>74</v>
      </c>
      <c r="BB357">
        <v>92</v>
      </c>
      <c r="BC357">
        <v>98</v>
      </c>
      <c r="BD357" t="s">
        <v>74</v>
      </c>
      <c r="BE357" t="s">
        <v>6983</v>
      </c>
      <c r="BF357" t="str">
        <f>HYPERLINK("http://dx.doi.org/10.1016/j.ympev.2018.10.007","http://dx.doi.org/10.1016/j.ympev.2018.10.007")</f>
        <v>http://dx.doi.org/10.1016/j.ympev.2018.10.007</v>
      </c>
      <c r="BG357" t="s">
        <v>74</v>
      </c>
      <c r="BH357" t="s">
        <v>74</v>
      </c>
      <c r="BI357">
        <v>7</v>
      </c>
      <c r="BJ357" t="s">
        <v>4242</v>
      </c>
      <c r="BK357" t="s">
        <v>101</v>
      </c>
      <c r="BL357" t="s">
        <v>4242</v>
      </c>
      <c r="BM357" t="s">
        <v>6024</v>
      </c>
      <c r="BN357">
        <v>30321695</v>
      </c>
      <c r="BO357" t="s">
        <v>74</v>
      </c>
      <c r="BP357" t="s">
        <v>74</v>
      </c>
      <c r="BQ357" t="s">
        <v>74</v>
      </c>
      <c r="BR357" t="s">
        <v>104</v>
      </c>
      <c r="BS357" t="s">
        <v>6984</v>
      </c>
      <c r="BT357" t="str">
        <f>HYPERLINK("https%3A%2F%2Fwww.webofscience.com%2Fwos%2Fwoscc%2Ffull-record%2FWOS:000452963200009","View Full Record in Web of Science")</f>
        <v>View Full Record in Web of Science</v>
      </c>
    </row>
    <row r="358" spans="1:72" x14ac:dyDescent="0.15">
      <c r="A358" t="s">
        <v>390</v>
      </c>
      <c r="B358" t="s">
        <v>6985</v>
      </c>
      <c r="C358" t="s">
        <v>6985</v>
      </c>
      <c r="D358" t="s">
        <v>74</v>
      </c>
      <c r="E358" t="s">
        <v>74</v>
      </c>
      <c r="F358" t="s">
        <v>6986</v>
      </c>
      <c r="G358" t="s">
        <v>6985</v>
      </c>
      <c r="H358" t="s">
        <v>74</v>
      </c>
      <c r="I358" t="s">
        <v>6987</v>
      </c>
      <c r="J358" t="s">
        <v>6988</v>
      </c>
      <c r="K358" t="s">
        <v>74</v>
      </c>
      <c r="L358" t="s">
        <v>74</v>
      </c>
      <c r="M358" t="s">
        <v>78</v>
      </c>
      <c r="N358" t="s">
        <v>140</v>
      </c>
      <c r="O358" t="s">
        <v>74</v>
      </c>
      <c r="P358" t="s">
        <v>74</v>
      </c>
      <c r="Q358" t="s">
        <v>74</v>
      </c>
      <c r="R358" t="s">
        <v>74</v>
      </c>
      <c r="S358" t="s">
        <v>74</v>
      </c>
      <c r="T358" t="s">
        <v>74</v>
      </c>
      <c r="U358" t="s">
        <v>74</v>
      </c>
      <c r="V358" t="s">
        <v>74</v>
      </c>
      <c r="W358" t="s">
        <v>74</v>
      </c>
      <c r="X358" t="s">
        <v>74</v>
      </c>
      <c r="Y358" t="s">
        <v>74</v>
      </c>
      <c r="Z358" t="s">
        <v>74</v>
      </c>
      <c r="AA358" t="s">
        <v>74</v>
      </c>
      <c r="AB358" t="s">
        <v>74</v>
      </c>
      <c r="AC358" t="s">
        <v>74</v>
      </c>
      <c r="AD358" t="s">
        <v>74</v>
      </c>
      <c r="AE358" t="s">
        <v>74</v>
      </c>
      <c r="AF358" t="s">
        <v>74</v>
      </c>
      <c r="AG358">
        <v>0</v>
      </c>
      <c r="AH358">
        <v>0</v>
      </c>
      <c r="AI358">
        <v>0</v>
      </c>
      <c r="AJ358">
        <v>0</v>
      </c>
      <c r="AK358">
        <v>0</v>
      </c>
      <c r="AL358" t="s">
        <v>6989</v>
      </c>
      <c r="AM358" t="s">
        <v>6990</v>
      </c>
      <c r="AN358" t="s">
        <v>6991</v>
      </c>
      <c r="AO358" t="s">
        <v>74</v>
      </c>
      <c r="AP358" t="s">
        <v>74</v>
      </c>
      <c r="AQ358" t="s">
        <v>6992</v>
      </c>
      <c r="AR358" t="s">
        <v>74</v>
      </c>
      <c r="AS358" t="s">
        <v>74</v>
      </c>
      <c r="AT358" t="s">
        <v>74</v>
      </c>
      <c r="AU358">
        <v>2019</v>
      </c>
      <c r="AV358" t="s">
        <v>74</v>
      </c>
      <c r="AW358" t="s">
        <v>74</v>
      </c>
      <c r="AX358" t="s">
        <v>74</v>
      </c>
      <c r="AY358" t="s">
        <v>74</v>
      </c>
      <c r="AZ358" t="s">
        <v>74</v>
      </c>
      <c r="BA358" t="s">
        <v>74</v>
      </c>
      <c r="BB358">
        <v>138</v>
      </c>
      <c r="BC358">
        <v>176</v>
      </c>
      <c r="BD358" t="s">
        <v>74</v>
      </c>
      <c r="BE358" t="s">
        <v>74</v>
      </c>
      <c r="BF358" t="s">
        <v>74</v>
      </c>
      <c r="BG358" t="s">
        <v>74</v>
      </c>
      <c r="BH358" t="s">
        <v>74</v>
      </c>
      <c r="BI358">
        <v>39</v>
      </c>
      <c r="BJ358" t="s">
        <v>6993</v>
      </c>
      <c r="BK358" t="s">
        <v>2733</v>
      </c>
      <c r="BL358" t="s">
        <v>6994</v>
      </c>
      <c r="BM358" t="s">
        <v>6995</v>
      </c>
      <c r="BN358" t="s">
        <v>74</v>
      </c>
      <c r="BO358" t="s">
        <v>74</v>
      </c>
      <c r="BP358" t="s">
        <v>74</v>
      </c>
      <c r="BQ358" t="s">
        <v>74</v>
      </c>
      <c r="BR358" t="s">
        <v>104</v>
      </c>
      <c r="BS358" t="s">
        <v>6996</v>
      </c>
      <c r="BT358" t="str">
        <f>HYPERLINK("https%3A%2F%2Fwww.webofscience.com%2Fwos%2Fwoscc%2Ffull-record%2FWOS:000879752200005","View Full Record in Web of Science")</f>
        <v>View Full Record in Web of Science</v>
      </c>
    </row>
    <row r="359" spans="1:72" x14ac:dyDescent="0.15">
      <c r="A359" t="s">
        <v>390</v>
      </c>
      <c r="B359" t="s">
        <v>6997</v>
      </c>
      <c r="C359" t="s">
        <v>6997</v>
      </c>
      <c r="D359" t="s">
        <v>74</v>
      </c>
      <c r="E359" t="s">
        <v>74</v>
      </c>
      <c r="F359" t="s">
        <v>6998</v>
      </c>
      <c r="G359" t="s">
        <v>6997</v>
      </c>
      <c r="H359" t="s">
        <v>74</v>
      </c>
      <c r="I359" t="s">
        <v>6999</v>
      </c>
      <c r="J359" t="s">
        <v>7000</v>
      </c>
      <c r="K359" t="s">
        <v>74</v>
      </c>
      <c r="L359" t="s">
        <v>74</v>
      </c>
      <c r="M359" t="s">
        <v>78</v>
      </c>
      <c r="N359" t="s">
        <v>140</v>
      </c>
      <c r="O359" t="s">
        <v>74</v>
      </c>
      <c r="P359" t="s">
        <v>74</v>
      </c>
      <c r="Q359" t="s">
        <v>74</v>
      </c>
      <c r="R359" t="s">
        <v>74</v>
      </c>
      <c r="S359" t="s">
        <v>74</v>
      </c>
      <c r="T359" t="s">
        <v>74</v>
      </c>
      <c r="U359" t="s">
        <v>74</v>
      </c>
      <c r="V359" t="s">
        <v>7001</v>
      </c>
      <c r="W359" t="s">
        <v>7002</v>
      </c>
      <c r="X359" t="s">
        <v>7003</v>
      </c>
      <c r="Y359" t="s">
        <v>7004</v>
      </c>
      <c r="Z359" t="s">
        <v>74</v>
      </c>
      <c r="AA359" t="s">
        <v>74</v>
      </c>
      <c r="AB359" t="s">
        <v>74</v>
      </c>
      <c r="AC359" t="s">
        <v>74</v>
      </c>
      <c r="AD359" t="s">
        <v>74</v>
      </c>
      <c r="AE359" t="s">
        <v>74</v>
      </c>
      <c r="AF359" t="s">
        <v>74</v>
      </c>
      <c r="AG359">
        <v>0</v>
      </c>
      <c r="AH359">
        <v>0</v>
      </c>
      <c r="AI359">
        <v>0</v>
      </c>
      <c r="AJ359">
        <v>0</v>
      </c>
      <c r="AK359">
        <v>0</v>
      </c>
      <c r="AL359" t="s">
        <v>1473</v>
      </c>
      <c r="AM359" t="s">
        <v>151</v>
      </c>
      <c r="AN359" t="s">
        <v>6684</v>
      </c>
      <c r="AO359" t="s">
        <v>74</v>
      </c>
      <c r="AP359" t="s">
        <v>74</v>
      </c>
      <c r="AQ359" t="s">
        <v>7005</v>
      </c>
      <c r="AR359" t="s">
        <v>74</v>
      </c>
      <c r="AS359" t="s">
        <v>74</v>
      </c>
      <c r="AT359" t="s">
        <v>74</v>
      </c>
      <c r="AU359">
        <v>2019</v>
      </c>
      <c r="AV359" t="s">
        <v>74</v>
      </c>
      <c r="AW359" t="s">
        <v>74</v>
      </c>
      <c r="AX359" t="s">
        <v>74</v>
      </c>
      <c r="AY359" t="s">
        <v>74</v>
      </c>
      <c r="AZ359" t="s">
        <v>74</v>
      </c>
      <c r="BA359" t="s">
        <v>74</v>
      </c>
      <c r="BB359">
        <v>320</v>
      </c>
      <c r="BC359">
        <v>351</v>
      </c>
      <c r="BD359" t="s">
        <v>74</v>
      </c>
      <c r="BE359" t="s">
        <v>74</v>
      </c>
      <c r="BF359" t="s">
        <v>74</v>
      </c>
      <c r="BG359" t="s">
        <v>74</v>
      </c>
      <c r="BH359" t="s">
        <v>74</v>
      </c>
      <c r="BI359">
        <v>32</v>
      </c>
      <c r="BJ359" t="s">
        <v>773</v>
      </c>
      <c r="BK359" t="s">
        <v>159</v>
      </c>
      <c r="BL359" t="s">
        <v>773</v>
      </c>
      <c r="BM359" t="s">
        <v>7006</v>
      </c>
      <c r="BN359" t="s">
        <v>74</v>
      </c>
      <c r="BO359" t="s">
        <v>74</v>
      </c>
      <c r="BP359" t="s">
        <v>74</v>
      </c>
      <c r="BQ359" t="s">
        <v>74</v>
      </c>
      <c r="BR359" t="s">
        <v>104</v>
      </c>
      <c r="BS359" t="s">
        <v>7007</v>
      </c>
      <c r="BT359" t="str">
        <f>HYPERLINK("https%3A%2F%2Fwww.webofscience.com%2Fwos%2Fwoscc%2Ffull-record%2FWOS:000588350700010","View Full Record in Web of Science")</f>
        <v>View Full Record in Web of Science</v>
      </c>
    </row>
    <row r="360" spans="1:72" x14ac:dyDescent="0.15">
      <c r="A360" t="s">
        <v>390</v>
      </c>
      <c r="B360" t="s">
        <v>6997</v>
      </c>
      <c r="C360" t="s">
        <v>6997</v>
      </c>
      <c r="D360" t="s">
        <v>74</v>
      </c>
      <c r="E360" t="s">
        <v>74</v>
      </c>
      <c r="F360" t="s">
        <v>6998</v>
      </c>
      <c r="G360" t="s">
        <v>6997</v>
      </c>
      <c r="H360" t="s">
        <v>74</v>
      </c>
      <c r="I360" t="s">
        <v>7008</v>
      </c>
      <c r="J360" t="s">
        <v>7000</v>
      </c>
      <c r="K360" t="s">
        <v>74</v>
      </c>
      <c r="L360" t="s">
        <v>74</v>
      </c>
      <c r="M360" t="s">
        <v>78</v>
      </c>
      <c r="N360" t="s">
        <v>140</v>
      </c>
      <c r="O360" t="s">
        <v>74</v>
      </c>
      <c r="P360" t="s">
        <v>74</v>
      </c>
      <c r="Q360" t="s">
        <v>74</v>
      </c>
      <c r="R360" t="s">
        <v>74</v>
      </c>
      <c r="S360" t="s">
        <v>74</v>
      </c>
      <c r="T360" t="s">
        <v>74</v>
      </c>
      <c r="U360" t="s">
        <v>74</v>
      </c>
      <c r="V360" t="s">
        <v>7009</v>
      </c>
      <c r="W360" t="s">
        <v>7002</v>
      </c>
      <c r="X360" t="s">
        <v>7003</v>
      </c>
      <c r="Y360" t="s">
        <v>7004</v>
      </c>
      <c r="Z360" t="s">
        <v>74</v>
      </c>
      <c r="AA360" t="s">
        <v>74</v>
      </c>
      <c r="AB360" t="s">
        <v>74</v>
      </c>
      <c r="AC360" t="s">
        <v>74</v>
      </c>
      <c r="AD360" t="s">
        <v>74</v>
      </c>
      <c r="AE360" t="s">
        <v>74</v>
      </c>
      <c r="AF360" t="s">
        <v>74</v>
      </c>
      <c r="AG360">
        <v>0</v>
      </c>
      <c r="AH360">
        <v>0</v>
      </c>
      <c r="AI360">
        <v>0</v>
      </c>
      <c r="AJ360">
        <v>0</v>
      </c>
      <c r="AK360">
        <v>0</v>
      </c>
      <c r="AL360" t="s">
        <v>1473</v>
      </c>
      <c r="AM360" t="s">
        <v>151</v>
      </c>
      <c r="AN360" t="s">
        <v>6684</v>
      </c>
      <c r="AO360" t="s">
        <v>74</v>
      </c>
      <c r="AP360" t="s">
        <v>74</v>
      </c>
      <c r="AQ360" t="s">
        <v>7005</v>
      </c>
      <c r="AR360" t="s">
        <v>74</v>
      </c>
      <c r="AS360" t="s">
        <v>74</v>
      </c>
      <c r="AT360" t="s">
        <v>74</v>
      </c>
      <c r="AU360">
        <v>2019</v>
      </c>
      <c r="AV360" t="s">
        <v>74</v>
      </c>
      <c r="AW360" t="s">
        <v>74</v>
      </c>
      <c r="AX360" t="s">
        <v>74</v>
      </c>
      <c r="AY360" t="s">
        <v>74</v>
      </c>
      <c r="AZ360" t="s">
        <v>74</v>
      </c>
      <c r="BA360" t="s">
        <v>74</v>
      </c>
      <c r="BB360">
        <v>352</v>
      </c>
      <c r="BC360">
        <v>381</v>
      </c>
      <c r="BD360" t="s">
        <v>74</v>
      </c>
      <c r="BE360" t="s">
        <v>74</v>
      </c>
      <c r="BF360" t="s">
        <v>74</v>
      </c>
      <c r="BG360" t="s">
        <v>74</v>
      </c>
      <c r="BH360" t="s">
        <v>74</v>
      </c>
      <c r="BI360">
        <v>30</v>
      </c>
      <c r="BJ360" t="s">
        <v>773</v>
      </c>
      <c r="BK360" t="s">
        <v>159</v>
      </c>
      <c r="BL360" t="s">
        <v>773</v>
      </c>
      <c r="BM360" t="s">
        <v>7006</v>
      </c>
      <c r="BN360" t="s">
        <v>74</v>
      </c>
      <c r="BO360" t="s">
        <v>74</v>
      </c>
      <c r="BP360" t="s">
        <v>74</v>
      </c>
      <c r="BQ360" t="s">
        <v>74</v>
      </c>
      <c r="BR360" t="s">
        <v>104</v>
      </c>
      <c r="BS360" t="s">
        <v>7010</v>
      </c>
      <c r="BT360" t="str">
        <f>HYPERLINK("https%3A%2F%2Fwww.webofscience.com%2Fwos%2Fwoscc%2Ffull-record%2FWOS:000588350700011","View Full Record in Web of Science")</f>
        <v>View Full Record in Web of Science</v>
      </c>
    </row>
    <row r="361" spans="1:72" x14ac:dyDescent="0.15">
      <c r="A361" t="s">
        <v>390</v>
      </c>
      <c r="B361" t="s">
        <v>6997</v>
      </c>
      <c r="C361" t="s">
        <v>6997</v>
      </c>
      <c r="D361" t="s">
        <v>74</v>
      </c>
      <c r="E361" t="s">
        <v>74</v>
      </c>
      <c r="F361" t="s">
        <v>7011</v>
      </c>
      <c r="G361" t="s">
        <v>6997</v>
      </c>
      <c r="H361" t="s">
        <v>74</v>
      </c>
      <c r="I361" t="s">
        <v>7012</v>
      </c>
      <c r="J361" t="s">
        <v>7000</v>
      </c>
      <c r="K361" t="s">
        <v>74</v>
      </c>
      <c r="L361" t="s">
        <v>74</v>
      </c>
      <c r="M361" t="s">
        <v>78</v>
      </c>
      <c r="N361" t="s">
        <v>6697</v>
      </c>
      <c r="O361" t="s">
        <v>74</v>
      </c>
      <c r="P361" t="s">
        <v>74</v>
      </c>
      <c r="Q361" t="s">
        <v>74</v>
      </c>
      <c r="R361" t="s">
        <v>74</v>
      </c>
      <c r="S361" t="s">
        <v>74</v>
      </c>
      <c r="T361" t="s">
        <v>74</v>
      </c>
      <c r="U361" t="s">
        <v>7013</v>
      </c>
      <c r="V361" t="s">
        <v>74</v>
      </c>
      <c r="W361" t="s">
        <v>74</v>
      </c>
      <c r="X361" t="s">
        <v>74</v>
      </c>
      <c r="Y361" t="s">
        <v>74</v>
      </c>
      <c r="Z361" t="s">
        <v>74</v>
      </c>
      <c r="AA361" t="s">
        <v>74</v>
      </c>
      <c r="AB361" t="s">
        <v>7014</v>
      </c>
      <c r="AC361" t="s">
        <v>74</v>
      </c>
      <c r="AD361" t="s">
        <v>74</v>
      </c>
      <c r="AE361" t="s">
        <v>74</v>
      </c>
      <c r="AF361" t="s">
        <v>74</v>
      </c>
      <c r="AG361">
        <v>437</v>
      </c>
      <c r="AH361">
        <v>2</v>
      </c>
      <c r="AI361">
        <v>3</v>
      </c>
      <c r="AJ361">
        <v>0</v>
      </c>
      <c r="AK361">
        <v>4</v>
      </c>
      <c r="AL361" t="s">
        <v>1473</v>
      </c>
      <c r="AM361" t="s">
        <v>151</v>
      </c>
      <c r="AN361" t="s">
        <v>6684</v>
      </c>
      <c r="AO361" t="s">
        <v>74</v>
      </c>
      <c r="AP361" t="s">
        <v>74</v>
      </c>
      <c r="AQ361" t="s">
        <v>7005</v>
      </c>
      <c r="AR361" t="s">
        <v>74</v>
      </c>
      <c r="AS361" t="s">
        <v>74</v>
      </c>
      <c r="AT361" t="s">
        <v>74</v>
      </c>
      <c r="AU361">
        <v>2019</v>
      </c>
      <c r="AV361" t="s">
        <v>74</v>
      </c>
      <c r="AW361" t="s">
        <v>74</v>
      </c>
      <c r="AX361" t="s">
        <v>74</v>
      </c>
      <c r="AY361" t="s">
        <v>74</v>
      </c>
      <c r="AZ361" t="s">
        <v>74</v>
      </c>
      <c r="BA361" t="s">
        <v>74</v>
      </c>
      <c r="BB361" t="s">
        <v>74</v>
      </c>
      <c r="BC361" t="s">
        <v>74</v>
      </c>
      <c r="BD361" t="s">
        <v>74</v>
      </c>
      <c r="BE361" t="s">
        <v>7015</v>
      </c>
      <c r="BF361" t="str">
        <f>HYPERLINK("http://dx.doi.org/10.1017/9781139015721","http://dx.doi.org/10.1017/9781139015721")</f>
        <v>http://dx.doi.org/10.1017/9781139015721</v>
      </c>
      <c r="BG361" t="s">
        <v>7016</v>
      </c>
      <c r="BH361" t="s">
        <v>74</v>
      </c>
      <c r="BI361">
        <v>6</v>
      </c>
      <c r="BJ361" t="s">
        <v>773</v>
      </c>
      <c r="BK361" t="s">
        <v>159</v>
      </c>
      <c r="BL361" t="s">
        <v>773</v>
      </c>
      <c r="BM361" t="s">
        <v>7006</v>
      </c>
      <c r="BN361" t="s">
        <v>74</v>
      </c>
      <c r="BO361" t="s">
        <v>7017</v>
      </c>
      <c r="BP361" t="s">
        <v>74</v>
      </c>
      <c r="BQ361" t="s">
        <v>74</v>
      </c>
      <c r="BR361" t="s">
        <v>104</v>
      </c>
      <c r="BS361" t="s">
        <v>7018</v>
      </c>
      <c r="BT361" t="str">
        <f>HYPERLINK("https%3A%2F%2Fwww.webofscience.com%2Fwos%2Fwoscc%2Ffull-record%2FWOS:000588350700015","View Full Record in Web of Science")</f>
        <v>View Full Record in Web of Science</v>
      </c>
    </row>
    <row r="362" spans="1:72" x14ac:dyDescent="0.15">
      <c r="A362" t="s">
        <v>133</v>
      </c>
      <c r="B362" t="s">
        <v>7019</v>
      </c>
      <c r="C362" t="s">
        <v>74</v>
      </c>
      <c r="D362" t="s">
        <v>7020</v>
      </c>
      <c r="E362" t="s">
        <v>74</v>
      </c>
      <c r="F362" t="s">
        <v>7021</v>
      </c>
      <c r="G362" t="s">
        <v>74</v>
      </c>
      <c r="H362" t="s">
        <v>74</v>
      </c>
      <c r="I362" t="s">
        <v>7022</v>
      </c>
      <c r="J362" t="s">
        <v>7023</v>
      </c>
      <c r="K362" t="s">
        <v>7024</v>
      </c>
      <c r="L362" t="s">
        <v>74</v>
      </c>
      <c r="M362" t="s">
        <v>78</v>
      </c>
      <c r="N362" t="s">
        <v>140</v>
      </c>
      <c r="O362" t="s">
        <v>74</v>
      </c>
      <c r="P362" t="s">
        <v>74</v>
      </c>
      <c r="Q362" t="s">
        <v>74</v>
      </c>
      <c r="R362" t="s">
        <v>74</v>
      </c>
      <c r="S362" t="s">
        <v>74</v>
      </c>
      <c r="T362" t="s">
        <v>74</v>
      </c>
      <c r="U362" t="s">
        <v>7025</v>
      </c>
      <c r="V362" t="s">
        <v>7026</v>
      </c>
      <c r="W362" t="s">
        <v>7027</v>
      </c>
      <c r="X362" t="s">
        <v>7028</v>
      </c>
      <c r="Y362" t="s">
        <v>7029</v>
      </c>
      <c r="Z362" t="s">
        <v>7030</v>
      </c>
      <c r="AA362" t="s">
        <v>7031</v>
      </c>
      <c r="AB362" t="s">
        <v>7032</v>
      </c>
      <c r="AC362" t="s">
        <v>74</v>
      </c>
      <c r="AD362" t="s">
        <v>74</v>
      </c>
      <c r="AE362" t="s">
        <v>74</v>
      </c>
      <c r="AF362" t="s">
        <v>74</v>
      </c>
      <c r="AG362">
        <v>99</v>
      </c>
      <c r="AH362">
        <v>3</v>
      </c>
      <c r="AI362">
        <v>4</v>
      </c>
      <c r="AJ362">
        <v>1</v>
      </c>
      <c r="AK362">
        <v>10</v>
      </c>
      <c r="AL362" t="s">
        <v>1203</v>
      </c>
      <c r="AM362" t="s">
        <v>1204</v>
      </c>
      <c r="AN362" t="s">
        <v>1205</v>
      </c>
      <c r="AO362" t="s">
        <v>7033</v>
      </c>
      <c r="AP362" t="s">
        <v>7034</v>
      </c>
      <c r="AQ362" t="s">
        <v>7035</v>
      </c>
      <c r="AR362" t="s">
        <v>7036</v>
      </c>
      <c r="AS362" t="s">
        <v>74</v>
      </c>
      <c r="AT362" t="s">
        <v>74</v>
      </c>
      <c r="AU362">
        <v>2019</v>
      </c>
      <c r="AV362" t="s">
        <v>74</v>
      </c>
      <c r="AW362" t="s">
        <v>74</v>
      </c>
      <c r="AX362" t="s">
        <v>74</v>
      </c>
      <c r="AY362" t="s">
        <v>74</v>
      </c>
      <c r="AZ362" t="s">
        <v>74</v>
      </c>
      <c r="BA362" t="s">
        <v>74</v>
      </c>
      <c r="BB362">
        <v>75</v>
      </c>
      <c r="BC362">
        <v>88</v>
      </c>
      <c r="BD362" t="s">
        <v>74</v>
      </c>
      <c r="BE362" t="s">
        <v>7037</v>
      </c>
      <c r="BF362" t="str">
        <f>HYPERLINK("http://dx.doi.org/10.1007/978-3-319-99417-8_4","http://dx.doi.org/10.1007/978-3-319-99417-8_4")</f>
        <v>http://dx.doi.org/10.1007/978-3-319-99417-8_4</v>
      </c>
      <c r="BG362" t="s">
        <v>7038</v>
      </c>
      <c r="BH362" t="s">
        <v>74</v>
      </c>
      <c r="BI362">
        <v>14</v>
      </c>
      <c r="BJ362" t="s">
        <v>827</v>
      </c>
      <c r="BK362" t="s">
        <v>159</v>
      </c>
      <c r="BL362" t="s">
        <v>827</v>
      </c>
      <c r="BM362" t="s">
        <v>7039</v>
      </c>
      <c r="BN362" t="s">
        <v>74</v>
      </c>
      <c r="BO362" t="s">
        <v>162</v>
      </c>
      <c r="BP362" t="s">
        <v>74</v>
      </c>
      <c r="BQ362" t="s">
        <v>74</v>
      </c>
      <c r="BR362" t="s">
        <v>104</v>
      </c>
      <c r="BS362" t="s">
        <v>7040</v>
      </c>
      <c r="BT362" t="str">
        <f>HYPERLINK("https%3A%2F%2Fwww.webofscience.com%2Fwos%2Fwoscc%2Ffull-record%2FWOS:000482664300005","View Full Record in Web of Science")</f>
        <v>View Full Record in Web of Science</v>
      </c>
    </row>
    <row r="363" spans="1:72" x14ac:dyDescent="0.15">
      <c r="A363" t="s">
        <v>164</v>
      </c>
      <c r="B363" t="s">
        <v>7041</v>
      </c>
      <c r="C363" t="s">
        <v>74</v>
      </c>
      <c r="D363" t="s">
        <v>74</v>
      </c>
      <c r="E363" t="s">
        <v>1216</v>
      </c>
      <c r="F363" t="s">
        <v>7042</v>
      </c>
      <c r="G363" t="s">
        <v>74</v>
      </c>
      <c r="H363" t="s">
        <v>74</v>
      </c>
      <c r="I363" t="s">
        <v>7043</v>
      </c>
      <c r="J363" t="s">
        <v>7044</v>
      </c>
      <c r="K363" t="s">
        <v>7045</v>
      </c>
      <c r="L363" t="s">
        <v>74</v>
      </c>
      <c r="M363" t="s">
        <v>78</v>
      </c>
      <c r="N363" t="s">
        <v>172</v>
      </c>
      <c r="O363" t="s">
        <v>7046</v>
      </c>
      <c r="P363" t="s">
        <v>7047</v>
      </c>
      <c r="Q363" t="s">
        <v>7048</v>
      </c>
      <c r="R363" t="s">
        <v>74</v>
      </c>
      <c r="S363" t="s">
        <v>74</v>
      </c>
      <c r="T363" t="s">
        <v>7049</v>
      </c>
      <c r="U363" t="s">
        <v>7050</v>
      </c>
      <c r="V363" t="s">
        <v>7051</v>
      </c>
      <c r="W363" t="s">
        <v>7052</v>
      </c>
      <c r="X363" t="s">
        <v>4904</v>
      </c>
      <c r="Y363" t="s">
        <v>7053</v>
      </c>
      <c r="Z363" t="s">
        <v>74</v>
      </c>
      <c r="AA363" t="s">
        <v>74</v>
      </c>
      <c r="AB363" t="s">
        <v>74</v>
      </c>
      <c r="AC363" t="s">
        <v>7054</v>
      </c>
      <c r="AD363" t="s">
        <v>7054</v>
      </c>
      <c r="AE363" t="s">
        <v>7055</v>
      </c>
      <c r="AF363" t="s">
        <v>74</v>
      </c>
      <c r="AG363">
        <v>18</v>
      </c>
      <c r="AH363">
        <v>0</v>
      </c>
      <c r="AI363">
        <v>0</v>
      </c>
      <c r="AJ363">
        <v>1</v>
      </c>
      <c r="AK363">
        <v>3</v>
      </c>
      <c r="AL363" t="s">
        <v>1216</v>
      </c>
      <c r="AM363" t="s">
        <v>1080</v>
      </c>
      <c r="AN363" t="s">
        <v>1235</v>
      </c>
      <c r="AO363" t="s">
        <v>7056</v>
      </c>
      <c r="AP363" t="s">
        <v>74</v>
      </c>
      <c r="AQ363" t="s">
        <v>7057</v>
      </c>
      <c r="AR363" t="s">
        <v>7045</v>
      </c>
      <c r="AS363" t="s">
        <v>74</v>
      </c>
      <c r="AT363" t="s">
        <v>74</v>
      </c>
      <c r="AU363">
        <v>2019</v>
      </c>
      <c r="AV363" t="s">
        <v>74</v>
      </c>
      <c r="AW363" t="s">
        <v>74</v>
      </c>
      <c r="AX363" t="s">
        <v>74</v>
      </c>
      <c r="AY363" t="s">
        <v>74</v>
      </c>
      <c r="AZ363" t="s">
        <v>74</v>
      </c>
      <c r="BA363" t="s">
        <v>74</v>
      </c>
      <c r="BB363" t="s">
        <v>74</v>
      </c>
      <c r="BC363" t="s">
        <v>74</v>
      </c>
      <c r="BD363" t="s">
        <v>74</v>
      </c>
      <c r="BE363" t="s">
        <v>7058</v>
      </c>
      <c r="BF363" t="str">
        <f>HYPERLINK("http://dx.doi.org/10.1109/oceanse.2019.8867509","http://dx.doi.org/10.1109/oceanse.2019.8867509")</f>
        <v>http://dx.doi.org/10.1109/oceanse.2019.8867509</v>
      </c>
      <c r="BG363" t="s">
        <v>74</v>
      </c>
      <c r="BH363" t="s">
        <v>74</v>
      </c>
      <c r="BI363">
        <v>5</v>
      </c>
      <c r="BJ363" t="s">
        <v>7059</v>
      </c>
      <c r="BK363" t="s">
        <v>190</v>
      </c>
      <c r="BL363" t="s">
        <v>1241</v>
      </c>
      <c r="BM363" t="s">
        <v>7060</v>
      </c>
      <c r="BN363" t="s">
        <v>74</v>
      </c>
      <c r="BO363" t="s">
        <v>74</v>
      </c>
      <c r="BP363" t="s">
        <v>74</v>
      </c>
      <c r="BQ363" t="s">
        <v>74</v>
      </c>
      <c r="BR363" t="s">
        <v>104</v>
      </c>
      <c r="BS363" t="s">
        <v>7061</v>
      </c>
      <c r="BT363" t="str">
        <f>HYPERLINK("https%3A%2F%2Fwww.webofscience.com%2Fwos%2Fwoscc%2Ffull-record%2FWOS:000591652100442","View Full Record in Web of Science")</f>
        <v>View Full Record in Web of Science</v>
      </c>
    </row>
    <row r="364" spans="1:72" x14ac:dyDescent="0.15">
      <c r="A364" t="s">
        <v>164</v>
      </c>
      <c r="B364" t="s">
        <v>7062</v>
      </c>
      <c r="C364" t="s">
        <v>74</v>
      </c>
      <c r="D364" t="s">
        <v>74</v>
      </c>
      <c r="E364" t="s">
        <v>1216</v>
      </c>
      <c r="F364" t="s">
        <v>7063</v>
      </c>
      <c r="G364" t="s">
        <v>74</v>
      </c>
      <c r="H364" t="s">
        <v>74</v>
      </c>
      <c r="I364" t="s">
        <v>7064</v>
      </c>
      <c r="J364" t="s">
        <v>7044</v>
      </c>
      <c r="K364" t="s">
        <v>7045</v>
      </c>
      <c r="L364" t="s">
        <v>74</v>
      </c>
      <c r="M364" t="s">
        <v>78</v>
      </c>
      <c r="N364" t="s">
        <v>172</v>
      </c>
      <c r="O364" t="s">
        <v>7046</v>
      </c>
      <c r="P364" t="s">
        <v>7047</v>
      </c>
      <c r="Q364" t="s">
        <v>7048</v>
      </c>
      <c r="R364" t="s">
        <v>74</v>
      </c>
      <c r="S364" t="s">
        <v>74</v>
      </c>
      <c r="T364" t="s">
        <v>7065</v>
      </c>
      <c r="U364" t="s">
        <v>74</v>
      </c>
      <c r="V364" t="s">
        <v>7066</v>
      </c>
      <c r="W364" t="s">
        <v>7067</v>
      </c>
      <c r="X364" t="s">
        <v>7068</v>
      </c>
      <c r="Y364" t="s">
        <v>7069</v>
      </c>
      <c r="Z364" t="s">
        <v>7070</v>
      </c>
      <c r="AA364" t="s">
        <v>7071</v>
      </c>
      <c r="AB364" t="s">
        <v>74</v>
      </c>
      <c r="AC364" t="s">
        <v>74</v>
      </c>
      <c r="AD364" t="s">
        <v>74</v>
      </c>
      <c r="AE364" t="s">
        <v>74</v>
      </c>
      <c r="AF364" t="s">
        <v>74</v>
      </c>
      <c r="AG364">
        <v>6</v>
      </c>
      <c r="AH364">
        <v>0</v>
      </c>
      <c r="AI364">
        <v>0</v>
      </c>
      <c r="AJ364">
        <v>3</v>
      </c>
      <c r="AK364">
        <v>7</v>
      </c>
      <c r="AL364" t="s">
        <v>1216</v>
      </c>
      <c r="AM364" t="s">
        <v>1080</v>
      </c>
      <c r="AN364" t="s">
        <v>1235</v>
      </c>
      <c r="AO364" t="s">
        <v>7056</v>
      </c>
      <c r="AP364" t="s">
        <v>74</v>
      </c>
      <c r="AQ364" t="s">
        <v>7057</v>
      </c>
      <c r="AR364" t="s">
        <v>7045</v>
      </c>
      <c r="AS364" t="s">
        <v>74</v>
      </c>
      <c r="AT364" t="s">
        <v>74</v>
      </c>
      <c r="AU364">
        <v>2019</v>
      </c>
      <c r="AV364" t="s">
        <v>74</v>
      </c>
      <c r="AW364" t="s">
        <v>74</v>
      </c>
      <c r="AX364" t="s">
        <v>74</v>
      </c>
      <c r="AY364" t="s">
        <v>74</v>
      </c>
      <c r="AZ364" t="s">
        <v>74</v>
      </c>
      <c r="BA364" t="s">
        <v>74</v>
      </c>
      <c r="BB364" t="s">
        <v>74</v>
      </c>
      <c r="BC364" t="s">
        <v>74</v>
      </c>
      <c r="BD364" t="s">
        <v>74</v>
      </c>
      <c r="BE364" t="s">
        <v>7072</v>
      </c>
      <c r="BF364" t="str">
        <f>HYPERLINK("http://dx.doi.org/10.1109/oceanse.2019.8867501","http://dx.doi.org/10.1109/oceanse.2019.8867501")</f>
        <v>http://dx.doi.org/10.1109/oceanse.2019.8867501</v>
      </c>
      <c r="BG364" t="s">
        <v>74</v>
      </c>
      <c r="BH364" t="s">
        <v>74</v>
      </c>
      <c r="BI364">
        <v>5</v>
      </c>
      <c r="BJ364" t="s">
        <v>7059</v>
      </c>
      <c r="BK364" t="s">
        <v>190</v>
      </c>
      <c r="BL364" t="s">
        <v>1241</v>
      </c>
      <c r="BM364" t="s">
        <v>7060</v>
      </c>
      <c r="BN364" t="s">
        <v>74</v>
      </c>
      <c r="BO364" t="s">
        <v>74</v>
      </c>
      <c r="BP364" t="s">
        <v>74</v>
      </c>
      <c r="BQ364" t="s">
        <v>74</v>
      </c>
      <c r="BR364" t="s">
        <v>104</v>
      </c>
      <c r="BS364" t="s">
        <v>7073</v>
      </c>
      <c r="BT364" t="str">
        <f>HYPERLINK("https%3A%2F%2Fwww.webofscience.com%2Fwos%2Fwoscc%2Ffull-record%2FWOS:000591652100434","View Full Record in Web of Science")</f>
        <v>View Full Record in Web of Science</v>
      </c>
    </row>
    <row r="365" spans="1:72" x14ac:dyDescent="0.15">
      <c r="A365" t="s">
        <v>164</v>
      </c>
      <c r="B365" t="s">
        <v>7074</v>
      </c>
      <c r="C365" t="s">
        <v>74</v>
      </c>
      <c r="D365" t="s">
        <v>74</v>
      </c>
      <c r="E365" t="s">
        <v>1216</v>
      </c>
      <c r="F365" t="s">
        <v>7075</v>
      </c>
      <c r="G365" t="s">
        <v>74</v>
      </c>
      <c r="H365" t="s">
        <v>74</v>
      </c>
      <c r="I365" t="s">
        <v>7076</v>
      </c>
      <c r="J365" t="s">
        <v>7044</v>
      </c>
      <c r="K365" t="s">
        <v>7045</v>
      </c>
      <c r="L365" t="s">
        <v>74</v>
      </c>
      <c r="M365" t="s">
        <v>78</v>
      </c>
      <c r="N365" t="s">
        <v>172</v>
      </c>
      <c r="O365" t="s">
        <v>7046</v>
      </c>
      <c r="P365" t="s">
        <v>7047</v>
      </c>
      <c r="Q365" t="s">
        <v>7048</v>
      </c>
      <c r="R365" t="s">
        <v>74</v>
      </c>
      <c r="S365" t="s">
        <v>74</v>
      </c>
      <c r="T365" t="s">
        <v>7077</v>
      </c>
      <c r="U365" t="s">
        <v>74</v>
      </c>
      <c r="V365" t="s">
        <v>7078</v>
      </c>
      <c r="W365" t="s">
        <v>7079</v>
      </c>
      <c r="X365" t="s">
        <v>7080</v>
      </c>
      <c r="Y365" t="s">
        <v>7081</v>
      </c>
      <c r="Z365" t="s">
        <v>7082</v>
      </c>
      <c r="AA365" t="s">
        <v>7083</v>
      </c>
      <c r="AB365" t="s">
        <v>7084</v>
      </c>
      <c r="AC365" t="s">
        <v>7085</v>
      </c>
      <c r="AD365" t="s">
        <v>7086</v>
      </c>
      <c r="AE365" t="s">
        <v>7087</v>
      </c>
      <c r="AF365" t="s">
        <v>74</v>
      </c>
      <c r="AG365">
        <v>4</v>
      </c>
      <c r="AH365">
        <v>2</v>
      </c>
      <c r="AI365">
        <v>2</v>
      </c>
      <c r="AJ365">
        <v>1</v>
      </c>
      <c r="AK365">
        <v>1</v>
      </c>
      <c r="AL365" t="s">
        <v>1216</v>
      </c>
      <c r="AM365" t="s">
        <v>1080</v>
      </c>
      <c r="AN365" t="s">
        <v>1235</v>
      </c>
      <c r="AO365" t="s">
        <v>7056</v>
      </c>
      <c r="AP365" t="s">
        <v>74</v>
      </c>
      <c r="AQ365" t="s">
        <v>7057</v>
      </c>
      <c r="AR365" t="s">
        <v>7045</v>
      </c>
      <c r="AS365" t="s">
        <v>74</v>
      </c>
      <c r="AT365" t="s">
        <v>74</v>
      </c>
      <c r="AU365">
        <v>2019</v>
      </c>
      <c r="AV365" t="s">
        <v>74</v>
      </c>
      <c r="AW365" t="s">
        <v>74</v>
      </c>
      <c r="AX365" t="s">
        <v>74</v>
      </c>
      <c r="AY365" t="s">
        <v>74</v>
      </c>
      <c r="AZ365" t="s">
        <v>74</v>
      </c>
      <c r="BA365" t="s">
        <v>74</v>
      </c>
      <c r="BB365" t="s">
        <v>74</v>
      </c>
      <c r="BC365" t="s">
        <v>74</v>
      </c>
      <c r="BD365" t="s">
        <v>74</v>
      </c>
      <c r="BE365" t="s">
        <v>7088</v>
      </c>
      <c r="BF365" t="str">
        <f>HYPERLINK("http://dx.doi.org/10.1109/oceanse.2019.8867201","http://dx.doi.org/10.1109/oceanse.2019.8867201")</f>
        <v>http://dx.doi.org/10.1109/oceanse.2019.8867201</v>
      </c>
      <c r="BG365" t="s">
        <v>74</v>
      </c>
      <c r="BH365" t="s">
        <v>74</v>
      </c>
      <c r="BI365">
        <v>10</v>
      </c>
      <c r="BJ365" t="s">
        <v>7059</v>
      </c>
      <c r="BK365" t="s">
        <v>190</v>
      </c>
      <c r="BL365" t="s">
        <v>1241</v>
      </c>
      <c r="BM365" t="s">
        <v>7060</v>
      </c>
      <c r="BN365" t="s">
        <v>74</v>
      </c>
      <c r="BO365" t="s">
        <v>74</v>
      </c>
      <c r="BP365" t="s">
        <v>74</v>
      </c>
      <c r="BQ365" t="s">
        <v>74</v>
      </c>
      <c r="BR365" t="s">
        <v>104</v>
      </c>
      <c r="BS365" t="s">
        <v>7089</v>
      </c>
      <c r="BT365" t="str">
        <f>HYPERLINK("https%3A%2F%2Fwww.webofscience.com%2Fwos%2Fwoscc%2Ffull-record%2FWOS:000591652100164","View Full Record in Web of Science")</f>
        <v>View Full Record in Web of Science</v>
      </c>
    </row>
    <row r="366" spans="1:72" x14ac:dyDescent="0.15">
      <c r="A366" t="s">
        <v>72</v>
      </c>
      <c r="B366" t="s">
        <v>7090</v>
      </c>
      <c r="C366" t="s">
        <v>74</v>
      </c>
      <c r="D366" t="s">
        <v>74</v>
      </c>
      <c r="E366" t="s">
        <v>74</v>
      </c>
      <c r="F366" t="s">
        <v>7091</v>
      </c>
      <c r="G366" t="s">
        <v>74</v>
      </c>
      <c r="H366" t="s">
        <v>74</v>
      </c>
      <c r="I366" t="s">
        <v>7092</v>
      </c>
      <c r="J366" t="s">
        <v>7093</v>
      </c>
      <c r="K366" t="s">
        <v>74</v>
      </c>
      <c r="L366" t="s">
        <v>74</v>
      </c>
      <c r="M366" t="s">
        <v>78</v>
      </c>
      <c r="N366" t="s">
        <v>79</v>
      </c>
      <c r="O366" t="s">
        <v>74</v>
      </c>
      <c r="P366" t="s">
        <v>74</v>
      </c>
      <c r="Q366" t="s">
        <v>74</v>
      </c>
      <c r="R366" t="s">
        <v>74</v>
      </c>
      <c r="S366" t="s">
        <v>74</v>
      </c>
      <c r="T366" t="s">
        <v>7094</v>
      </c>
      <c r="U366" t="s">
        <v>7095</v>
      </c>
      <c r="V366" t="s">
        <v>7096</v>
      </c>
      <c r="W366" t="s">
        <v>7097</v>
      </c>
      <c r="X366" t="s">
        <v>7098</v>
      </c>
      <c r="Y366" t="s">
        <v>7099</v>
      </c>
      <c r="Z366" t="s">
        <v>7100</v>
      </c>
      <c r="AA366" t="s">
        <v>74</v>
      </c>
      <c r="AB366" t="s">
        <v>74</v>
      </c>
      <c r="AC366" t="s">
        <v>7101</v>
      </c>
      <c r="AD366" t="s">
        <v>7101</v>
      </c>
      <c r="AE366" t="s">
        <v>7102</v>
      </c>
      <c r="AF366" t="s">
        <v>74</v>
      </c>
      <c r="AG366">
        <v>32</v>
      </c>
      <c r="AH366">
        <v>34</v>
      </c>
      <c r="AI366">
        <v>35</v>
      </c>
      <c r="AJ366">
        <v>0</v>
      </c>
      <c r="AK366">
        <v>0</v>
      </c>
      <c r="AL366" t="s">
        <v>1473</v>
      </c>
      <c r="AM366" t="s">
        <v>151</v>
      </c>
      <c r="AN366" t="s">
        <v>7103</v>
      </c>
      <c r="AO366" t="s">
        <v>7104</v>
      </c>
      <c r="AP366" t="s">
        <v>7105</v>
      </c>
      <c r="AQ366" t="s">
        <v>74</v>
      </c>
      <c r="AR366" t="s">
        <v>7093</v>
      </c>
      <c r="AS366" t="s">
        <v>7106</v>
      </c>
      <c r="AT366" t="s">
        <v>718</v>
      </c>
      <c r="AU366">
        <v>2019</v>
      </c>
      <c r="AV366">
        <v>53</v>
      </c>
      <c r="AW366">
        <v>1</v>
      </c>
      <c r="AX366" t="s">
        <v>74</v>
      </c>
      <c r="AY366" t="s">
        <v>74</v>
      </c>
      <c r="AZ366" t="s">
        <v>74</v>
      </c>
      <c r="BA366" t="s">
        <v>74</v>
      </c>
      <c r="BB366">
        <v>27</v>
      </c>
      <c r="BC366">
        <v>35</v>
      </c>
      <c r="BD366" t="s">
        <v>74</v>
      </c>
      <c r="BE366" t="s">
        <v>7107</v>
      </c>
      <c r="BF366" t="str">
        <f>HYPERLINK("http://dx.doi.org/10.1017/S003060531700028X","http://dx.doi.org/10.1017/S003060531700028X")</f>
        <v>http://dx.doi.org/10.1017/S003060531700028X</v>
      </c>
      <c r="BG366" t="s">
        <v>74</v>
      </c>
      <c r="BH366" t="s">
        <v>74</v>
      </c>
      <c r="BI366">
        <v>9</v>
      </c>
      <c r="BJ366" t="s">
        <v>1087</v>
      </c>
      <c r="BK366" t="s">
        <v>101</v>
      </c>
      <c r="BL366" t="s">
        <v>102</v>
      </c>
      <c r="BM366" t="s">
        <v>7108</v>
      </c>
      <c r="BN366" t="s">
        <v>74</v>
      </c>
      <c r="BO366" t="s">
        <v>4426</v>
      </c>
      <c r="BP366" t="s">
        <v>74</v>
      </c>
      <c r="BQ366" t="s">
        <v>74</v>
      </c>
      <c r="BR366" t="s">
        <v>104</v>
      </c>
      <c r="BS366" t="s">
        <v>7109</v>
      </c>
      <c r="BT366" t="str">
        <f>HYPERLINK("https%3A%2F%2Fwww.webofscience.com%2Fwos%2Fwoscc%2Ffull-record%2FWOS:000454304000006","View Full Record in Web of Science")</f>
        <v>View Full Record in Web of Science</v>
      </c>
    </row>
    <row r="367" spans="1:72" x14ac:dyDescent="0.15">
      <c r="A367" t="s">
        <v>164</v>
      </c>
      <c r="B367" t="s">
        <v>7110</v>
      </c>
      <c r="C367" t="s">
        <v>74</v>
      </c>
      <c r="D367" t="s">
        <v>7111</v>
      </c>
      <c r="E367" t="s">
        <v>74</v>
      </c>
      <c r="F367" t="s">
        <v>7112</v>
      </c>
      <c r="G367" t="s">
        <v>74</v>
      </c>
      <c r="H367" t="s">
        <v>74</v>
      </c>
      <c r="I367" t="s">
        <v>7113</v>
      </c>
      <c r="J367" t="s">
        <v>7114</v>
      </c>
      <c r="K367" t="s">
        <v>7115</v>
      </c>
      <c r="L367" t="s">
        <v>74</v>
      </c>
      <c r="M367" t="s">
        <v>78</v>
      </c>
      <c r="N367" t="s">
        <v>172</v>
      </c>
      <c r="O367" t="s">
        <v>7116</v>
      </c>
      <c r="P367" t="s">
        <v>7117</v>
      </c>
      <c r="Q367" t="s">
        <v>7118</v>
      </c>
      <c r="R367" t="s">
        <v>74</v>
      </c>
      <c r="S367" t="s">
        <v>74</v>
      </c>
      <c r="T367" t="s">
        <v>7119</v>
      </c>
      <c r="U367" t="s">
        <v>74</v>
      </c>
      <c r="V367" t="s">
        <v>7120</v>
      </c>
      <c r="W367" t="s">
        <v>7121</v>
      </c>
      <c r="X367" t="s">
        <v>7122</v>
      </c>
      <c r="Y367" t="s">
        <v>7123</v>
      </c>
      <c r="Z367" t="s">
        <v>7124</v>
      </c>
      <c r="AA367" t="s">
        <v>7125</v>
      </c>
      <c r="AB367" t="s">
        <v>7126</v>
      </c>
      <c r="AC367" t="s">
        <v>74</v>
      </c>
      <c r="AD367" t="s">
        <v>74</v>
      </c>
      <c r="AE367" t="s">
        <v>74</v>
      </c>
      <c r="AF367" t="s">
        <v>74</v>
      </c>
      <c r="AG367">
        <v>2</v>
      </c>
      <c r="AH367">
        <v>0</v>
      </c>
      <c r="AI367">
        <v>0</v>
      </c>
      <c r="AJ367">
        <v>1</v>
      </c>
      <c r="AK367">
        <v>7</v>
      </c>
      <c r="AL367" t="s">
        <v>1203</v>
      </c>
      <c r="AM367" t="s">
        <v>1204</v>
      </c>
      <c r="AN367" t="s">
        <v>1205</v>
      </c>
      <c r="AO367" t="s">
        <v>7127</v>
      </c>
      <c r="AP367" t="s">
        <v>7128</v>
      </c>
      <c r="AQ367" t="s">
        <v>7129</v>
      </c>
      <c r="AR367" t="s">
        <v>7130</v>
      </c>
      <c r="AS367" t="s">
        <v>7131</v>
      </c>
      <c r="AT367" t="s">
        <v>74</v>
      </c>
      <c r="AU367">
        <v>2019</v>
      </c>
      <c r="AV367" t="s">
        <v>74</v>
      </c>
      <c r="AW367" t="s">
        <v>74</v>
      </c>
      <c r="AX367" t="s">
        <v>74</v>
      </c>
      <c r="AY367" t="s">
        <v>74</v>
      </c>
      <c r="AZ367" t="s">
        <v>74</v>
      </c>
      <c r="BA367" t="s">
        <v>74</v>
      </c>
      <c r="BB367">
        <v>229</v>
      </c>
      <c r="BC367">
        <v>231</v>
      </c>
      <c r="BD367" t="s">
        <v>74</v>
      </c>
      <c r="BE367" t="s">
        <v>7132</v>
      </c>
      <c r="BF367" t="str">
        <f>HYPERLINK("http://dx.doi.org/10.1007/978-3-030-01452-0_55","http://dx.doi.org/10.1007/978-3-030-01452-0_55")</f>
        <v>http://dx.doi.org/10.1007/978-3-030-01452-0_55</v>
      </c>
      <c r="BG367" t="s">
        <v>74</v>
      </c>
      <c r="BH367" t="s">
        <v>74</v>
      </c>
      <c r="BI367">
        <v>3</v>
      </c>
      <c r="BJ367" t="s">
        <v>7133</v>
      </c>
      <c r="BK367" t="s">
        <v>190</v>
      </c>
      <c r="BL367" t="s">
        <v>7133</v>
      </c>
      <c r="BM367" t="s">
        <v>7134</v>
      </c>
      <c r="BN367" t="s">
        <v>74</v>
      </c>
      <c r="BO367" t="s">
        <v>74</v>
      </c>
      <c r="BP367" t="s">
        <v>74</v>
      </c>
      <c r="BQ367" t="s">
        <v>74</v>
      </c>
      <c r="BR367" t="s">
        <v>104</v>
      </c>
      <c r="BS367" t="s">
        <v>7135</v>
      </c>
      <c r="BT367" t="str">
        <f>HYPERLINK("https%3A%2F%2Fwww.webofscience.com%2Fwos%2Fwoscc%2Ffull-record%2FWOS:000619257500053","View Full Record in Web of Science")</f>
        <v>View Full Record in Web of Science</v>
      </c>
    </row>
    <row r="368" spans="1:72" x14ac:dyDescent="0.15">
      <c r="A368" t="s">
        <v>133</v>
      </c>
      <c r="B368" t="s">
        <v>7136</v>
      </c>
      <c r="C368" t="s">
        <v>74</v>
      </c>
      <c r="D368" t="s">
        <v>7137</v>
      </c>
      <c r="E368" t="s">
        <v>74</v>
      </c>
      <c r="F368" t="s">
        <v>7138</v>
      </c>
      <c r="G368" t="s">
        <v>74</v>
      </c>
      <c r="H368" t="s">
        <v>74</v>
      </c>
      <c r="I368" t="s">
        <v>7139</v>
      </c>
      <c r="J368" t="s">
        <v>7140</v>
      </c>
      <c r="K368" t="s">
        <v>7141</v>
      </c>
      <c r="L368" t="s">
        <v>74</v>
      </c>
      <c r="M368" t="s">
        <v>78</v>
      </c>
      <c r="N368" t="s">
        <v>140</v>
      </c>
      <c r="O368" t="s">
        <v>74</v>
      </c>
      <c r="P368" t="s">
        <v>74</v>
      </c>
      <c r="Q368" t="s">
        <v>74</v>
      </c>
      <c r="R368" t="s">
        <v>74</v>
      </c>
      <c r="S368" t="s">
        <v>74</v>
      </c>
      <c r="T368" t="s">
        <v>7142</v>
      </c>
      <c r="U368" t="s">
        <v>7143</v>
      </c>
      <c r="V368" t="s">
        <v>7144</v>
      </c>
      <c r="W368" t="s">
        <v>7145</v>
      </c>
      <c r="X368" t="s">
        <v>7146</v>
      </c>
      <c r="Y368" t="s">
        <v>7147</v>
      </c>
      <c r="Z368" t="s">
        <v>7148</v>
      </c>
      <c r="AA368" t="s">
        <v>7149</v>
      </c>
      <c r="AB368" t="s">
        <v>7150</v>
      </c>
      <c r="AC368" t="s">
        <v>7151</v>
      </c>
      <c r="AD368" t="s">
        <v>7151</v>
      </c>
      <c r="AE368" t="s">
        <v>7152</v>
      </c>
      <c r="AF368" t="s">
        <v>74</v>
      </c>
      <c r="AG368">
        <v>213</v>
      </c>
      <c r="AH368">
        <v>7</v>
      </c>
      <c r="AI368">
        <v>9</v>
      </c>
      <c r="AJ368">
        <v>1</v>
      </c>
      <c r="AK368">
        <v>6</v>
      </c>
      <c r="AL368" t="s">
        <v>1401</v>
      </c>
      <c r="AM368" t="s">
        <v>1402</v>
      </c>
      <c r="AN368" t="s">
        <v>1403</v>
      </c>
      <c r="AO368" t="s">
        <v>7153</v>
      </c>
      <c r="AP368" t="s">
        <v>7154</v>
      </c>
      <c r="AQ368" t="s">
        <v>7155</v>
      </c>
      <c r="AR368" t="s">
        <v>7156</v>
      </c>
      <c r="AS368" t="s">
        <v>74</v>
      </c>
      <c r="AT368" t="s">
        <v>74</v>
      </c>
      <c r="AU368">
        <v>2019</v>
      </c>
      <c r="AV368">
        <v>12</v>
      </c>
      <c r="AW368" t="s">
        <v>74</v>
      </c>
      <c r="AX368" t="s">
        <v>74</v>
      </c>
      <c r="AY368" t="s">
        <v>74</v>
      </c>
      <c r="AZ368" t="s">
        <v>74</v>
      </c>
      <c r="BA368" t="s">
        <v>74</v>
      </c>
      <c r="BB368">
        <v>219</v>
      </c>
      <c r="BC368">
        <v>253</v>
      </c>
      <c r="BD368" t="s">
        <v>74</v>
      </c>
      <c r="BE368" t="s">
        <v>7157</v>
      </c>
      <c r="BF368" t="str">
        <f>HYPERLINK("http://dx.doi.org/10.1007/978-981-13-6536-2_12","http://dx.doi.org/10.1007/978-981-13-6536-2_12")</f>
        <v>http://dx.doi.org/10.1007/978-981-13-6536-2_12</v>
      </c>
      <c r="BG368" t="s">
        <v>7158</v>
      </c>
      <c r="BH368" t="s">
        <v>74</v>
      </c>
      <c r="BI368">
        <v>35</v>
      </c>
      <c r="BJ368" t="s">
        <v>7159</v>
      </c>
      <c r="BK368" t="s">
        <v>159</v>
      </c>
      <c r="BL368" t="s">
        <v>7160</v>
      </c>
      <c r="BM368" t="s">
        <v>7161</v>
      </c>
      <c r="BN368" t="s">
        <v>74</v>
      </c>
      <c r="BO368" t="s">
        <v>74</v>
      </c>
      <c r="BP368" t="s">
        <v>74</v>
      </c>
      <c r="BQ368" t="s">
        <v>74</v>
      </c>
      <c r="BR368" t="s">
        <v>104</v>
      </c>
      <c r="BS368" t="s">
        <v>7162</v>
      </c>
      <c r="BT368" t="str">
        <f>HYPERLINK("https%3A%2F%2Fwww.webofscience.com%2Fwos%2Fwoscc%2Ffull-record%2FWOS:000555334300014","View Full Record in Web of Science")</f>
        <v>View Full Record in Web of Science</v>
      </c>
    </row>
    <row r="369" spans="1:72" x14ac:dyDescent="0.15">
      <c r="A369" t="s">
        <v>72</v>
      </c>
      <c r="B369" t="s">
        <v>7163</v>
      </c>
      <c r="C369" t="s">
        <v>74</v>
      </c>
      <c r="D369" t="s">
        <v>74</v>
      </c>
      <c r="E369" t="s">
        <v>74</v>
      </c>
      <c r="F369" t="s">
        <v>7164</v>
      </c>
      <c r="G369" t="s">
        <v>74</v>
      </c>
      <c r="H369" t="s">
        <v>74</v>
      </c>
      <c r="I369" t="s">
        <v>7165</v>
      </c>
      <c r="J369" t="s">
        <v>1067</v>
      </c>
      <c r="K369" t="s">
        <v>74</v>
      </c>
      <c r="L369" t="s">
        <v>74</v>
      </c>
      <c r="M369" t="s">
        <v>78</v>
      </c>
      <c r="N369" t="s">
        <v>79</v>
      </c>
      <c r="O369" t="s">
        <v>74</v>
      </c>
      <c r="P369" t="s">
        <v>74</v>
      </c>
      <c r="Q369" t="s">
        <v>74</v>
      </c>
      <c r="R369" t="s">
        <v>74</v>
      </c>
      <c r="S369" t="s">
        <v>74</v>
      </c>
      <c r="T369" t="s">
        <v>7166</v>
      </c>
      <c r="U369" t="s">
        <v>7167</v>
      </c>
      <c r="V369" t="s">
        <v>7168</v>
      </c>
      <c r="W369" t="s">
        <v>7169</v>
      </c>
      <c r="X369" t="s">
        <v>7170</v>
      </c>
      <c r="Y369" t="s">
        <v>7171</v>
      </c>
      <c r="Z369" t="s">
        <v>7172</v>
      </c>
      <c r="AA369" t="s">
        <v>7173</v>
      </c>
      <c r="AB369" t="s">
        <v>7174</v>
      </c>
      <c r="AC369" t="s">
        <v>7175</v>
      </c>
      <c r="AD369" t="s">
        <v>7176</v>
      </c>
      <c r="AE369" t="s">
        <v>7177</v>
      </c>
      <c r="AF369" t="s">
        <v>74</v>
      </c>
      <c r="AG369">
        <v>31</v>
      </c>
      <c r="AH369">
        <v>6</v>
      </c>
      <c r="AI369">
        <v>7</v>
      </c>
      <c r="AJ369">
        <v>3</v>
      </c>
      <c r="AK369">
        <v>26</v>
      </c>
      <c r="AL369" t="s">
        <v>1079</v>
      </c>
      <c r="AM369" t="s">
        <v>1080</v>
      </c>
      <c r="AN369" t="s">
        <v>1106</v>
      </c>
      <c r="AO369" t="s">
        <v>1082</v>
      </c>
      <c r="AP369" t="s">
        <v>1083</v>
      </c>
      <c r="AQ369" t="s">
        <v>74</v>
      </c>
      <c r="AR369" t="s">
        <v>1084</v>
      </c>
      <c r="AS369" t="s">
        <v>1085</v>
      </c>
      <c r="AT369" t="s">
        <v>718</v>
      </c>
      <c r="AU369">
        <v>2019</v>
      </c>
      <c r="AV369">
        <v>42</v>
      </c>
      <c r="AW369">
        <v>1</v>
      </c>
      <c r="AX369" t="s">
        <v>74</v>
      </c>
      <c r="AY369" t="s">
        <v>74</v>
      </c>
      <c r="AZ369" t="s">
        <v>74</v>
      </c>
      <c r="BA369" t="s">
        <v>74</v>
      </c>
      <c r="BB369">
        <v>17</v>
      </c>
      <c r="BC369">
        <v>25</v>
      </c>
      <c r="BD369" t="s">
        <v>74</v>
      </c>
      <c r="BE369" t="s">
        <v>7178</v>
      </c>
      <c r="BF369" t="str">
        <f>HYPERLINK("http://dx.doi.org/10.1007/s00300-018-2404-4","http://dx.doi.org/10.1007/s00300-018-2404-4")</f>
        <v>http://dx.doi.org/10.1007/s00300-018-2404-4</v>
      </c>
      <c r="BG369" t="s">
        <v>74</v>
      </c>
      <c r="BH369" t="s">
        <v>74</v>
      </c>
      <c r="BI369">
        <v>9</v>
      </c>
      <c r="BJ369" t="s">
        <v>1087</v>
      </c>
      <c r="BK369" t="s">
        <v>101</v>
      </c>
      <c r="BL369" t="s">
        <v>102</v>
      </c>
      <c r="BM369" t="s">
        <v>5609</v>
      </c>
      <c r="BN369" t="s">
        <v>74</v>
      </c>
      <c r="BO369" t="s">
        <v>3540</v>
      </c>
      <c r="BP369" t="s">
        <v>74</v>
      </c>
      <c r="BQ369" t="s">
        <v>74</v>
      </c>
      <c r="BR369" t="s">
        <v>104</v>
      </c>
      <c r="BS369" t="s">
        <v>7179</v>
      </c>
      <c r="BT369" t="str">
        <f>HYPERLINK("https%3A%2F%2Fwww.webofscience.com%2Fwos%2Fwoscc%2Ffull-record%2FWOS:000455301900002","View Full Record in Web of Science")</f>
        <v>View Full Record in Web of Science</v>
      </c>
    </row>
    <row r="370" spans="1:72" x14ac:dyDescent="0.15">
      <c r="A370" t="s">
        <v>72</v>
      </c>
      <c r="B370" t="s">
        <v>7180</v>
      </c>
      <c r="C370" t="s">
        <v>74</v>
      </c>
      <c r="D370" t="s">
        <v>74</v>
      </c>
      <c r="E370" t="s">
        <v>74</v>
      </c>
      <c r="F370" t="s">
        <v>7181</v>
      </c>
      <c r="G370" t="s">
        <v>74</v>
      </c>
      <c r="H370" t="s">
        <v>74</v>
      </c>
      <c r="I370" t="s">
        <v>7182</v>
      </c>
      <c r="J370" t="s">
        <v>1067</v>
      </c>
      <c r="K370" t="s">
        <v>74</v>
      </c>
      <c r="L370" t="s">
        <v>74</v>
      </c>
      <c r="M370" t="s">
        <v>78</v>
      </c>
      <c r="N370" t="s">
        <v>79</v>
      </c>
      <c r="O370" t="s">
        <v>74</v>
      </c>
      <c r="P370" t="s">
        <v>74</v>
      </c>
      <c r="Q370" t="s">
        <v>74</v>
      </c>
      <c r="R370" t="s">
        <v>74</v>
      </c>
      <c r="S370" t="s">
        <v>74</v>
      </c>
      <c r="T370" t="s">
        <v>7183</v>
      </c>
      <c r="U370" t="s">
        <v>7184</v>
      </c>
      <c r="V370" t="s">
        <v>7185</v>
      </c>
      <c r="W370" t="s">
        <v>7186</v>
      </c>
      <c r="X370" t="s">
        <v>3057</v>
      </c>
      <c r="Y370" t="s">
        <v>7187</v>
      </c>
      <c r="Z370" t="s">
        <v>1179</v>
      </c>
      <c r="AA370" t="s">
        <v>7188</v>
      </c>
      <c r="AB370" t="s">
        <v>7189</v>
      </c>
      <c r="AC370" t="s">
        <v>7190</v>
      </c>
      <c r="AD370" t="s">
        <v>7191</v>
      </c>
      <c r="AE370" t="s">
        <v>7192</v>
      </c>
      <c r="AF370" t="s">
        <v>74</v>
      </c>
      <c r="AG370">
        <v>24</v>
      </c>
      <c r="AH370">
        <v>5</v>
      </c>
      <c r="AI370">
        <v>5</v>
      </c>
      <c r="AJ370">
        <v>1</v>
      </c>
      <c r="AK370">
        <v>11</v>
      </c>
      <c r="AL370" t="s">
        <v>1079</v>
      </c>
      <c r="AM370" t="s">
        <v>1080</v>
      </c>
      <c r="AN370" t="s">
        <v>1106</v>
      </c>
      <c r="AO370" t="s">
        <v>1082</v>
      </c>
      <c r="AP370" t="s">
        <v>1083</v>
      </c>
      <c r="AQ370" t="s">
        <v>74</v>
      </c>
      <c r="AR370" t="s">
        <v>1084</v>
      </c>
      <c r="AS370" t="s">
        <v>1085</v>
      </c>
      <c r="AT370" t="s">
        <v>718</v>
      </c>
      <c r="AU370">
        <v>2019</v>
      </c>
      <c r="AV370">
        <v>42</v>
      </c>
      <c r="AW370">
        <v>1</v>
      </c>
      <c r="AX370" t="s">
        <v>74</v>
      </c>
      <c r="AY370" t="s">
        <v>74</v>
      </c>
      <c r="AZ370" t="s">
        <v>74</v>
      </c>
      <c r="BA370" t="s">
        <v>74</v>
      </c>
      <c r="BB370">
        <v>225</v>
      </c>
      <c r="BC370">
        <v>229</v>
      </c>
      <c r="BD370" t="s">
        <v>74</v>
      </c>
      <c r="BE370" t="s">
        <v>7193</v>
      </c>
      <c r="BF370" t="str">
        <f>HYPERLINK("http://dx.doi.org/10.1007/s00300-018-2401-7","http://dx.doi.org/10.1007/s00300-018-2401-7")</f>
        <v>http://dx.doi.org/10.1007/s00300-018-2401-7</v>
      </c>
      <c r="BG370" t="s">
        <v>74</v>
      </c>
      <c r="BH370" t="s">
        <v>74</v>
      </c>
      <c r="BI370">
        <v>5</v>
      </c>
      <c r="BJ370" t="s">
        <v>1087</v>
      </c>
      <c r="BK370" t="s">
        <v>101</v>
      </c>
      <c r="BL370" t="s">
        <v>102</v>
      </c>
      <c r="BM370" t="s">
        <v>5609</v>
      </c>
      <c r="BN370" t="s">
        <v>74</v>
      </c>
      <c r="BO370" t="s">
        <v>404</v>
      </c>
      <c r="BP370" t="s">
        <v>74</v>
      </c>
      <c r="BQ370" t="s">
        <v>74</v>
      </c>
      <c r="BR370" t="s">
        <v>104</v>
      </c>
      <c r="BS370" t="s">
        <v>7194</v>
      </c>
      <c r="BT370" t="str">
        <f>HYPERLINK("https%3A%2F%2Fwww.webofscience.com%2Fwos%2Fwoscc%2Ffull-record%2FWOS:000455301900017","View Full Record in Web of Science")</f>
        <v>View Full Record in Web of Science</v>
      </c>
    </row>
    <row r="371" spans="1:72" x14ac:dyDescent="0.15">
      <c r="A371" t="s">
        <v>164</v>
      </c>
      <c r="B371" t="s">
        <v>7195</v>
      </c>
      <c r="C371" t="s">
        <v>74</v>
      </c>
      <c r="D371" t="s">
        <v>7196</v>
      </c>
      <c r="E371" t="s">
        <v>74</v>
      </c>
      <c r="F371" t="s">
        <v>7197</v>
      </c>
      <c r="G371" t="s">
        <v>74</v>
      </c>
      <c r="H371" t="s">
        <v>74</v>
      </c>
      <c r="I371" t="s">
        <v>7198</v>
      </c>
      <c r="J371" t="s">
        <v>7199</v>
      </c>
      <c r="K371" t="s">
        <v>2780</v>
      </c>
      <c r="L371" t="s">
        <v>74</v>
      </c>
      <c r="M371" t="s">
        <v>78</v>
      </c>
      <c r="N371" t="s">
        <v>172</v>
      </c>
      <c r="O371" t="s">
        <v>7200</v>
      </c>
      <c r="P371" t="s">
        <v>7201</v>
      </c>
      <c r="Q371" t="s">
        <v>7202</v>
      </c>
      <c r="R371" t="s">
        <v>74</v>
      </c>
      <c r="S371" t="s">
        <v>74</v>
      </c>
      <c r="T371" t="s">
        <v>74</v>
      </c>
      <c r="U371" t="s">
        <v>7203</v>
      </c>
      <c r="V371" t="s">
        <v>7204</v>
      </c>
      <c r="W371" t="s">
        <v>7205</v>
      </c>
      <c r="X371" t="s">
        <v>7206</v>
      </c>
      <c r="Y371" t="s">
        <v>7207</v>
      </c>
      <c r="Z371" t="s">
        <v>7208</v>
      </c>
      <c r="AA371" t="s">
        <v>7209</v>
      </c>
      <c r="AB371" t="s">
        <v>7210</v>
      </c>
      <c r="AC371" t="s">
        <v>7211</v>
      </c>
      <c r="AD371" t="s">
        <v>7212</v>
      </c>
      <c r="AE371" t="s">
        <v>7213</v>
      </c>
      <c r="AF371" t="s">
        <v>74</v>
      </c>
      <c r="AG371">
        <v>5</v>
      </c>
      <c r="AH371">
        <v>0</v>
      </c>
      <c r="AI371">
        <v>0</v>
      </c>
      <c r="AJ371">
        <v>0</v>
      </c>
      <c r="AK371">
        <v>0</v>
      </c>
      <c r="AL371" t="s">
        <v>2795</v>
      </c>
      <c r="AM371" t="s">
        <v>2796</v>
      </c>
      <c r="AN371" t="s">
        <v>2797</v>
      </c>
      <c r="AO371" t="s">
        <v>2798</v>
      </c>
      <c r="AP371" t="s">
        <v>74</v>
      </c>
      <c r="AQ371" t="s">
        <v>7214</v>
      </c>
      <c r="AR371" t="s">
        <v>2800</v>
      </c>
      <c r="AS371" t="s">
        <v>74</v>
      </c>
      <c r="AT371" t="s">
        <v>74</v>
      </c>
      <c r="AU371">
        <v>2019</v>
      </c>
      <c r="AV371">
        <v>2186</v>
      </c>
      <c r="AW371" t="s">
        <v>74</v>
      </c>
      <c r="AX371" t="s">
        <v>74</v>
      </c>
      <c r="AY371" t="s">
        <v>74</v>
      </c>
      <c r="AZ371" t="s">
        <v>74</v>
      </c>
      <c r="BA371" t="s">
        <v>74</v>
      </c>
      <c r="BB371" t="s">
        <v>74</v>
      </c>
      <c r="BC371" t="s">
        <v>74</v>
      </c>
      <c r="BD371">
        <v>120010</v>
      </c>
      <c r="BE371" t="s">
        <v>7215</v>
      </c>
      <c r="BF371" t="str">
        <f>HYPERLINK("http://dx.doi.org/10.1063/1.5138041","http://dx.doi.org/10.1063/1.5138041")</f>
        <v>http://dx.doi.org/10.1063/1.5138041</v>
      </c>
      <c r="BG371" t="s">
        <v>74</v>
      </c>
      <c r="BH371" t="s">
        <v>74</v>
      </c>
      <c r="BI371">
        <v>4</v>
      </c>
      <c r="BJ371" t="s">
        <v>7216</v>
      </c>
      <c r="BK371" t="s">
        <v>190</v>
      </c>
      <c r="BL371" t="s">
        <v>6546</v>
      </c>
      <c r="BM371" t="s">
        <v>7217</v>
      </c>
      <c r="BN371" t="s">
        <v>74</v>
      </c>
      <c r="BO371" t="s">
        <v>74</v>
      </c>
      <c r="BP371" t="s">
        <v>74</v>
      </c>
      <c r="BQ371" t="s">
        <v>74</v>
      </c>
      <c r="BR371" t="s">
        <v>104</v>
      </c>
      <c r="BS371" t="s">
        <v>7218</v>
      </c>
      <c r="BT371" t="str">
        <f>HYPERLINK("https%3A%2F%2Fwww.webofscience.com%2Fwos%2Fwoscc%2Ffull-record%2FWOS:000619245800121","View Full Record in Web of Science")</f>
        <v>View Full Record in Web of Science</v>
      </c>
    </row>
    <row r="372" spans="1:72" x14ac:dyDescent="0.15">
      <c r="A372" t="s">
        <v>72</v>
      </c>
      <c r="B372" t="s">
        <v>7219</v>
      </c>
      <c r="C372" t="s">
        <v>74</v>
      </c>
      <c r="D372" t="s">
        <v>74</v>
      </c>
      <c r="E372" t="s">
        <v>74</v>
      </c>
      <c r="F372" t="s">
        <v>7220</v>
      </c>
      <c r="G372" t="s">
        <v>74</v>
      </c>
      <c r="H372" t="s">
        <v>74</v>
      </c>
      <c r="I372" t="s">
        <v>7221</v>
      </c>
      <c r="J372" t="s">
        <v>1460</v>
      </c>
      <c r="K372" t="s">
        <v>74</v>
      </c>
      <c r="L372" t="s">
        <v>74</v>
      </c>
      <c r="M372" t="s">
        <v>78</v>
      </c>
      <c r="N372" t="s">
        <v>79</v>
      </c>
      <c r="O372" t="s">
        <v>74</v>
      </c>
      <c r="P372" t="s">
        <v>74</v>
      </c>
      <c r="Q372" t="s">
        <v>74</v>
      </c>
      <c r="R372" t="s">
        <v>74</v>
      </c>
      <c r="S372" t="s">
        <v>74</v>
      </c>
      <c r="T372" t="s">
        <v>7222</v>
      </c>
      <c r="U372" t="s">
        <v>7223</v>
      </c>
      <c r="V372" t="s">
        <v>7224</v>
      </c>
      <c r="W372" t="s">
        <v>7225</v>
      </c>
      <c r="X372" t="s">
        <v>7226</v>
      </c>
      <c r="Y372" t="s">
        <v>7227</v>
      </c>
      <c r="Z372" t="s">
        <v>4334</v>
      </c>
      <c r="AA372" t="s">
        <v>7228</v>
      </c>
      <c r="AB372" t="s">
        <v>7229</v>
      </c>
      <c r="AC372" t="s">
        <v>7230</v>
      </c>
      <c r="AD372" t="s">
        <v>7231</v>
      </c>
      <c r="AE372" t="s">
        <v>7232</v>
      </c>
      <c r="AF372" t="s">
        <v>74</v>
      </c>
      <c r="AG372">
        <v>79</v>
      </c>
      <c r="AH372">
        <v>9</v>
      </c>
      <c r="AI372">
        <v>9</v>
      </c>
      <c r="AJ372">
        <v>2</v>
      </c>
      <c r="AK372">
        <v>21</v>
      </c>
      <c r="AL372" t="s">
        <v>1473</v>
      </c>
      <c r="AM372" t="s">
        <v>1080</v>
      </c>
      <c r="AN372" t="s">
        <v>1474</v>
      </c>
      <c r="AO372" t="s">
        <v>1475</v>
      </c>
      <c r="AP372" t="s">
        <v>1476</v>
      </c>
      <c r="AQ372" t="s">
        <v>74</v>
      </c>
      <c r="AR372" t="s">
        <v>1477</v>
      </c>
      <c r="AS372" t="s">
        <v>1478</v>
      </c>
      <c r="AT372" t="s">
        <v>718</v>
      </c>
      <c r="AU372">
        <v>2019</v>
      </c>
      <c r="AV372">
        <v>91</v>
      </c>
      <c r="AW372">
        <v>1</v>
      </c>
      <c r="AX372" t="s">
        <v>74</v>
      </c>
      <c r="AY372" t="s">
        <v>74</v>
      </c>
      <c r="AZ372" t="s">
        <v>74</v>
      </c>
      <c r="BA372" t="s">
        <v>74</v>
      </c>
      <c r="BB372">
        <v>132</v>
      </c>
      <c r="BC372">
        <v>148</v>
      </c>
      <c r="BD372" t="s">
        <v>7233</v>
      </c>
      <c r="BE372" t="s">
        <v>7234</v>
      </c>
      <c r="BF372" t="str">
        <f>HYPERLINK("http://dx.doi.org/10.1017/qua.2018.85","http://dx.doi.org/10.1017/qua.2018.85")</f>
        <v>http://dx.doi.org/10.1017/qua.2018.85</v>
      </c>
      <c r="BG372" t="s">
        <v>74</v>
      </c>
      <c r="BH372" t="s">
        <v>74</v>
      </c>
      <c r="BI372">
        <v>17</v>
      </c>
      <c r="BJ372" t="s">
        <v>1480</v>
      </c>
      <c r="BK372" t="s">
        <v>101</v>
      </c>
      <c r="BL372" t="s">
        <v>1481</v>
      </c>
      <c r="BM372" t="s">
        <v>1482</v>
      </c>
      <c r="BN372" t="s">
        <v>74</v>
      </c>
      <c r="BO372" t="s">
        <v>2948</v>
      </c>
      <c r="BP372" t="s">
        <v>74</v>
      </c>
      <c r="BQ372" t="s">
        <v>74</v>
      </c>
      <c r="BR372" t="s">
        <v>104</v>
      </c>
      <c r="BS372" t="s">
        <v>7235</v>
      </c>
      <c r="BT372" t="str">
        <f>HYPERLINK("https%3A%2F%2Fwww.webofscience.com%2Fwos%2Fwoscc%2Ffull-record%2FWOS:000488837500010","View Full Record in Web of Science")</f>
        <v>View Full Record in Web of Science</v>
      </c>
    </row>
    <row r="373" spans="1:72" x14ac:dyDescent="0.15">
      <c r="A373" t="s">
        <v>72</v>
      </c>
      <c r="B373" t="s">
        <v>7236</v>
      </c>
      <c r="C373" t="s">
        <v>74</v>
      </c>
      <c r="D373" t="s">
        <v>74</v>
      </c>
      <c r="E373" t="s">
        <v>74</v>
      </c>
      <c r="F373" t="s">
        <v>7237</v>
      </c>
      <c r="G373" t="s">
        <v>74</v>
      </c>
      <c r="H373" t="s">
        <v>74</v>
      </c>
      <c r="I373" t="s">
        <v>7238</v>
      </c>
      <c r="J373" t="s">
        <v>7239</v>
      </c>
      <c r="K373" t="s">
        <v>74</v>
      </c>
      <c r="L373" t="s">
        <v>74</v>
      </c>
      <c r="M373" t="s">
        <v>2470</v>
      </c>
      <c r="N373" t="s">
        <v>79</v>
      </c>
      <c r="O373" t="s">
        <v>74</v>
      </c>
      <c r="P373" t="s">
        <v>74</v>
      </c>
      <c r="Q373" t="s">
        <v>74</v>
      </c>
      <c r="R373" t="s">
        <v>74</v>
      </c>
      <c r="S373" t="s">
        <v>74</v>
      </c>
      <c r="T373" t="s">
        <v>7240</v>
      </c>
      <c r="U373" t="s">
        <v>7241</v>
      </c>
      <c r="V373" t="s">
        <v>7242</v>
      </c>
      <c r="W373" t="s">
        <v>7243</v>
      </c>
      <c r="X373" t="s">
        <v>7244</v>
      </c>
      <c r="Y373" t="s">
        <v>7245</v>
      </c>
      <c r="Z373" t="s">
        <v>7246</v>
      </c>
      <c r="AA373" t="s">
        <v>6716</v>
      </c>
      <c r="AB373" t="s">
        <v>6717</v>
      </c>
      <c r="AC373" t="s">
        <v>74</v>
      </c>
      <c r="AD373" t="s">
        <v>74</v>
      </c>
      <c r="AE373" t="s">
        <v>74</v>
      </c>
      <c r="AF373" t="s">
        <v>74</v>
      </c>
      <c r="AG373">
        <v>87</v>
      </c>
      <c r="AH373">
        <v>0</v>
      </c>
      <c r="AI373">
        <v>0</v>
      </c>
      <c r="AJ373">
        <v>0</v>
      </c>
      <c r="AK373">
        <v>0</v>
      </c>
      <c r="AL373" t="s">
        <v>7247</v>
      </c>
      <c r="AM373" t="s">
        <v>7248</v>
      </c>
      <c r="AN373" t="s">
        <v>7249</v>
      </c>
      <c r="AO373" t="s">
        <v>7250</v>
      </c>
      <c r="AP373" t="s">
        <v>7251</v>
      </c>
      <c r="AQ373" t="s">
        <v>74</v>
      </c>
      <c r="AR373" t="s">
        <v>7252</v>
      </c>
      <c r="AS373" t="s">
        <v>7253</v>
      </c>
      <c r="AT373" t="s">
        <v>7254</v>
      </c>
      <c r="AU373">
        <v>2019</v>
      </c>
      <c r="AV373">
        <v>13</v>
      </c>
      <c r="AW373">
        <v>1</v>
      </c>
      <c r="AX373" t="s">
        <v>74</v>
      </c>
      <c r="AY373" t="s">
        <v>74</v>
      </c>
      <c r="AZ373" t="s">
        <v>4266</v>
      </c>
      <c r="BA373" t="s">
        <v>74</v>
      </c>
      <c r="BB373">
        <v>83</v>
      </c>
      <c r="BC373">
        <v>114</v>
      </c>
      <c r="BD373" t="s">
        <v>74</v>
      </c>
      <c r="BE373" t="s">
        <v>74</v>
      </c>
      <c r="BF373" t="s">
        <v>74</v>
      </c>
      <c r="BG373" t="s">
        <v>74</v>
      </c>
      <c r="BH373" t="s">
        <v>74</v>
      </c>
      <c r="BI373">
        <v>32</v>
      </c>
      <c r="BJ373" t="s">
        <v>3973</v>
      </c>
      <c r="BK373" t="s">
        <v>349</v>
      </c>
      <c r="BL373" t="s">
        <v>3973</v>
      </c>
      <c r="BM373" t="s">
        <v>7255</v>
      </c>
      <c r="BN373" t="s">
        <v>74</v>
      </c>
      <c r="BO373" t="s">
        <v>74</v>
      </c>
      <c r="BP373" t="s">
        <v>74</v>
      </c>
      <c r="BQ373" t="s">
        <v>74</v>
      </c>
      <c r="BR373" t="s">
        <v>104</v>
      </c>
      <c r="BS373" t="s">
        <v>7256</v>
      </c>
      <c r="BT373" t="str">
        <f>HYPERLINK("https%3A%2F%2Fwww.webofscience.com%2Fwos%2Fwoscc%2Ffull-record%2FWOS:000505215800005","View Full Record in Web of Science")</f>
        <v>View Full Record in Web of Science</v>
      </c>
    </row>
    <row r="374" spans="1:72" x14ac:dyDescent="0.15">
      <c r="A374" t="s">
        <v>72</v>
      </c>
      <c r="B374" t="s">
        <v>7257</v>
      </c>
      <c r="C374" t="s">
        <v>74</v>
      </c>
      <c r="D374" t="s">
        <v>74</v>
      </c>
      <c r="E374" t="s">
        <v>74</v>
      </c>
      <c r="F374" t="s">
        <v>7258</v>
      </c>
      <c r="G374" t="s">
        <v>74</v>
      </c>
      <c r="H374" t="s">
        <v>74</v>
      </c>
      <c r="I374" t="s">
        <v>7259</v>
      </c>
      <c r="J374" t="s">
        <v>7260</v>
      </c>
      <c r="K374" t="s">
        <v>74</v>
      </c>
      <c r="L374" t="s">
        <v>74</v>
      </c>
      <c r="M374" t="s">
        <v>7261</v>
      </c>
      <c r="N374" t="s">
        <v>79</v>
      </c>
      <c r="O374" t="s">
        <v>74</v>
      </c>
      <c r="P374" t="s">
        <v>74</v>
      </c>
      <c r="Q374" t="s">
        <v>74</v>
      </c>
      <c r="R374" t="s">
        <v>74</v>
      </c>
      <c r="S374" t="s">
        <v>74</v>
      </c>
      <c r="T374" t="s">
        <v>7262</v>
      </c>
      <c r="U374" t="s">
        <v>74</v>
      </c>
      <c r="V374" t="s">
        <v>7263</v>
      </c>
      <c r="W374" t="s">
        <v>7264</v>
      </c>
      <c r="X374" t="s">
        <v>7265</v>
      </c>
      <c r="Y374" t="s">
        <v>7266</v>
      </c>
      <c r="Z374" t="s">
        <v>7267</v>
      </c>
      <c r="AA374" t="s">
        <v>7268</v>
      </c>
      <c r="AB374" t="s">
        <v>7269</v>
      </c>
      <c r="AC374" t="s">
        <v>74</v>
      </c>
      <c r="AD374" t="s">
        <v>74</v>
      </c>
      <c r="AE374" t="s">
        <v>74</v>
      </c>
      <c r="AF374" t="s">
        <v>74</v>
      </c>
      <c r="AG374">
        <v>4</v>
      </c>
      <c r="AH374">
        <v>0</v>
      </c>
      <c r="AI374">
        <v>0</v>
      </c>
      <c r="AJ374">
        <v>0</v>
      </c>
      <c r="AK374">
        <v>7</v>
      </c>
      <c r="AL374" t="s">
        <v>7270</v>
      </c>
      <c r="AM374" t="s">
        <v>7271</v>
      </c>
      <c r="AN374" t="s">
        <v>7272</v>
      </c>
      <c r="AO374" t="s">
        <v>7273</v>
      </c>
      <c r="AP374" t="s">
        <v>7274</v>
      </c>
      <c r="AQ374" t="s">
        <v>74</v>
      </c>
      <c r="AR374" t="s">
        <v>7275</v>
      </c>
      <c r="AS374" t="s">
        <v>7276</v>
      </c>
      <c r="AT374" t="s">
        <v>74</v>
      </c>
      <c r="AU374">
        <v>2019</v>
      </c>
      <c r="AV374">
        <v>80</v>
      </c>
      <c r="AW374" t="s">
        <v>74</v>
      </c>
      <c r="AX374">
        <v>3</v>
      </c>
      <c r="AY374" t="s">
        <v>74</v>
      </c>
      <c r="AZ374" t="s">
        <v>74</v>
      </c>
      <c r="BA374" t="s">
        <v>74</v>
      </c>
      <c r="BB374">
        <v>209</v>
      </c>
      <c r="BC374">
        <v>211</v>
      </c>
      <c r="BD374" t="s">
        <v>74</v>
      </c>
      <c r="BE374" t="s">
        <v>74</v>
      </c>
      <c r="BF374" t="s">
        <v>74</v>
      </c>
      <c r="BG374" t="s">
        <v>74</v>
      </c>
      <c r="BH374" t="s">
        <v>74</v>
      </c>
      <c r="BI374">
        <v>3</v>
      </c>
      <c r="BJ374" t="s">
        <v>884</v>
      </c>
      <c r="BK374" t="s">
        <v>349</v>
      </c>
      <c r="BL374" t="s">
        <v>528</v>
      </c>
      <c r="BM374" t="s">
        <v>7277</v>
      </c>
      <c r="BN374" t="s">
        <v>74</v>
      </c>
      <c r="BO374" t="s">
        <v>74</v>
      </c>
      <c r="BP374" t="s">
        <v>74</v>
      </c>
      <c r="BQ374" t="s">
        <v>74</v>
      </c>
      <c r="BR374" t="s">
        <v>104</v>
      </c>
      <c r="BS374" t="s">
        <v>7278</v>
      </c>
      <c r="BT374" t="str">
        <f>HYPERLINK("https%3A%2F%2Fwww.webofscience.com%2Fwos%2Fwoscc%2Ffull-record%2FWOS:000670431500063","View Full Record in Web of Science")</f>
        <v>View Full Record in Web of Science</v>
      </c>
    </row>
    <row r="375" spans="1:72" x14ac:dyDescent="0.15">
      <c r="A375" t="s">
        <v>390</v>
      </c>
      <c r="B375" t="s">
        <v>7279</v>
      </c>
      <c r="C375" t="s">
        <v>74</v>
      </c>
      <c r="D375" t="s">
        <v>7280</v>
      </c>
      <c r="E375" t="s">
        <v>74</v>
      </c>
      <c r="F375" t="s">
        <v>7281</v>
      </c>
      <c r="G375" t="s">
        <v>74</v>
      </c>
      <c r="H375" t="s">
        <v>74</v>
      </c>
      <c r="I375" t="s">
        <v>7282</v>
      </c>
      <c r="J375" t="s">
        <v>7283</v>
      </c>
      <c r="K375" t="s">
        <v>7284</v>
      </c>
      <c r="L375" t="s">
        <v>74</v>
      </c>
      <c r="M375" t="s">
        <v>78</v>
      </c>
      <c r="N375" t="s">
        <v>140</v>
      </c>
      <c r="O375" t="s">
        <v>74</v>
      </c>
      <c r="P375" t="s">
        <v>74</v>
      </c>
      <c r="Q375" t="s">
        <v>74</v>
      </c>
      <c r="R375" t="s">
        <v>74</v>
      </c>
      <c r="S375" t="s">
        <v>74</v>
      </c>
      <c r="T375" t="s">
        <v>74</v>
      </c>
      <c r="U375" t="s">
        <v>7285</v>
      </c>
      <c r="V375" t="s">
        <v>7286</v>
      </c>
      <c r="W375" t="s">
        <v>7287</v>
      </c>
      <c r="X375" t="s">
        <v>7288</v>
      </c>
      <c r="Y375" t="s">
        <v>7289</v>
      </c>
      <c r="Z375" t="s">
        <v>7290</v>
      </c>
      <c r="AA375" t="s">
        <v>74</v>
      </c>
      <c r="AB375" t="s">
        <v>74</v>
      </c>
      <c r="AC375" t="s">
        <v>74</v>
      </c>
      <c r="AD375" t="s">
        <v>74</v>
      </c>
      <c r="AE375" t="s">
        <v>74</v>
      </c>
      <c r="AF375" t="s">
        <v>74</v>
      </c>
      <c r="AG375">
        <v>114</v>
      </c>
      <c r="AH375">
        <v>8</v>
      </c>
      <c r="AI375">
        <v>11</v>
      </c>
      <c r="AJ375">
        <v>1</v>
      </c>
      <c r="AK375">
        <v>2</v>
      </c>
      <c r="AL375" t="s">
        <v>1203</v>
      </c>
      <c r="AM375" t="s">
        <v>1204</v>
      </c>
      <c r="AN375" t="s">
        <v>1205</v>
      </c>
      <c r="AO375" t="s">
        <v>74</v>
      </c>
      <c r="AP375" t="s">
        <v>74</v>
      </c>
      <c r="AQ375" t="s">
        <v>7291</v>
      </c>
      <c r="AR375" t="s">
        <v>7292</v>
      </c>
      <c r="AS375" t="s">
        <v>74</v>
      </c>
      <c r="AT375" t="s">
        <v>74</v>
      </c>
      <c r="AU375">
        <v>2019</v>
      </c>
      <c r="AV375" t="s">
        <v>74</v>
      </c>
      <c r="AW375" t="s">
        <v>74</v>
      </c>
      <c r="AX375" t="s">
        <v>74</v>
      </c>
      <c r="AY375" t="s">
        <v>74</v>
      </c>
      <c r="AZ375" t="s">
        <v>74</v>
      </c>
      <c r="BA375" t="s">
        <v>74</v>
      </c>
      <c r="BB375">
        <v>337</v>
      </c>
      <c r="BC375">
        <v>352</v>
      </c>
      <c r="BD375" t="s">
        <v>74</v>
      </c>
      <c r="BE375" t="s">
        <v>7293</v>
      </c>
      <c r="BF375" t="str">
        <f>HYPERLINK("http://dx.doi.org/10.1007/978-3-030-14796-9_14","http://dx.doi.org/10.1007/978-3-030-14796-9_14")</f>
        <v>http://dx.doi.org/10.1007/978-3-030-14796-9_14</v>
      </c>
      <c r="BG375" t="s">
        <v>7294</v>
      </c>
      <c r="BH375" t="s">
        <v>74</v>
      </c>
      <c r="BI375">
        <v>16</v>
      </c>
      <c r="BJ375" t="s">
        <v>4119</v>
      </c>
      <c r="BK375" t="s">
        <v>159</v>
      </c>
      <c r="BL375" t="s">
        <v>4119</v>
      </c>
      <c r="BM375" t="s">
        <v>7295</v>
      </c>
      <c r="BN375" t="s">
        <v>74</v>
      </c>
      <c r="BO375" t="s">
        <v>74</v>
      </c>
      <c r="BP375" t="s">
        <v>74</v>
      </c>
      <c r="BQ375" t="s">
        <v>74</v>
      </c>
      <c r="BR375" t="s">
        <v>104</v>
      </c>
      <c r="BS375" t="s">
        <v>7296</v>
      </c>
      <c r="BT375" t="str">
        <f>HYPERLINK("https%3A%2F%2Fwww.webofscience.com%2Fwos%2Fwoscc%2Ffull-record%2FWOS:000647054800019","View Full Record in Web of Science")</f>
        <v>View Full Record in Web of Science</v>
      </c>
    </row>
    <row r="376" spans="1:72" x14ac:dyDescent="0.15">
      <c r="A376" t="s">
        <v>164</v>
      </c>
      <c r="B376" t="s">
        <v>7297</v>
      </c>
      <c r="C376" t="s">
        <v>74</v>
      </c>
      <c r="D376" t="s">
        <v>7298</v>
      </c>
      <c r="E376" t="s">
        <v>74</v>
      </c>
      <c r="F376" t="s">
        <v>7299</v>
      </c>
      <c r="G376" t="s">
        <v>74</v>
      </c>
      <c r="H376" t="s">
        <v>74</v>
      </c>
      <c r="I376" t="s">
        <v>7300</v>
      </c>
      <c r="J376" t="s">
        <v>7301</v>
      </c>
      <c r="K376" t="s">
        <v>74</v>
      </c>
      <c r="L376" t="s">
        <v>74</v>
      </c>
      <c r="M376" t="s">
        <v>78</v>
      </c>
      <c r="N376" t="s">
        <v>172</v>
      </c>
      <c r="O376" t="s">
        <v>7302</v>
      </c>
      <c r="P376" t="s">
        <v>7303</v>
      </c>
      <c r="Q376" t="s">
        <v>7304</v>
      </c>
      <c r="R376" t="s">
        <v>74</v>
      </c>
      <c r="S376" t="s">
        <v>74</v>
      </c>
      <c r="T376" t="s">
        <v>74</v>
      </c>
      <c r="U376" t="s">
        <v>74</v>
      </c>
      <c r="V376" t="s">
        <v>7305</v>
      </c>
      <c r="W376" t="s">
        <v>7306</v>
      </c>
      <c r="X376" t="s">
        <v>7307</v>
      </c>
      <c r="Y376" t="s">
        <v>7308</v>
      </c>
      <c r="Z376" t="s">
        <v>74</v>
      </c>
      <c r="AA376" t="s">
        <v>74</v>
      </c>
      <c r="AB376" t="s">
        <v>74</v>
      </c>
      <c r="AC376" t="s">
        <v>7309</v>
      </c>
      <c r="AD376" t="s">
        <v>7310</v>
      </c>
      <c r="AE376" t="s">
        <v>7311</v>
      </c>
      <c r="AF376" t="s">
        <v>74</v>
      </c>
      <c r="AG376">
        <v>9</v>
      </c>
      <c r="AH376">
        <v>2</v>
      </c>
      <c r="AI376">
        <v>2</v>
      </c>
      <c r="AJ376">
        <v>0</v>
      </c>
      <c r="AK376">
        <v>0</v>
      </c>
      <c r="AL376" t="s">
        <v>546</v>
      </c>
      <c r="AM376" t="s">
        <v>547</v>
      </c>
      <c r="AN376" t="s">
        <v>548</v>
      </c>
      <c r="AO376" t="s">
        <v>74</v>
      </c>
      <c r="AP376" t="s">
        <v>74</v>
      </c>
      <c r="AQ376" t="s">
        <v>7312</v>
      </c>
      <c r="AR376" t="s">
        <v>74</v>
      </c>
      <c r="AS376" t="s">
        <v>74</v>
      </c>
      <c r="AT376" t="s">
        <v>74</v>
      </c>
      <c r="AU376">
        <v>2019</v>
      </c>
      <c r="AV376" t="s">
        <v>74</v>
      </c>
      <c r="AW376" t="s">
        <v>74</v>
      </c>
      <c r="AX376" t="s">
        <v>74</v>
      </c>
      <c r="AY376" t="s">
        <v>74</v>
      </c>
      <c r="AZ376" t="s">
        <v>74</v>
      </c>
      <c r="BA376" t="s">
        <v>74</v>
      </c>
      <c r="BB376">
        <v>245</v>
      </c>
      <c r="BC376">
        <v>252</v>
      </c>
      <c r="BD376" t="s">
        <v>74</v>
      </c>
      <c r="BE376" t="s">
        <v>74</v>
      </c>
      <c r="BF376" t="s">
        <v>74</v>
      </c>
      <c r="BG376" t="s">
        <v>74</v>
      </c>
      <c r="BH376" t="s">
        <v>74</v>
      </c>
      <c r="BI376">
        <v>8</v>
      </c>
      <c r="BJ376" t="s">
        <v>7313</v>
      </c>
      <c r="BK376" t="s">
        <v>190</v>
      </c>
      <c r="BL376" t="s">
        <v>7314</v>
      </c>
      <c r="BM376" t="s">
        <v>7315</v>
      </c>
      <c r="BN376" t="s">
        <v>74</v>
      </c>
      <c r="BO376" t="s">
        <v>74</v>
      </c>
      <c r="BP376" t="s">
        <v>74</v>
      </c>
      <c r="BQ376" t="s">
        <v>74</v>
      </c>
      <c r="BR376" t="s">
        <v>104</v>
      </c>
      <c r="BS376" t="s">
        <v>7316</v>
      </c>
      <c r="BT376" t="str">
        <f>HYPERLINK("https%3A%2F%2Fwww.webofscience.com%2Fwos%2Fwoscc%2Ffull-record%2FWOS:000620329300031","View Full Record in Web of Science")</f>
        <v>View Full Record in Web of Science</v>
      </c>
    </row>
    <row r="377" spans="1:72" x14ac:dyDescent="0.15">
      <c r="A377" t="s">
        <v>164</v>
      </c>
      <c r="B377" t="s">
        <v>7317</v>
      </c>
      <c r="C377" t="s">
        <v>74</v>
      </c>
      <c r="D377" t="s">
        <v>7318</v>
      </c>
      <c r="E377" t="s">
        <v>74</v>
      </c>
      <c r="F377" t="s">
        <v>7319</v>
      </c>
      <c r="G377" t="s">
        <v>74</v>
      </c>
      <c r="H377" t="s">
        <v>74</v>
      </c>
      <c r="I377" t="s">
        <v>7320</v>
      </c>
      <c r="J377" t="s">
        <v>7321</v>
      </c>
      <c r="K377" t="s">
        <v>7322</v>
      </c>
      <c r="L377" t="s">
        <v>74</v>
      </c>
      <c r="M377" t="s">
        <v>78</v>
      </c>
      <c r="N377" t="s">
        <v>172</v>
      </c>
      <c r="O377" t="s">
        <v>7323</v>
      </c>
      <c r="P377" t="s">
        <v>7324</v>
      </c>
      <c r="Q377" t="s">
        <v>7325</v>
      </c>
      <c r="R377" t="s">
        <v>74</v>
      </c>
      <c r="S377" t="s">
        <v>74</v>
      </c>
      <c r="T377" t="s">
        <v>7326</v>
      </c>
      <c r="U377" t="s">
        <v>7327</v>
      </c>
      <c r="V377" t="s">
        <v>7328</v>
      </c>
      <c r="W377" t="s">
        <v>7329</v>
      </c>
      <c r="X377" t="s">
        <v>7330</v>
      </c>
      <c r="Y377" t="s">
        <v>7331</v>
      </c>
      <c r="Z377" t="s">
        <v>7332</v>
      </c>
      <c r="AA377" t="s">
        <v>7333</v>
      </c>
      <c r="AB377" t="s">
        <v>74</v>
      </c>
      <c r="AC377" t="s">
        <v>74</v>
      </c>
      <c r="AD377" t="s">
        <v>74</v>
      </c>
      <c r="AE377" t="s">
        <v>74</v>
      </c>
      <c r="AF377" t="s">
        <v>74</v>
      </c>
      <c r="AG377">
        <v>24</v>
      </c>
      <c r="AH377">
        <v>1</v>
      </c>
      <c r="AI377">
        <v>1</v>
      </c>
      <c r="AJ377">
        <v>1</v>
      </c>
      <c r="AK377">
        <v>1</v>
      </c>
      <c r="AL377" t="s">
        <v>7334</v>
      </c>
      <c r="AM377" t="s">
        <v>7335</v>
      </c>
      <c r="AN377" t="s">
        <v>7336</v>
      </c>
      <c r="AO377" t="s">
        <v>7337</v>
      </c>
      <c r="AP377" t="s">
        <v>7338</v>
      </c>
      <c r="AQ377" t="s">
        <v>7339</v>
      </c>
      <c r="AR377" t="s">
        <v>7340</v>
      </c>
      <c r="AS377" t="s">
        <v>74</v>
      </c>
      <c r="AT377" t="s">
        <v>74</v>
      </c>
      <c r="AU377">
        <v>2019</v>
      </c>
      <c r="AV377">
        <v>1252</v>
      </c>
      <c r="AW377" t="s">
        <v>74</v>
      </c>
      <c r="AX377" t="s">
        <v>74</v>
      </c>
      <c r="AY377" t="s">
        <v>74</v>
      </c>
      <c r="AZ377" t="s">
        <v>74</v>
      </c>
      <c r="BA377" t="s">
        <v>74</v>
      </c>
      <c r="BB377">
        <v>163</v>
      </c>
      <c r="BC377">
        <v>172</v>
      </c>
      <c r="BD377" t="s">
        <v>74</v>
      </c>
      <c r="BE377" t="s">
        <v>7341</v>
      </c>
      <c r="BF377" t="str">
        <f>HYPERLINK("http://dx.doi.org/10.17660/ActaHortic.2019.1252.22","http://dx.doi.org/10.17660/ActaHortic.2019.1252.22")</f>
        <v>http://dx.doi.org/10.17660/ActaHortic.2019.1252.22</v>
      </c>
      <c r="BG377" t="s">
        <v>74</v>
      </c>
      <c r="BH377" t="s">
        <v>74</v>
      </c>
      <c r="BI377">
        <v>10</v>
      </c>
      <c r="BJ377" t="s">
        <v>7342</v>
      </c>
      <c r="BK377" t="s">
        <v>190</v>
      </c>
      <c r="BL377" t="s">
        <v>3409</v>
      </c>
      <c r="BM377" t="s">
        <v>7343</v>
      </c>
      <c r="BN377" t="s">
        <v>74</v>
      </c>
      <c r="BO377" t="s">
        <v>74</v>
      </c>
      <c r="BP377" t="s">
        <v>74</v>
      </c>
      <c r="BQ377" t="s">
        <v>74</v>
      </c>
      <c r="BR377" t="s">
        <v>104</v>
      </c>
      <c r="BS377" t="s">
        <v>7344</v>
      </c>
      <c r="BT377" t="str">
        <f>HYPERLINK("https%3A%2F%2Fwww.webofscience.com%2Fwos%2Fwoscc%2Ffull-record%2FWOS:000945550700022","View Full Record in Web of Science")</f>
        <v>View Full Record in Web of Science</v>
      </c>
    </row>
    <row r="378" spans="1:72" x14ac:dyDescent="0.15">
      <c r="A378" t="s">
        <v>72</v>
      </c>
      <c r="B378" t="s">
        <v>7345</v>
      </c>
      <c r="C378" t="s">
        <v>74</v>
      </c>
      <c r="D378" t="s">
        <v>74</v>
      </c>
      <c r="E378" t="s">
        <v>74</v>
      </c>
      <c r="F378" t="s">
        <v>7346</v>
      </c>
      <c r="G378" t="s">
        <v>74</v>
      </c>
      <c r="H378" t="s">
        <v>74</v>
      </c>
      <c r="I378" t="s">
        <v>7347</v>
      </c>
      <c r="J378" t="s">
        <v>7348</v>
      </c>
      <c r="K378" t="s">
        <v>74</v>
      </c>
      <c r="L378" t="s">
        <v>74</v>
      </c>
      <c r="M378" t="s">
        <v>78</v>
      </c>
      <c r="N378" t="s">
        <v>79</v>
      </c>
      <c r="O378" t="s">
        <v>74</v>
      </c>
      <c r="P378" t="s">
        <v>74</v>
      </c>
      <c r="Q378" t="s">
        <v>74</v>
      </c>
      <c r="R378" t="s">
        <v>74</v>
      </c>
      <c r="S378" t="s">
        <v>74</v>
      </c>
      <c r="T378" t="s">
        <v>7349</v>
      </c>
      <c r="U378" t="s">
        <v>7350</v>
      </c>
      <c r="V378" t="s">
        <v>7351</v>
      </c>
      <c r="W378" t="s">
        <v>7352</v>
      </c>
      <c r="X378" t="s">
        <v>7353</v>
      </c>
      <c r="Y378" t="s">
        <v>7354</v>
      </c>
      <c r="Z378" t="s">
        <v>7355</v>
      </c>
      <c r="AA378" t="s">
        <v>74</v>
      </c>
      <c r="AB378" t="s">
        <v>7356</v>
      </c>
      <c r="AC378" t="s">
        <v>7357</v>
      </c>
      <c r="AD378" t="s">
        <v>7358</v>
      </c>
      <c r="AE378" t="s">
        <v>7359</v>
      </c>
      <c r="AF378" t="s">
        <v>74</v>
      </c>
      <c r="AG378">
        <v>56</v>
      </c>
      <c r="AH378">
        <v>10</v>
      </c>
      <c r="AI378">
        <v>12</v>
      </c>
      <c r="AJ378">
        <v>5</v>
      </c>
      <c r="AK378">
        <v>43</v>
      </c>
      <c r="AL378" t="s">
        <v>3352</v>
      </c>
      <c r="AM378" t="s">
        <v>3353</v>
      </c>
      <c r="AN378" t="s">
        <v>3354</v>
      </c>
      <c r="AO378" t="s">
        <v>7360</v>
      </c>
      <c r="AP378" t="s">
        <v>7361</v>
      </c>
      <c r="AQ378" t="s">
        <v>74</v>
      </c>
      <c r="AR378" t="s">
        <v>7362</v>
      </c>
      <c r="AS378" t="s">
        <v>7363</v>
      </c>
      <c r="AT378" t="s">
        <v>718</v>
      </c>
      <c r="AU378">
        <v>2019</v>
      </c>
      <c r="AV378">
        <v>196</v>
      </c>
      <c r="AW378" t="s">
        <v>74</v>
      </c>
      <c r="AX378" t="s">
        <v>74</v>
      </c>
      <c r="AY378" t="s">
        <v>74</v>
      </c>
      <c r="AZ378" t="s">
        <v>74</v>
      </c>
      <c r="BA378" t="s">
        <v>74</v>
      </c>
      <c r="BB378">
        <v>44</v>
      </c>
      <c r="BC378">
        <v>52</v>
      </c>
      <c r="BD378" t="s">
        <v>74</v>
      </c>
      <c r="BE378" t="s">
        <v>7364</v>
      </c>
      <c r="BF378" t="str">
        <f>HYPERLINK("http://dx.doi.org/10.1016/j.atmosenv.2018.10.011","http://dx.doi.org/10.1016/j.atmosenv.2018.10.011")</f>
        <v>http://dx.doi.org/10.1016/j.atmosenv.2018.10.011</v>
      </c>
      <c r="BG378" t="s">
        <v>74</v>
      </c>
      <c r="BH378" t="s">
        <v>74</v>
      </c>
      <c r="BI378">
        <v>9</v>
      </c>
      <c r="BJ378" t="s">
        <v>2635</v>
      </c>
      <c r="BK378" t="s">
        <v>101</v>
      </c>
      <c r="BL378" t="s">
        <v>2636</v>
      </c>
      <c r="BM378" t="s">
        <v>7365</v>
      </c>
      <c r="BN378" t="s">
        <v>74</v>
      </c>
      <c r="BO378" t="s">
        <v>74</v>
      </c>
      <c r="BP378" t="s">
        <v>74</v>
      </c>
      <c r="BQ378" t="s">
        <v>74</v>
      </c>
      <c r="BR378" t="s">
        <v>104</v>
      </c>
      <c r="BS378" t="s">
        <v>7366</v>
      </c>
      <c r="BT378" t="str">
        <f>HYPERLINK("https%3A%2F%2Fwww.webofscience.com%2Fwos%2Fwoscc%2Ffull-record%2FWOS:000451492300006","View Full Record in Web of Science")</f>
        <v>View Full Record in Web of Science</v>
      </c>
    </row>
    <row r="379" spans="1:72" x14ac:dyDescent="0.15">
      <c r="A379" t="s">
        <v>72</v>
      </c>
      <c r="B379" t="s">
        <v>7367</v>
      </c>
      <c r="C379" t="s">
        <v>74</v>
      </c>
      <c r="D379" t="s">
        <v>74</v>
      </c>
      <c r="E379" t="s">
        <v>74</v>
      </c>
      <c r="F379" t="s">
        <v>7368</v>
      </c>
      <c r="G379" t="s">
        <v>74</v>
      </c>
      <c r="H379" t="s">
        <v>74</v>
      </c>
      <c r="I379" t="s">
        <v>7369</v>
      </c>
      <c r="J379" t="s">
        <v>7370</v>
      </c>
      <c r="K379" t="s">
        <v>74</v>
      </c>
      <c r="L379" t="s">
        <v>74</v>
      </c>
      <c r="M379" t="s">
        <v>78</v>
      </c>
      <c r="N379" t="s">
        <v>79</v>
      </c>
      <c r="O379" t="s">
        <v>74</v>
      </c>
      <c r="P379" t="s">
        <v>74</v>
      </c>
      <c r="Q379" t="s">
        <v>74</v>
      </c>
      <c r="R379" t="s">
        <v>74</v>
      </c>
      <c r="S379" t="s">
        <v>74</v>
      </c>
      <c r="T379" t="s">
        <v>7371</v>
      </c>
      <c r="U379" t="s">
        <v>7372</v>
      </c>
      <c r="V379" t="s">
        <v>7373</v>
      </c>
      <c r="W379" t="s">
        <v>7374</v>
      </c>
      <c r="X379" t="s">
        <v>7375</v>
      </c>
      <c r="Y379" t="s">
        <v>7376</v>
      </c>
      <c r="Z379" t="s">
        <v>7377</v>
      </c>
      <c r="AA379" t="s">
        <v>7378</v>
      </c>
      <c r="AB379" t="s">
        <v>7379</v>
      </c>
      <c r="AC379" t="s">
        <v>7380</v>
      </c>
      <c r="AD379" t="s">
        <v>7381</v>
      </c>
      <c r="AE379" t="s">
        <v>7382</v>
      </c>
      <c r="AF379" t="s">
        <v>74</v>
      </c>
      <c r="AG379">
        <v>42</v>
      </c>
      <c r="AH379">
        <v>14</v>
      </c>
      <c r="AI379">
        <v>14</v>
      </c>
      <c r="AJ379">
        <v>2</v>
      </c>
      <c r="AK379">
        <v>50</v>
      </c>
      <c r="AL379" t="s">
        <v>3352</v>
      </c>
      <c r="AM379" t="s">
        <v>3353</v>
      </c>
      <c r="AN379" t="s">
        <v>3354</v>
      </c>
      <c r="AO379" t="s">
        <v>7383</v>
      </c>
      <c r="AP379" t="s">
        <v>7384</v>
      </c>
      <c r="AQ379" t="s">
        <v>74</v>
      </c>
      <c r="AR379" t="s">
        <v>7370</v>
      </c>
      <c r="AS379" t="s">
        <v>7385</v>
      </c>
      <c r="AT379" t="s">
        <v>718</v>
      </c>
      <c r="AU379">
        <v>2019</v>
      </c>
      <c r="AV379">
        <v>214</v>
      </c>
      <c r="AW379" t="s">
        <v>74</v>
      </c>
      <c r="AX379" t="s">
        <v>74</v>
      </c>
      <c r="AY379" t="s">
        <v>74</v>
      </c>
      <c r="AZ379" t="s">
        <v>74</v>
      </c>
      <c r="BA379" t="s">
        <v>74</v>
      </c>
      <c r="BB379">
        <v>866</v>
      </c>
      <c r="BC379">
        <v>876</v>
      </c>
      <c r="BD379" t="s">
        <v>74</v>
      </c>
      <c r="BE379" t="s">
        <v>7386</v>
      </c>
      <c r="BF379" t="str">
        <f>HYPERLINK("http://dx.doi.org/10.1016/j.chemosphere.2018.09.030","http://dx.doi.org/10.1016/j.chemosphere.2018.09.030")</f>
        <v>http://dx.doi.org/10.1016/j.chemosphere.2018.09.030</v>
      </c>
      <c r="BG379" t="s">
        <v>74</v>
      </c>
      <c r="BH379" t="s">
        <v>74</v>
      </c>
      <c r="BI379">
        <v>11</v>
      </c>
      <c r="BJ379" t="s">
        <v>798</v>
      </c>
      <c r="BK379" t="s">
        <v>101</v>
      </c>
      <c r="BL379" t="s">
        <v>799</v>
      </c>
      <c r="BM379" t="s">
        <v>7387</v>
      </c>
      <c r="BN379">
        <v>30317167</v>
      </c>
      <c r="BO379" t="s">
        <v>404</v>
      </c>
      <c r="BP379" t="s">
        <v>74</v>
      </c>
      <c r="BQ379" t="s">
        <v>74</v>
      </c>
      <c r="BR379" t="s">
        <v>104</v>
      </c>
      <c r="BS379" t="s">
        <v>7388</v>
      </c>
      <c r="BT379" t="str">
        <f>HYPERLINK("https%3A%2F%2Fwww.webofscience.com%2Fwos%2Fwoscc%2Ffull-record%2FWOS:000449891300094","View Full Record in Web of Science")</f>
        <v>View Full Record in Web of Science</v>
      </c>
    </row>
    <row r="380" spans="1:72" x14ac:dyDescent="0.15">
      <c r="A380" t="s">
        <v>72</v>
      </c>
      <c r="B380" t="s">
        <v>7389</v>
      </c>
      <c r="C380" t="s">
        <v>74</v>
      </c>
      <c r="D380" t="s">
        <v>74</v>
      </c>
      <c r="E380" t="s">
        <v>74</v>
      </c>
      <c r="F380" t="s">
        <v>7390</v>
      </c>
      <c r="G380" t="s">
        <v>74</v>
      </c>
      <c r="H380" t="s">
        <v>74</v>
      </c>
      <c r="I380" t="s">
        <v>7391</v>
      </c>
      <c r="J380" t="s">
        <v>7392</v>
      </c>
      <c r="K380" t="s">
        <v>74</v>
      </c>
      <c r="L380" t="s">
        <v>74</v>
      </c>
      <c r="M380" t="s">
        <v>78</v>
      </c>
      <c r="N380" t="s">
        <v>79</v>
      </c>
      <c r="O380" t="s">
        <v>74</v>
      </c>
      <c r="P380" t="s">
        <v>74</v>
      </c>
      <c r="Q380" t="s">
        <v>74</v>
      </c>
      <c r="R380" t="s">
        <v>74</v>
      </c>
      <c r="S380" t="s">
        <v>74</v>
      </c>
      <c r="T380" t="s">
        <v>7393</v>
      </c>
      <c r="U380" t="s">
        <v>7394</v>
      </c>
      <c r="V380" t="s">
        <v>7395</v>
      </c>
      <c r="W380" t="s">
        <v>7396</v>
      </c>
      <c r="X380" t="s">
        <v>7397</v>
      </c>
      <c r="Y380" t="s">
        <v>7398</v>
      </c>
      <c r="Z380" t="s">
        <v>7399</v>
      </c>
      <c r="AA380" t="s">
        <v>7400</v>
      </c>
      <c r="AB380" t="s">
        <v>7401</v>
      </c>
      <c r="AC380" t="s">
        <v>7402</v>
      </c>
      <c r="AD380" t="s">
        <v>7403</v>
      </c>
      <c r="AE380" t="s">
        <v>7404</v>
      </c>
      <c r="AF380" t="s">
        <v>74</v>
      </c>
      <c r="AG380">
        <v>52</v>
      </c>
      <c r="AH380">
        <v>16</v>
      </c>
      <c r="AI380">
        <v>18</v>
      </c>
      <c r="AJ380">
        <v>2</v>
      </c>
      <c r="AK380">
        <v>9</v>
      </c>
      <c r="AL380" t="s">
        <v>2519</v>
      </c>
      <c r="AM380" t="s">
        <v>2520</v>
      </c>
      <c r="AN380" t="s">
        <v>3313</v>
      </c>
      <c r="AO380" t="s">
        <v>7405</v>
      </c>
      <c r="AP380" t="s">
        <v>7406</v>
      </c>
      <c r="AQ380" t="s">
        <v>74</v>
      </c>
      <c r="AR380" t="s">
        <v>7407</v>
      </c>
      <c r="AS380" t="s">
        <v>7408</v>
      </c>
      <c r="AT380" t="s">
        <v>3269</v>
      </c>
      <c r="AU380">
        <v>2019</v>
      </c>
      <c r="AV380">
        <v>505</v>
      </c>
      <c r="AW380" t="s">
        <v>74</v>
      </c>
      <c r="AX380" t="s">
        <v>74</v>
      </c>
      <c r="AY380" t="s">
        <v>74</v>
      </c>
      <c r="AZ380" t="s">
        <v>74</v>
      </c>
      <c r="BA380" t="s">
        <v>74</v>
      </c>
      <c r="BB380">
        <v>86</v>
      </c>
      <c r="BC380">
        <v>95</v>
      </c>
      <c r="BD380" t="s">
        <v>74</v>
      </c>
      <c r="BE380" t="s">
        <v>7409</v>
      </c>
      <c r="BF380" t="str">
        <f>HYPERLINK("http://dx.doi.org/10.1016/j.epsl.2018.10.004","http://dx.doi.org/10.1016/j.epsl.2018.10.004")</f>
        <v>http://dx.doi.org/10.1016/j.epsl.2018.10.004</v>
      </c>
      <c r="BG380" t="s">
        <v>74</v>
      </c>
      <c r="BH380" t="s">
        <v>74</v>
      </c>
      <c r="BI380">
        <v>10</v>
      </c>
      <c r="BJ380" t="s">
        <v>746</v>
      </c>
      <c r="BK380" t="s">
        <v>101</v>
      </c>
      <c r="BL380" t="s">
        <v>746</v>
      </c>
      <c r="BM380" t="s">
        <v>7410</v>
      </c>
      <c r="BN380" t="s">
        <v>74</v>
      </c>
      <c r="BO380" t="s">
        <v>74</v>
      </c>
      <c r="BP380" t="s">
        <v>74</v>
      </c>
      <c r="BQ380" t="s">
        <v>74</v>
      </c>
      <c r="BR380" t="s">
        <v>104</v>
      </c>
      <c r="BS380" t="s">
        <v>7411</v>
      </c>
      <c r="BT380" t="str">
        <f>HYPERLINK("https%3A%2F%2Fwww.webofscience.com%2Fwos%2Fwoscc%2Ffull-record%2FWOS:000451355700009","View Full Record in Web of Science")</f>
        <v>View Full Record in Web of Science</v>
      </c>
    </row>
    <row r="381" spans="1:72" x14ac:dyDescent="0.15">
      <c r="A381" t="s">
        <v>72</v>
      </c>
      <c r="B381" t="s">
        <v>7412</v>
      </c>
      <c r="C381" t="s">
        <v>74</v>
      </c>
      <c r="D381" t="s">
        <v>74</v>
      </c>
      <c r="E381" t="s">
        <v>74</v>
      </c>
      <c r="F381" t="s">
        <v>7413</v>
      </c>
      <c r="G381" t="s">
        <v>74</v>
      </c>
      <c r="H381" t="s">
        <v>74</v>
      </c>
      <c r="I381" t="s">
        <v>7414</v>
      </c>
      <c r="J381" t="s">
        <v>7392</v>
      </c>
      <c r="K381" t="s">
        <v>74</v>
      </c>
      <c r="L381" t="s">
        <v>74</v>
      </c>
      <c r="M381" t="s">
        <v>78</v>
      </c>
      <c r="N381" t="s">
        <v>79</v>
      </c>
      <c r="O381" t="s">
        <v>74</v>
      </c>
      <c r="P381" t="s">
        <v>74</v>
      </c>
      <c r="Q381" t="s">
        <v>74</v>
      </c>
      <c r="R381" t="s">
        <v>74</v>
      </c>
      <c r="S381" t="s">
        <v>74</v>
      </c>
      <c r="T381" t="s">
        <v>7415</v>
      </c>
      <c r="U381" t="s">
        <v>7416</v>
      </c>
      <c r="V381" t="s">
        <v>7417</v>
      </c>
      <c r="W381" t="s">
        <v>7418</v>
      </c>
      <c r="X381" t="s">
        <v>7419</v>
      </c>
      <c r="Y381" t="s">
        <v>7420</v>
      </c>
      <c r="Z381" t="s">
        <v>7421</v>
      </c>
      <c r="AA381" t="s">
        <v>7422</v>
      </c>
      <c r="AB381" t="s">
        <v>7423</v>
      </c>
      <c r="AC381" t="s">
        <v>7424</v>
      </c>
      <c r="AD381" t="s">
        <v>7425</v>
      </c>
      <c r="AE381" t="s">
        <v>7426</v>
      </c>
      <c r="AF381" t="s">
        <v>74</v>
      </c>
      <c r="AG381">
        <v>70</v>
      </c>
      <c r="AH381">
        <v>22</v>
      </c>
      <c r="AI381">
        <v>24</v>
      </c>
      <c r="AJ381">
        <v>2</v>
      </c>
      <c r="AK381">
        <v>21</v>
      </c>
      <c r="AL381" t="s">
        <v>3290</v>
      </c>
      <c r="AM381" t="s">
        <v>2520</v>
      </c>
      <c r="AN381" t="s">
        <v>3291</v>
      </c>
      <c r="AO381" t="s">
        <v>7405</v>
      </c>
      <c r="AP381" t="s">
        <v>7406</v>
      </c>
      <c r="AQ381" t="s">
        <v>74</v>
      </c>
      <c r="AR381" t="s">
        <v>7407</v>
      </c>
      <c r="AS381" t="s">
        <v>7408</v>
      </c>
      <c r="AT381" t="s">
        <v>3269</v>
      </c>
      <c r="AU381">
        <v>2019</v>
      </c>
      <c r="AV381">
        <v>505</v>
      </c>
      <c r="AW381" t="s">
        <v>74</v>
      </c>
      <c r="AX381" t="s">
        <v>74</v>
      </c>
      <c r="AY381" t="s">
        <v>74</v>
      </c>
      <c r="AZ381" t="s">
        <v>74</v>
      </c>
      <c r="BA381" t="s">
        <v>74</v>
      </c>
      <c r="BB381">
        <v>131</v>
      </c>
      <c r="BC381">
        <v>140</v>
      </c>
      <c r="BD381" t="s">
        <v>74</v>
      </c>
      <c r="BE381" t="s">
        <v>7427</v>
      </c>
      <c r="BF381" t="str">
        <f>HYPERLINK("http://dx.doi.org/10.1016/j.epsl.2018.10.029","http://dx.doi.org/10.1016/j.epsl.2018.10.029")</f>
        <v>http://dx.doi.org/10.1016/j.epsl.2018.10.029</v>
      </c>
      <c r="BG381" t="s">
        <v>74</v>
      </c>
      <c r="BH381" t="s">
        <v>74</v>
      </c>
      <c r="BI381">
        <v>10</v>
      </c>
      <c r="BJ381" t="s">
        <v>746</v>
      </c>
      <c r="BK381" t="s">
        <v>101</v>
      </c>
      <c r="BL381" t="s">
        <v>746</v>
      </c>
      <c r="BM381" t="s">
        <v>7410</v>
      </c>
      <c r="BN381" t="s">
        <v>74</v>
      </c>
      <c r="BO381" t="s">
        <v>7428</v>
      </c>
      <c r="BP381" t="s">
        <v>74</v>
      </c>
      <c r="BQ381" t="s">
        <v>74</v>
      </c>
      <c r="BR381" t="s">
        <v>104</v>
      </c>
      <c r="BS381" t="s">
        <v>7429</v>
      </c>
      <c r="BT381" t="str">
        <f>HYPERLINK("https%3A%2F%2Fwww.webofscience.com%2Fwos%2Fwoscc%2Ffull-record%2FWOS:000451355700013","View Full Record in Web of Science")</f>
        <v>View Full Record in Web of Science</v>
      </c>
    </row>
    <row r="382" spans="1:72" x14ac:dyDescent="0.15">
      <c r="A382" t="s">
        <v>72</v>
      </c>
      <c r="B382" t="s">
        <v>7430</v>
      </c>
      <c r="C382" t="s">
        <v>74</v>
      </c>
      <c r="D382" t="s">
        <v>74</v>
      </c>
      <c r="E382" t="s">
        <v>74</v>
      </c>
      <c r="F382" t="s">
        <v>7431</v>
      </c>
      <c r="G382" t="s">
        <v>74</v>
      </c>
      <c r="H382" t="s">
        <v>74</v>
      </c>
      <c r="I382" t="s">
        <v>7432</v>
      </c>
      <c r="J382" t="s">
        <v>7433</v>
      </c>
      <c r="K382" t="s">
        <v>74</v>
      </c>
      <c r="L382" t="s">
        <v>74</v>
      </c>
      <c r="M382" t="s">
        <v>78</v>
      </c>
      <c r="N382" t="s">
        <v>79</v>
      </c>
      <c r="O382" t="s">
        <v>74</v>
      </c>
      <c r="P382" t="s">
        <v>74</v>
      </c>
      <c r="Q382" t="s">
        <v>74</v>
      </c>
      <c r="R382" t="s">
        <v>74</v>
      </c>
      <c r="S382" t="s">
        <v>74</v>
      </c>
      <c r="T382" t="s">
        <v>7434</v>
      </c>
      <c r="U382" t="s">
        <v>7435</v>
      </c>
      <c r="V382" t="s">
        <v>7436</v>
      </c>
      <c r="W382" t="s">
        <v>7437</v>
      </c>
      <c r="X382" t="s">
        <v>7438</v>
      </c>
      <c r="Y382" t="s">
        <v>7439</v>
      </c>
      <c r="Z382" t="s">
        <v>7440</v>
      </c>
      <c r="AA382" t="s">
        <v>7441</v>
      </c>
      <c r="AB382" t="s">
        <v>7442</v>
      </c>
      <c r="AC382" t="s">
        <v>7443</v>
      </c>
      <c r="AD382" t="s">
        <v>7444</v>
      </c>
      <c r="AE382" t="s">
        <v>7445</v>
      </c>
      <c r="AF382" t="s">
        <v>74</v>
      </c>
      <c r="AG382">
        <v>71</v>
      </c>
      <c r="AH382">
        <v>3</v>
      </c>
      <c r="AI382">
        <v>3</v>
      </c>
      <c r="AJ382">
        <v>0</v>
      </c>
      <c r="AK382">
        <v>7</v>
      </c>
      <c r="AL382" t="s">
        <v>3670</v>
      </c>
      <c r="AM382" t="s">
        <v>3671</v>
      </c>
      <c r="AN382" t="s">
        <v>3672</v>
      </c>
      <c r="AO382" t="s">
        <v>7446</v>
      </c>
      <c r="AP382" t="s">
        <v>7447</v>
      </c>
      <c r="AQ382" t="s">
        <v>74</v>
      </c>
      <c r="AR382" t="s">
        <v>7448</v>
      </c>
      <c r="AS382" t="s">
        <v>7449</v>
      </c>
      <c r="AT382" t="s">
        <v>718</v>
      </c>
      <c r="AU382">
        <v>2019</v>
      </c>
      <c r="AV382">
        <v>28</v>
      </c>
      <c r="AW382">
        <v>1</v>
      </c>
      <c r="AX382" t="s">
        <v>74</v>
      </c>
      <c r="AY382" t="s">
        <v>74</v>
      </c>
      <c r="AZ382" t="s">
        <v>74</v>
      </c>
      <c r="BA382" t="s">
        <v>74</v>
      </c>
      <c r="BB382">
        <v>18</v>
      </c>
      <c r="BC382">
        <v>32</v>
      </c>
      <c r="BD382" t="s">
        <v>74</v>
      </c>
      <c r="BE382" t="s">
        <v>7450</v>
      </c>
      <c r="BF382" t="str">
        <f>HYPERLINK("http://dx.doi.org/10.1111/fog.12383","http://dx.doi.org/10.1111/fog.12383")</f>
        <v>http://dx.doi.org/10.1111/fog.12383</v>
      </c>
      <c r="BG382" t="s">
        <v>74</v>
      </c>
      <c r="BH382" t="s">
        <v>74</v>
      </c>
      <c r="BI382">
        <v>15</v>
      </c>
      <c r="BJ382" t="s">
        <v>7451</v>
      </c>
      <c r="BK382" t="s">
        <v>101</v>
      </c>
      <c r="BL382" t="s">
        <v>7451</v>
      </c>
      <c r="BM382" t="s">
        <v>7452</v>
      </c>
      <c r="BN382" t="s">
        <v>74</v>
      </c>
      <c r="BO382" t="s">
        <v>162</v>
      </c>
      <c r="BP382" t="s">
        <v>74</v>
      </c>
      <c r="BQ382" t="s">
        <v>74</v>
      </c>
      <c r="BR382" t="s">
        <v>104</v>
      </c>
      <c r="BS382" t="s">
        <v>7453</v>
      </c>
      <c r="BT382" t="str">
        <f>HYPERLINK("https%3A%2F%2Fwww.webofscience.com%2Fwos%2Fwoscc%2Ffull-record%2FWOS:000453017200002","View Full Record in Web of Science")</f>
        <v>View Full Record in Web of Science</v>
      </c>
    </row>
    <row r="383" spans="1:72" x14ac:dyDescent="0.15">
      <c r="A383" t="s">
        <v>72</v>
      </c>
      <c r="B383" t="s">
        <v>7454</v>
      </c>
      <c r="C383" t="s">
        <v>74</v>
      </c>
      <c r="D383" t="s">
        <v>74</v>
      </c>
      <c r="E383" t="s">
        <v>74</v>
      </c>
      <c r="F383" t="s">
        <v>7455</v>
      </c>
      <c r="G383" t="s">
        <v>74</v>
      </c>
      <c r="H383" t="s">
        <v>74</v>
      </c>
      <c r="I383" t="s">
        <v>7456</v>
      </c>
      <c r="J383" t="s">
        <v>4620</v>
      </c>
      <c r="K383" t="s">
        <v>74</v>
      </c>
      <c r="L383" t="s">
        <v>74</v>
      </c>
      <c r="M383" t="s">
        <v>78</v>
      </c>
      <c r="N383" t="s">
        <v>79</v>
      </c>
      <c r="O383" t="s">
        <v>74</v>
      </c>
      <c r="P383" t="s">
        <v>74</v>
      </c>
      <c r="Q383" t="s">
        <v>74</v>
      </c>
      <c r="R383" t="s">
        <v>74</v>
      </c>
      <c r="S383" t="s">
        <v>74</v>
      </c>
      <c r="T383" t="s">
        <v>7457</v>
      </c>
      <c r="U383" t="s">
        <v>7458</v>
      </c>
      <c r="V383" t="s">
        <v>7459</v>
      </c>
      <c r="W383" t="s">
        <v>7460</v>
      </c>
      <c r="X383" t="s">
        <v>7461</v>
      </c>
      <c r="Y383" t="s">
        <v>7462</v>
      </c>
      <c r="Z383" t="s">
        <v>7463</v>
      </c>
      <c r="AA383" t="s">
        <v>7464</v>
      </c>
      <c r="AB383" t="s">
        <v>7465</v>
      </c>
      <c r="AC383" t="s">
        <v>7466</v>
      </c>
      <c r="AD383" t="s">
        <v>7466</v>
      </c>
      <c r="AE383" t="s">
        <v>7467</v>
      </c>
      <c r="AF383" t="s">
        <v>74</v>
      </c>
      <c r="AG383">
        <v>64</v>
      </c>
      <c r="AH383">
        <v>11</v>
      </c>
      <c r="AI383">
        <v>11</v>
      </c>
      <c r="AJ383">
        <v>2</v>
      </c>
      <c r="AK383">
        <v>50</v>
      </c>
      <c r="AL383" t="s">
        <v>4632</v>
      </c>
      <c r="AM383" t="s">
        <v>4633</v>
      </c>
      <c r="AN383" t="s">
        <v>4634</v>
      </c>
      <c r="AO383" t="s">
        <v>4635</v>
      </c>
      <c r="AP383" t="s">
        <v>4636</v>
      </c>
      <c r="AQ383" t="s">
        <v>74</v>
      </c>
      <c r="AR383" t="s">
        <v>4637</v>
      </c>
      <c r="AS383" t="s">
        <v>4638</v>
      </c>
      <c r="AT383" t="s">
        <v>74</v>
      </c>
      <c r="AU383">
        <v>2019</v>
      </c>
      <c r="AV383">
        <v>70</v>
      </c>
      <c r="AW383">
        <v>1</v>
      </c>
      <c r="AX383" t="s">
        <v>74</v>
      </c>
      <c r="AY383" t="s">
        <v>74</v>
      </c>
      <c r="AZ383" t="s">
        <v>74</v>
      </c>
      <c r="BA383" t="s">
        <v>74</v>
      </c>
      <c r="BB383">
        <v>19</v>
      </c>
      <c r="BC383">
        <v>32</v>
      </c>
      <c r="BD383" t="s">
        <v>74</v>
      </c>
      <c r="BE383" t="s">
        <v>7468</v>
      </c>
      <c r="BF383" t="str">
        <f>HYPERLINK("http://dx.doi.org/10.1071/MF17288","http://dx.doi.org/10.1071/MF17288")</f>
        <v>http://dx.doi.org/10.1071/MF17288</v>
      </c>
      <c r="BG383" t="s">
        <v>74</v>
      </c>
      <c r="BH383" t="s">
        <v>74</v>
      </c>
      <c r="BI383">
        <v>14</v>
      </c>
      <c r="BJ383" t="s">
        <v>4640</v>
      </c>
      <c r="BK383" t="s">
        <v>101</v>
      </c>
      <c r="BL383" t="s">
        <v>3759</v>
      </c>
      <c r="BM383" t="s">
        <v>7469</v>
      </c>
      <c r="BN383" t="s">
        <v>74</v>
      </c>
      <c r="BO383" t="s">
        <v>74</v>
      </c>
      <c r="BP383" t="s">
        <v>74</v>
      </c>
      <c r="BQ383" t="s">
        <v>74</v>
      </c>
      <c r="BR383" t="s">
        <v>104</v>
      </c>
      <c r="BS383" t="s">
        <v>7470</v>
      </c>
      <c r="BT383" t="str">
        <f>HYPERLINK("https%3A%2F%2Fwww.webofscience.com%2Fwos%2Fwoscc%2Ffull-record%2FWOS:000453226400003","View Full Record in Web of Science")</f>
        <v>View Full Record in Web of Science</v>
      </c>
    </row>
    <row r="384" spans="1:72" x14ac:dyDescent="0.15">
      <c r="A384" t="s">
        <v>72</v>
      </c>
      <c r="B384" t="s">
        <v>7471</v>
      </c>
      <c r="C384" t="s">
        <v>74</v>
      </c>
      <c r="D384" t="s">
        <v>74</v>
      </c>
      <c r="E384" t="s">
        <v>74</v>
      </c>
      <c r="F384" t="s">
        <v>7472</v>
      </c>
      <c r="G384" t="s">
        <v>74</v>
      </c>
      <c r="H384" t="s">
        <v>74</v>
      </c>
      <c r="I384" t="s">
        <v>7473</v>
      </c>
      <c r="J384" t="s">
        <v>4620</v>
      </c>
      <c r="K384" t="s">
        <v>74</v>
      </c>
      <c r="L384" t="s">
        <v>74</v>
      </c>
      <c r="M384" t="s">
        <v>78</v>
      </c>
      <c r="N384" t="s">
        <v>79</v>
      </c>
      <c r="O384" t="s">
        <v>74</v>
      </c>
      <c r="P384" t="s">
        <v>74</v>
      </c>
      <c r="Q384" t="s">
        <v>74</v>
      </c>
      <c r="R384" t="s">
        <v>74</v>
      </c>
      <c r="S384" t="s">
        <v>74</v>
      </c>
      <c r="T384" t="s">
        <v>7474</v>
      </c>
      <c r="U384" t="s">
        <v>7475</v>
      </c>
      <c r="V384" t="s">
        <v>7476</v>
      </c>
      <c r="W384" t="s">
        <v>7477</v>
      </c>
      <c r="X384" t="s">
        <v>4947</v>
      </c>
      <c r="Y384" t="s">
        <v>7478</v>
      </c>
      <c r="Z384" t="s">
        <v>7479</v>
      </c>
      <c r="AA384" t="s">
        <v>7480</v>
      </c>
      <c r="AB384" t="s">
        <v>7481</v>
      </c>
      <c r="AC384" t="s">
        <v>7482</v>
      </c>
      <c r="AD384" t="s">
        <v>7483</v>
      </c>
      <c r="AE384" t="s">
        <v>7484</v>
      </c>
      <c r="AF384" t="s">
        <v>74</v>
      </c>
      <c r="AG384">
        <v>73</v>
      </c>
      <c r="AH384">
        <v>30</v>
      </c>
      <c r="AI384">
        <v>30</v>
      </c>
      <c r="AJ384">
        <v>3</v>
      </c>
      <c r="AK384">
        <v>23</v>
      </c>
      <c r="AL384" t="s">
        <v>4632</v>
      </c>
      <c r="AM384" t="s">
        <v>4633</v>
      </c>
      <c r="AN384" t="s">
        <v>4634</v>
      </c>
      <c r="AO384" t="s">
        <v>4635</v>
      </c>
      <c r="AP384" t="s">
        <v>4636</v>
      </c>
      <c r="AQ384" t="s">
        <v>74</v>
      </c>
      <c r="AR384" t="s">
        <v>4637</v>
      </c>
      <c r="AS384" t="s">
        <v>4638</v>
      </c>
      <c r="AT384" t="s">
        <v>74</v>
      </c>
      <c r="AU384">
        <v>2019</v>
      </c>
      <c r="AV384">
        <v>70</v>
      </c>
      <c r="AW384">
        <v>1</v>
      </c>
      <c r="AX384" t="s">
        <v>74</v>
      </c>
      <c r="AY384" t="s">
        <v>74</v>
      </c>
      <c r="AZ384" t="s">
        <v>74</v>
      </c>
      <c r="BA384" t="s">
        <v>74</v>
      </c>
      <c r="BB384">
        <v>33</v>
      </c>
      <c r="BC384">
        <v>42</v>
      </c>
      <c r="BD384" t="s">
        <v>74</v>
      </c>
      <c r="BE384" t="s">
        <v>7485</v>
      </c>
      <c r="BF384" t="str">
        <f>HYPERLINK("http://dx.doi.org/10.1071/MF17387","http://dx.doi.org/10.1071/MF17387")</f>
        <v>http://dx.doi.org/10.1071/MF17387</v>
      </c>
      <c r="BG384" t="s">
        <v>74</v>
      </c>
      <c r="BH384" t="s">
        <v>74</v>
      </c>
      <c r="BI384">
        <v>10</v>
      </c>
      <c r="BJ384" t="s">
        <v>4640</v>
      </c>
      <c r="BK384" t="s">
        <v>101</v>
      </c>
      <c r="BL384" t="s">
        <v>3759</v>
      </c>
      <c r="BM384" t="s">
        <v>7469</v>
      </c>
      <c r="BN384" t="s">
        <v>74</v>
      </c>
      <c r="BO384" t="s">
        <v>74</v>
      </c>
      <c r="BP384" t="s">
        <v>74</v>
      </c>
      <c r="BQ384" t="s">
        <v>74</v>
      </c>
      <c r="BR384" t="s">
        <v>104</v>
      </c>
      <c r="BS384" t="s">
        <v>7486</v>
      </c>
      <c r="BT384" t="str">
        <f>HYPERLINK("https%3A%2F%2Fwww.webofscience.com%2Fwos%2Fwoscc%2Ffull-record%2FWOS:000453226400004","View Full Record in Web of Science")</f>
        <v>View Full Record in Web of Science</v>
      </c>
    </row>
    <row r="385" spans="1:72" x14ac:dyDescent="0.15">
      <c r="A385" t="s">
        <v>72</v>
      </c>
      <c r="B385" t="s">
        <v>7487</v>
      </c>
      <c r="C385" t="s">
        <v>74</v>
      </c>
      <c r="D385" t="s">
        <v>74</v>
      </c>
      <c r="E385" t="s">
        <v>74</v>
      </c>
      <c r="F385" t="s">
        <v>7488</v>
      </c>
      <c r="G385" t="s">
        <v>74</v>
      </c>
      <c r="H385" t="s">
        <v>74</v>
      </c>
      <c r="I385" t="s">
        <v>7489</v>
      </c>
      <c r="J385" t="s">
        <v>4620</v>
      </c>
      <c r="K385" t="s">
        <v>74</v>
      </c>
      <c r="L385" t="s">
        <v>74</v>
      </c>
      <c r="M385" t="s">
        <v>78</v>
      </c>
      <c r="N385" t="s">
        <v>1003</v>
      </c>
      <c r="O385" t="s">
        <v>74</v>
      </c>
      <c r="P385" t="s">
        <v>74</v>
      </c>
      <c r="Q385" t="s">
        <v>74</v>
      </c>
      <c r="R385" t="s">
        <v>74</v>
      </c>
      <c r="S385" t="s">
        <v>74</v>
      </c>
      <c r="T385" t="s">
        <v>7490</v>
      </c>
      <c r="U385" t="s">
        <v>7491</v>
      </c>
      <c r="V385" t="s">
        <v>7492</v>
      </c>
      <c r="W385" t="s">
        <v>7493</v>
      </c>
      <c r="X385" t="s">
        <v>7494</v>
      </c>
      <c r="Y385" t="s">
        <v>7495</v>
      </c>
      <c r="Z385" t="s">
        <v>7496</v>
      </c>
      <c r="AA385" t="s">
        <v>7497</v>
      </c>
      <c r="AB385" t="s">
        <v>7498</v>
      </c>
      <c r="AC385" t="s">
        <v>7499</v>
      </c>
      <c r="AD385" t="s">
        <v>7499</v>
      </c>
      <c r="AE385" t="s">
        <v>7500</v>
      </c>
      <c r="AF385" t="s">
        <v>74</v>
      </c>
      <c r="AG385">
        <v>42</v>
      </c>
      <c r="AH385">
        <v>7</v>
      </c>
      <c r="AI385">
        <v>7</v>
      </c>
      <c r="AJ385">
        <v>0</v>
      </c>
      <c r="AK385">
        <v>16</v>
      </c>
      <c r="AL385" t="s">
        <v>4632</v>
      </c>
      <c r="AM385" t="s">
        <v>4633</v>
      </c>
      <c r="AN385" t="s">
        <v>4634</v>
      </c>
      <c r="AO385" t="s">
        <v>4635</v>
      </c>
      <c r="AP385" t="s">
        <v>4636</v>
      </c>
      <c r="AQ385" t="s">
        <v>74</v>
      </c>
      <c r="AR385" t="s">
        <v>4637</v>
      </c>
      <c r="AS385" t="s">
        <v>4638</v>
      </c>
      <c r="AT385" t="s">
        <v>74</v>
      </c>
      <c r="AU385">
        <v>2019</v>
      </c>
      <c r="AV385">
        <v>70</v>
      </c>
      <c r="AW385">
        <v>1</v>
      </c>
      <c r="AX385" t="s">
        <v>74</v>
      </c>
      <c r="AY385" t="s">
        <v>74</v>
      </c>
      <c r="AZ385" t="s">
        <v>74</v>
      </c>
      <c r="BA385" t="s">
        <v>74</v>
      </c>
      <c r="BB385">
        <v>62</v>
      </c>
      <c r="BC385">
        <v>70</v>
      </c>
      <c r="BD385" t="s">
        <v>74</v>
      </c>
      <c r="BE385" t="s">
        <v>7501</v>
      </c>
      <c r="BF385" t="str">
        <f>HYPERLINK("http://dx.doi.org/10.1071/MF17330","http://dx.doi.org/10.1071/MF17330")</f>
        <v>http://dx.doi.org/10.1071/MF17330</v>
      </c>
      <c r="BG385" t="s">
        <v>74</v>
      </c>
      <c r="BH385" t="s">
        <v>74</v>
      </c>
      <c r="BI385">
        <v>9</v>
      </c>
      <c r="BJ385" t="s">
        <v>4640</v>
      </c>
      <c r="BK385" t="s">
        <v>101</v>
      </c>
      <c r="BL385" t="s">
        <v>3759</v>
      </c>
      <c r="BM385" t="s">
        <v>7469</v>
      </c>
      <c r="BN385" t="s">
        <v>74</v>
      </c>
      <c r="BO385" t="s">
        <v>74</v>
      </c>
      <c r="BP385" t="s">
        <v>74</v>
      </c>
      <c r="BQ385" t="s">
        <v>74</v>
      </c>
      <c r="BR385" t="s">
        <v>104</v>
      </c>
      <c r="BS385" t="s">
        <v>7502</v>
      </c>
      <c r="BT385" t="str">
        <f>HYPERLINK("https%3A%2F%2Fwww.webofscience.com%2Fwos%2Fwoscc%2Ffull-record%2FWOS:000453226400006","View Full Record in Web of Science")</f>
        <v>View Full Record in Web of Science</v>
      </c>
    </row>
    <row r="386" spans="1:72" x14ac:dyDescent="0.15">
      <c r="A386" t="s">
        <v>72</v>
      </c>
      <c r="B386" t="s">
        <v>7503</v>
      </c>
      <c r="C386" t="s">
        <v>74</v>
      </c>
      <c r="D386" t="s">
        <v>74</v>
      </c>
      <c r="E386" t="s">
        <v>74</v>
      </c>
      <c r="F386" t="s">
        <v>7504</v>
      </c>
      <c r="G386" t="s">
        <v>74</v>
      </c>
      <c r="H386" t="s">
        <v>74</v>
      </c>
      <c r="I386" t="s">
        <v>7505</v>
      </c>
      <c r="J386" t="s">
        <v>4620</v>
      </c>
      <c r="K386" t="s">
        <v>74</v>
      </c>
      <c r="L386" t="s">
        <v>74</v>
      </c>
      <c r="M386" t="s">
        <v>78</v>
      </c>
      <c r="N386" t="s">
        <v>79</v>
      </c>
      <c r="O386" t="s">
        <v>74</v>
      </c>
      <c r="P386" t="s">
        <v>74</v>
      </c>
      <c r="Q386" t="s">
        <v>74</v>
      </c>
      <c r="R386" t="s">
        <v>74</v>
      </c>
      <c r="S386" t="s">
        <v>74</v>
      </c>
      <c r="T386" t="s">
        <v>74</v>
      </c>
      <c r="U386" t="s">
        <v>7506</v>
      </c>
      <c r="V386" t="s">
        <v>7507</v>
      </c>
      <c r="W386" t="s">
        <v>7508</v>
      </c>
      <c r="X386" t="s">
        <v>7509</v>
      </c>
      <c r="Y386" t="s">
        <v>7510</v>
      </c>
      <c r="Z386" t="s">
        <v>7511</v>
      </c>
      <c r="AA386" t="s">
        <v>7512</v>
      </c>
      <c r="AB386" t="s">
        <v>7513</v>
      </c>
      <c r="AC386" t="s">
        <v>74</v>
      </c>
      <c r="AD386" t="s">
        <v>74</v>
      </c>
      <c r="AE386" t="s">
        <v>74</v>
      </c>
      <c r="AF386" t="s">
        <v>74</v>
      </c>
      <c r="AG386">
        <v>144</v>
      </c>
      <c r="AH386">
        <v>45</v>
      </c>
      <c r="AI386">
        <v>49</v>
      </c>
      <c r="AJ386">
        <v>0</v>
      </c>
      <c r="AK386">
        <v>52</v>
      </c>
      <c r="AL386" t="s">
        <v>4632</v>
      </c>
      <c r="AM386" t="s">
        <v>4633</v>
      </c>
      <c r="AN386" t="s">
        <v>4634</v>
      </c>
      <c r="AO386" t="s">
        <v>4635</v>
      </c>
      <c r="AP386" t="s">
        <v>4636</v>
      </c>
      <c r="AQ386" t="s">
        <v>74</v>
      </c>
      <c r="AR386" t="s">
        <v>4637</v>
      </c>
      <c r="AS386" t="s">
        <v>4638</v>
      </c>
      <c r="AT386" t="s">
        <v>74</v>
      </c>
      <c r="AU386">
        <v>2019</v>
      </c>
      <c r="AV386">
        <v>70</v>
      </c>
      <c r="AW386">
        <v>1</v>
      </c>
      <c r="AX386" t="s">
        <v>74</v>
      </c>
      <c r="AY386" t="s">
        <v>74</v>
      </c>
      <c r="AZ386" t="s">
        <v>74</v>
      </c>
      <c r="BA386" t="s">
        <v>74</v>
      </c>
      <c r="BB386">
        <v>71</v>
      </c>
      <c r="BC386">
        <v>83</v>
      </c>
      <c r="BD386" t="s">
        <v>74</v>
      </c>
      <c r="BE386" t="s">
        <v>7514</v>
      </c>
      <c r="BF386" t="str">
        <f>HYPERLINK("http://dx.doi.org/10.1071/MF17248","http://dx.doi.org/10.1071/MF17248")</f>
        <v>http://dx.doi.org/10.1071/MF17248</v>
      </c>
      <c r="BG386" t="s">
        <v>74</v>
      </c>
      <c r="BH386" t="s">
        <v>74</v>
      </c>
      <c r="BI386">
        <v>13</v>
      </c>
      <c r="BJ386" t="s">
        <v>4640</v>
      </c>
      <c r="BK386" t="s">
        <v>3493</v>
      </c>
      <c r="BL386" t="s">
        <v>3759</v>
      </c>
      <c r="BM386" t="s">
        <v>7469</v>
      </c>
      <c r="BN386" t="s">
        <v>74</v>
      </c>
      <c r="BO386" t="s">
        <v>74</v>
      </c>
      <c r="BP386" t="s">
        <v>74</v>
      </c>
      <c r="BQ386" t="s">
        <v>74</v>
      </c>
      <c r="BR386" t="s">
        <v>104</v>
      </c>
      <c r="BS386" t="s">
        <v>7515</v>
      </c>
      <c r="BT386" t="str">
        <f>HYPERLINK("https%3A%2F%2Fwww.webofscience.com%2Fwos%2Fwoscc%2Ffull-record%2FWOS:000453226400007","View Full Record in Web of Science")</f>
        <v>View Full Record in Web of Science</v>
      </c>
    </row>
    <row r="387" spans="1:72" x14ac:dyDescent="0.15">
      <c r="A387" t="s">
        <v>72</v>
      </c>
      <c r="B387" t="s">
        <v>7516</v>
      </c>
      <c r="C387" t="s">
        <v>74</v>
      </c>
      <c r="D387" t="s">
        <v>74</v>
      </c>
      <c r="E387" t="s">
        <v>74</v>
      </c>
      <c r="F387" t="s">
        <v>7517</v>
      </c>
      <c r="G387" t="s">
        <v>74</v>
      </c>
      <c r="H387" t="s">
        <v>74</v>
      </c>
      <c r="I387" t="s">
        <v>7518</v>
      </c>
      <c r="J387" t="s">
        <v>7519</v>
      </c>
      <c r="K387" t="s">
        <v>74</v>
      </c>
      <c r="L387" t="s">
        <v>74</v>
      </c>
      <c r="M387" t="s">
        <v>78</v>
      </c>
      <c r="N387" t="s">
        <v>79</v>
      </c>
      <c r="O387" t="s">
        <v>74</v>
      </c>
      <c r="P387" t="s">
        <v>74</v>
      </c>
      <c r="Q387" t="s">
        <v>74</v>
      </c>
      <c r="R387" t="s">
        <v>74</v>
      </c>
      <c r="S387" t="s">
        <v>74</v>
      </c>
      <c r="T387" t="s">
        <v>74</v>
      </c>
      <c r="U387" t="s">
        <v>7520</v>
      </c>
      <c r="V387" t="s">
        <v>7521</v>
      </c>
      <c r="W387" t="s">
        <v>7522</v>
      </c>
      <c r="X387" t="s">
        <v>3608</v>
      </c>
      <c r="Y387" t="s">
        <v>7523</v>
      </c>
      <c r="Z387" t="s">
        <v>7524</v>
      </c>
      <c r="AA387" t="s">
        <v>7525</v>
      </c>
      <c r="AB387" t="s">
        <v>7526</v>
      </c>
      <c r="AC387" t="s">
        <v>7527</v>
      </c>
      <c r="AD387" t="s">
        <v>7527</v>
      </c>
      <c r="AE387" t="s">
        <v>7528</v>
      </c>
      <c r="AF387" t="s">
        <v>74</v>
      </c>
      <c r="AG387">
        <v>76</v>
      </c>
      <c r="AH387">
        <v>18</v>
      </c>
      <c r="AI387">
        <v>20</v>
      </c>
      <c r="AJ387">
        <v>0</v>
      </c>
      <c r="AK387">
        <v>31</v>
      </c>
      <c r="AL387" t="s">
        <v>6139</v>
      </c>
      <c r="AM387" t="s">
        <v>3353</v>
      </c>
      <c r="AN387" t="s">
        <v>6140</v>
      </c>
      <c r="AO387" t="s">
        <v>7529</v>
      </c>
      <c r="AP387" t="s">
        <v>7530</v>
      </c>
      <c r="AQ387" t="s">
        <v>74</v>
      </c>
      <c r="AR387" t="s">
        <v>7531</v>
      </c>
      <c r="AS387" t="s">
        <v>7532</v>
      </c>
      <c r="AT387" t="s">
        <v>3269</v>
      </c>
      <c r="AU387">
        <v>2019</v>
      </c>
      <c r="AV387">
        <v>167</v>
      </c>
      <c r="AW387" t="s">
        <v>74</v>
      </c>
      <c r="AX387" t="s">
        <v>74</v>
      </c>
      <c r="AY387" t="s">
        <v>74</v>
      </c>
      <c r="AZ387" t="s">
        <v>74</v>
      </c>
      <c r="BA387" t="s">
        <v>74</v>
      </c>
      <c r="BB387">
        <v>176</v>
      </c>
      <c r="BC387">
        <v>187</v>
      </c>
      <c r="BD387" t="s">
        <v>74</v>
      </c>
      <c r="BE387" t="s">
        <v>7533</v>
      </c>
      <c r="BF387" t="str">
        <f>HYPERLINK("http://dx.doi.org/10.1016/j.ocecoaman.2018.10.001","http://dx.doi.org/10.1016/j.ocecoaman.2018.10.001")</f>
        <v>http://dx.doi.org/10.1016/j.ocecoaman.2018.10.001</v>
      </c>
      <c r="BG387" t="s">
        <v>74</v>
      </c>
      <c r="BH387" t="s">
        <v>74</v>
      </c>
      <c r="BI387">
        <v>12</v>
      </c>
      <c r="BJ387" t="s">
        <v>7534</v>
      </c>
      <c r="BK387" t="s">
        <v>101</v>
      </c>
      <c r="BL387" t="s">
        <v>7534</v>
      </c>
      <c r="BM387" t="s">
        <v>7535</v>
      </c>
      <c r="BN387" t="s">
        <v>74</v>
      </c>
      <c r="BO387" t="s">
        <v>74</v>
      </c>
      <c r="BP387" t="s">
        <v>74</v>
      </c>
      <c r="BQ387" t="s">
        <v>74</v>
      </c>
      <c r="BR387" t="s">
        <v>104</v>
      </c>
      <c r="BS387" t="s">
        <v>7536</v>
      </c>
      <c r="BT387" t="str">
        <f>HYPERLINK("https%3A%2F%2Fwww.webofscience.com%2Fwos%2Fwoscc%2Ffull-record%2FWOS:000453113900017","View Full Record in Web of Science")</f>
        <v>View Full Record in Web of Science</v>
      </c>
    </row>
    <row r="388" spans="1:72" x14ac:dyDescent="0.15">
      <c r="A388" t="s">
        <v>72</v>
      </c>
      <c r="B388" t="s">
        <v>7537</v>
      </c>
      <c r="C388" t="s">
        <v>74</v>
      </c>
      <c r="D388" t="s">
        <v>74</v>
      </c>
      <c r="E388" t="s">
        <v>74</v>
      </c>
      <c r="F388" t="s">
        <v>7538</v>
      </c>
      <c r="G388" t="s">
        <v>74</v>
      </c>
      <c r="H388" t="s">
        <v>74</v>
      </c>
      <c r="I388" t="s">
        <v>7539</v>
      </c>
      <c r="J388" t="s">
        <v>7540</v>
      </c>
      <c r="K388" t="s">
        <v>74</v>
      </c>
      <c r="L388" t="s">
        <v>74</v>
      </c>
      <c r="M388" t="s">
        <v>78</v>
      </c>
      <c r="N388" t="s">
        <v>79</v>
      </c>
      <c r="O388" t="s">
        <v>74</v>
      </c>
      <c r="P388" t="s">
        <v>74</v>
      </c>
      <c r="Q388" t="s">
        <v>74</v>
      </c>
      <c r="R388" t="s">
        <v>74</v>
      </c>
      <c r="S388" t="s">
        <v>74</v>
      </c>
      <c r="T388" t="s">
        <v>7541</v>
      </c>
      <c r="U388" t="s">
        <v>7542</v>
      </c>
      <c r="V388" t="s">
        <v>7543</v>
      </c>
      <c r="W388" t="s">
        <v>7544</v>
      </c>
      <c r="X388" t="s">
        <v>7545</v>
      </c>
      <c r="Y388" t="s">
        <v>7546</v>
      </c>
      <c r="Z388" t="s">
        <v>7547</v>
      </c>
      <c r="AA388" t="s">
        <v>74</v>
      </c>
      <c r="AB388" t="s">
        <v>7548</v>
      </c>
      <c r="AC388" t="s">
        <v>7549</v>
      </c>
      <c r="AD388" t="s">
        <v>7550</v>
      </c>
      <c r="AE388" t="s">
        <v>7551</v>
      </c>
      <c r="AF388" t="s">
        <v>74</v>
      </c>
      <c r="AG388">
        <v>61</v>
      </c>
      <c r="AH388">
        <v>5</v>
      </c>
      <c r="AI388">
        <v>5</v>
      </c>
      <c r="AJ388">
        <v>1</v>
      </c>
      <c r="AK388">
        <v>57</v>
      </c>
      <c r="AL388" t="s">
        <v>2519</v>
      </c>
      <c r="AM388" t="s">
        <v>2520</v>
      </c>
      <c r="AN388" t="s">
        <v>3313</v>
      </c>
      <c r="AO388" t="s">
        <v>7552</v>
      </c>
      <c r="AP388" t="s">
        <v>7553</v>
      </c>
      <c r="AQ388" t="s">
        <v>74</v>
      </c>
      <c r="AR388" t="s">
        <v>7554</v>
      </c>
      <c r="AS388" t="s">
        <v>7555</v>
      </c>
      <c r="AT388" t="s">
        <v>3269</v>
      </c>
      <c r="AU388">
        <v>2019</v>
      </c>
      <c r="AV388">
        <v>646</v>
      </c>
      <c r="AW388" t="s">
        <v>74</v>
      </c>
      <c r="AX388" t="s">
        <v>74</v>
      </c>
      <c r="AY388" t="s">
        <v>74</v>
      </c>
      <c r="AZ388" t="s">
        <v>74</v>
      </c>
      <c r="BA388" t="s">
        <v>74</v>
      </c>
      <c r="BB388">
        <v>757</v>
      </c>
      <c r="BC388">
        <v>769</v>
      </c>
      <c r="BD388" t="s">
        <v>74</v>
      </c>
      <c r="BE388" t="s">
        <v>7556</v>
      </c>
      <c r="BF388" t="str">
        <f>HYPERLINK("http://dx.doi.org/10.1016/j.scitotenv.2018.07.174","http://dx.doi.org/10.1016/j.scitotenv.2018.07.174")</f>
        <v>http://dx.doi.org/10.1016/j.scitotenv.2018.07.174</v>
      </c>
      <c r="BG388" t="s">
        <v>74</v>
      </c>
      <c r="BH388" t="s">
        <v>74</v>
      </c>
      <c r="BI388">
        <v>13</v>
      </c>
      <c r="BJ388" t="s">
        <v>798</v>
      </c>
      <c r="BK388" t="s">
        <v>101</v>
      </c>
      <c r="BL388" t="s">
        <v>799</v>
      </c>
      <c r="BM388" t="s">
        <v>7557</v>
      </c>
      <c r="BN388">
        <v>30064102</v>
      </c>
      <c r="BO388" t="s">
        <v>74</v>
      </c>
      <c r="BP388" t="s">
        <v>74</v>
      </c>
      <c r="BQ388" t="s">
        <v>74</v>
      </c>
      <c r="BR388" t="s">
        <v>104</v>
      </c>
      <c r="BS388" t="s">
        <v>7558</v>
      </c>
      <c r="BT388" t="str">
        <f>HYPERLINK("https%3A%2F%2Fwww.webofscience.com%2Fwos%2Fwoscc%2Ffull-record%2FWOS:000445164800073","View Full Record in Web of Science")</f>
        <v>View Full Record in Web of Science</v>
      </c>
    </row>
    <row r="389" spans="1:72" x14ac:dyDescent="0.15">
      <c r="A389" t="s">
        <v>72</v>
      </c>
      <c r="B389" t="s">
        <v>7559</v>
      </c>
      <c r="C389" t="s">
        <v>74</v>
      </c>
      <c r="D389" t="s">
        <v>74</v>
      </c>
      <c r="E389" t="s">
        <v>74</v>
      </c>
      <c r="F389" t="s">
        <v>7560</v>
      </c>
      <c r="G389" t="s">
        <v>74</v>
      </c>
      <c r="H389" t="s">
        <v>74</v>
      </c>
      <c r="I389" t="s">
        <v>7561</v>
      </c>
      <c r="J389" t="s">
        <v>7540</v>
      </c>
      <c r="K389" t="s">
        <v>74</v>
      </c>
      <c r="L389" t="s">
        <v>74</v>
      </c>
      <c r="M389" t="s">
        <v>78</v>
      </c>
      <c r="N389" t="s">
        <v>79</v>
      </c>
      <c r="O389" t="s">
        <v>74</v>
      </c>
      <c r="P389" t="s">
        <v>74</v>
      </c>
      <c r="Q389" t="s">
        <v>74</v>
      </c>
      <c r="R389" t="s">
        <v>74</v>
      </c>
      <c r="S389" t="s">
        <v>74</v>
      </c>
      <c r="T389" t="s">
        <v>7562</v>
      </c>
      <c r="U389" t="s">
        <v>7563</v>
      </c>
      <c r="V389" t="s">
        <v>7564</v>
      </c>
      <c r="W389" t="s">
        <v>7565</v>
      </c>
      <c r="X389" t="s">
        <v>7566</v>
      </c>
      <c r="Y389" t="s">
        <v>7567</v>
      </c>
      <c r="Z389" t="s">
        <v>7568</v>
      </c>
      <c r="AA389" t="s">
        <v>7569</v>
      </c>
      <c r="AB389" t="s">
        <v>74</v>
      </c>
      <c r="AC389" t="s">
        <v>7570</v>
      </c>
      <c r="AD389" t="s">
        <v>7571</v>
      </c>
      <c r="AE389" t="s">
        <v>7572</v>
      </c>
      <c r="AF389" t="s">
        <v>74</v>
      </c>
      <c r="AG389">
        <v>45</v>
      </c>
      <c r="AH389">
        <v>42</v>
      </c>
      <c r="AI389">
        <v>43</v>
      </c>
      <c r="AJ389">
        <v>5</v>
      </c>
      <c r="AK389">
        <v>83</v>
      </c>
      <c r="AL389" t="s">
        <v>3290</v>
      </c>
      <c r="AM389" t="s">
        <v>2520</v>
      </c>
      <c r="AN389" t="s">
        <v>3291</v>
      </c>
      <c r="AO389" t="s">
        <v>7552</v>
      </c>
      <c r="AP389" t="s">
        <v>7553</v>
      </c>
      <c r="AQ389" t="s">
        <v>74</v>
      </c>
      <c r="AR389" t="s">
        <v>7554</v>
      </c>
      <c r="AS389" t="s">
        <v>7555</v>
      </c>
      <c r="AT389" t="s">
        <v>3269</v>
      </c>
      <c r="AU389">
        <v>2019</v>
      </c>
      <c r="AV389">
        <v>646</v>
      </c>
      <c r="AW389" t="s">
        <v>74</v>
      </c>
      <c r="AX389" t="s">
        <v>74</v>
      </c>
      <c r="AY389" t="s">
        <v>74</v>
      </c>
      <c r="AZ389" t="s">
        <v>74</v>
      </c>
      <c r="BA389" t="s">
        <v>74</v>
      </c>
      <c r="BB389">
        <v>951</v>
      </c>
      <c r="BC389">
        <v>957</v>
      </c>
      <c r="BD389" t="s">
        <v>74</v>
      </c>
      <c r="BE389" t="s">
        <v>7573</v>
      </c>
      <c r="BF389" t="str">
        <f>HYPERLINK("http://dx.doi.org/10.1016/j.scitotenv.2018.07.152","http://dx.doi.org/10.1016/j.scitotenv.2018.07.152")</f>
        <v>http://dx.doi.org/10.1016/j.scitotenv.2018.07.152</v>
      </c>
      <c r="BG389" t="s">
        <v>74</v>
      </c>
      <c r="BH389" t="s">
        <v>74</v>
      </c>
      <c r="BI389">
        <v>7</v>
      </c>
      <c r="BJ389" t="s">
        <v>798</v>
      </c>
      <c r="BK389" t="s">
        <v>101</v>
      </c>
      <c r="BL389" t="s">
        <v>799</v>
      </c>
      <c r="BM389" t="s">
        <v>7557</v>
      </c>
      <c r="BN389">
        <v>30067965</v>
      </c>
      <c r="BO389" t="s">
        <v>74</v>
      </c>
      <c r="BP389" t="s">
        <v>74</v>
      </c>
      <c r="BQ389" t="s">
        <v>74</v>
      </c>
      <c r="BR389" t="s">
        <v>104</v>
      </c>
      <c r="BS389" t="s">
        <v>7574</v>
      </c>
      <c r="BT389" t="str">
        <f>HYPERLINK("https%3A%2F%2Fwww.webofscience.com%2Fwos%2Fwoscc%2Ffull-record%2FWOS:000445164800092","View Full Record in Web of Science")</f>
        <v>View Full Record in Web of Science</v>
      </c>
    </row>
    <row r="390" spans="1:72" x14ac:dyDescent="0.15">
      <c r="A390" t="s">
        <v>72</v>
      </c>
      <c r="B390" t="s">
        <v>7575</v>
      </c>
      <c r="C390" t="s">
        <v>74</v>
      </c>
      <c r="D390" t="s">
        <v>74</v>
      </c>
      <c r="E390" t="s">
        <v>74</v>
      </c>
      <c r="F390" t="s">
        <v>7576</v>
      </c>
      <c r="G390" t="s">
        <v>74</v>
      </c>
      <c r="H390" t="s">
        <v>74</v>
      </c>
      <c r="I390" t="s">
        <v>7577</v>
      </c>
      <c r="J390" t="s">
        <v>7578</v>
      </c>
      <c r="K390" t="s">
        <v>74</v>
      </c>
      <c r="L390" t="s">
        <v>74</v>
      </c>
      <c r="M390" t="s">
        <v>78</v>
      </c>
      <c r="N390" t="s">
        <v>79</v>
      </c>
      <c r="O390" t="s">
        <v>74</v>
      </c>
      <c r="P390" t="s">
        <v>74</v>
      </c>
      <c r="Q390" t="s">
        <v>74</v>
      </c>
      <c r="R390" t="s">
        <v>74</v>
      </c>
      <c r="S390" t="s">
        <v>74</v>
      </c>
      <c r="T390" t="s">
        <v>7579</v>
      </c>
      <c r="U390" t="s">
        <v>7580</v>
      </c>
      <c r="V390" t="s">
        <v>7581</v>
      </c>
      <c r="W390" t="s">
        <v>7582</v>
      </c>
      <c r="X390" t="s">
        <v>7583</v>
      </c>
      <c r="Y390" t="s">
        <v>7584</v>
      </c>
      <c r="Z390" t="s">
        <v>7585</v>
      </c>
      <c r="AA390" t="s">
        <v>7586</v>
      </c>
      <c r="AB390" t="s">
        <v>7587</v>
      </c>
      <c r="AC390" t="s">
        <v>7588</v>
      </c>
      <c r="AD390" t="s">
        <v>7589</v>
      </c>
      <c r="AE390" t="s">
        <v>7590</v>
      </c>
      <c r="AF390" t="s">
        <v>74</v>
      </c>
      <c r="AG390">
        <v>92</v>
      </c>
      <c r="AH390">
        <v>76</v>
      </c>
      <c r="AI390">
        <v>79</v>
      </c>
      <c r="AJ390">
        <v>1</v>
      </c>
      <c r="AK390">
        <v>18</v>
      </c>
      <c r="AL390" t="s">
        <v>3352</v>
      </c>
      <c r="AM390" t="s">
        <v>3353</v>
      </c>
      <c r="AN390" t="s">
        <v>3354</v>
      </c>
      <c r="AO390" t="s">
        <v>7591</v>
      </c>
      <c r="AP390" t="s">
        <v>7592</v>
      </c>
      <c r="AQ390" t="s">
        <v>74</v>
      </c>
      <c r="AR390" t="s">
        <v>7593</v>
      </c>
      <c r="AS390" t="s">
        <v>7594</v>
      </c>
      <c r="AT390" t="s">
        <v>3269</v>
      </c>
      <c r="AU390">
        <v>2019</v>
      </c>
      <c r="AV390">
        <v>244</v>
      </c>
      <c r="AW390" t="s">
        <v>74</v>
      </c>
      <c r="AX390" t="s">
        <v>74</v>
      </c>
      <c r="AY390" t="s">
        <v>74</v>
      </c>
      <c r="AZ390" t="s">
        <v>74</v>
      </c>
      <c r="BA390" t="s">
        <v>74</v>
      </c>
      <c r="BB390">
        <v>416</v>
      </c>
      <c r="BC390">
        <v>436</v>
      </c>
      <c r="BD390" t="s">
        <v>74</v>
      </c>
      <c r="BE390" t="s">
        <v>7595</v>
      </c>
      <c r="BF390" t="str">
        <f>HYPERLINK("http://dx.doi.org/10.1016/j.gca.2018.10.017","http://dx.doi.org/10.1016/j.gca.2018.10.017")</f>
        <v>http://dx.doi.org/10.1016/j.gca.2018.10.017</v>
      </c>
      <c r="BG390" t="s">
        <v>74</v>
      </c>
      <c r="BH390" t="s">
        <v>74</v>
      </c>
      <c r="BI390">
        <v>21</v>
      </c>
      <c r="BJ390" t="s">
        <v>746</v>
      </c>
      <c r="BK390" t="s">
        <v>101</v>
      </c>
      <c r="BL390" t="s">
        <v>746</v>
      </c>
      <c r="BM390" t="s">
        <v>7596</v>
      </c>
      <c r="BN390" t="s">
        <v>74</v>
      </c>
      <c r="BO390" t="s">
        <v>5374</v>
      </c>
      <c r="BP390" t="s">
        <v>74</v>
      </c>
      <c r="BQ390" t="s">
        <v>74</v>
      </c>
      <c r="BR390" t="s">
        <v>104</v>
      </c>
      <c r="BS390" t="s">
        <v>7597</v>
      </c>
      <c r="BT390" t="str">
        <f>HYPERLINK("https%3A%2F%2Fwww.webofscience.com%2Fwos%2Fwoscc%2Ffull-record%2FWOS:000451066300026","View Full Record in Web of Science")</f>
        <v>View Full Record in Web of Science</v>
      </c>
    </row>
    <row r="391" spans="1:72" x14ac:dyDescent="0.15">
      <c r="A391" t="s">
        <v>72</v>
      </c>
      <c r="B391" t="s">
        <v>7598</v>
      </c>
      <c r="C391" t="s">
        <v>74</v>
      </c>
      <c r="D391" t="s">
        <v>74</v>
      </c>
      <c r="E391" t="s">
        <v>74</v>
      </c>
      <c r="F391" t="s">
        <v>7599</v>
      </c>
      <c r="G391" t="s">
        <v>74</v>
      </c>
      <c r="H391" t="s">
        <v>74</v>
      </c>
      <c r="I391" t="s">
        <v>7600</v>
      </c>
      <c r="J391" t="s">
        <v>7601</v>
      </c>
      <c r="K391" t="s">
        <v>74</v>
      </c>
      <c r="L391" t="s">
        <v>74</v>
      </c>
      <c r="M391" t="s">
        <v>78</v>
      </c>
      <c r="N391" t="s">
        <v>79</v>
      </c>
      <c r="O391" t="s">
        <v>74</v>
      </c>
      <c r="P391" t="s">
        <v>74</v>
      </c>
      <c r="Q391" t="s">
        <v>74</v>
      </c>
      <c r="R391" t="s">
        <v>74</v>
      </c>
      <c r="S391" t="s">
        <v>74</v>
      </c>
      <c r="T391" t="s">
        <v>7602</v>
      </c>
      <c r="U391" t="s">
        <v>7603</v>
      </c>
      <c r="V391" t="s">
        <v>7604</v>
      </c>
      <c r="W391" t="s">
        <v>7605</v>
      </c>
      <c r="X391" t="s">
        <v>7606</v>
      </c>
      <c r="Y391" t="s">
        <v>7607</v>
      </c>
      <c r="Z391" t="s">
        <v>7608</v>
      </c>
      <c r="AA391" t="s">
        <v>7609</v>
      </c>
      <c r="AB391" t="s">
        <v>7610</v>
      </c>
      <c r="AC391" t="s">
        <v>7611</v>
      </c>
      <c r="AD391" t="s">
        <v>7612</v>
      </c>
      <c r="AE391" t="s">
        <v>7613</v>
      </c>
      <c r="AF391" t="s">
        <v>74</v>
      </c>
      <c r="AG391">
        <v>22</v>
      </c>
      <c r="AH391">
        <v>16</v>
      </c>
      <c r="AI391">
        <v>19</v>
      </c>
      <c r="AJ391">
        <v>1</v>
      </c>
      <c r="AK391">
        <v>12</v>
      </c>
      <c r="AL391" t="s">
        <v>2289</v>
      </c>
      <c r="AM391" t="s">
        <v>2290</v>
      </c>
      <c r="AN391" t="s">
        <v>7614</v>
      </c>
      <c r="AO391" t="s">
        <v>7615</v>
      </c>
      <c r="AP391" t="s">
        <v>7616</v>
      </c>
      <c r="AQ391" t="s">
        <v>74</v>
      </c>
      <c r="AR391" t="s">
        <v>7617</v>
      </c>
      <c r="AS391" t="s">
        <v>7618</v>
      </c>
      <c r="AT391" t="s">
        <v>718</v>
      </c>
      <c r="AU391">
        <v>2019</v>
      </c>
      <c r="AV391">
        <v>131</v>
      </c>
      <c r="AW391">
        <v>995</v>
      </c>
      <c r="AX391" t="s">
        <v>74</v>
      </c>
      <c r="AY391" t="s">
        <v>74</v>
      </c>
      <c r="AZ391" t="s">
        <v>74</v>
      </c>
      <c r="BA391" t="s">
        <v>74</v>
      </c>
      <c r="BB391" t="s">
        <v>74</v>
      </c>
      <c r="BC391" t="s">
        <v>74</v>
      </c>
      <c r="BD391">
        <v>15001</v>
      </c>
      <c r="BE391" t="s">
        <v>7619</v>
      </c>
      <c r="BF391" t="str">
        <f>HYPERLINK("http://dx.doi.org/10.1088/1538-3873/aae916","http://dx.doi.org/10.1088/1538-3873/aae916")</f>
        <v>http://dx.doi.org/10.1088/1538-3873/aae916</v>
      </c>
      <c r="BG391" t="s">
        <v>74</v>
      </c>
      <c r="BH391" t="s">
        <v>74</v>
      </c>
      <c r="BI391">
        <v>19</v>
      </c>
      <c r="BJ391" t="s">
        <v>2351</v>
      </c>
      <c r="BK391" t="s">
        <v>101</v>
      </c>
      <c r="BL391" t="s">
        <v>2351</v>
      </c>
      <c r="BM391" t="s">
        <v>7620</v>
      </c>
      <c r="BN391" t="s">
        <v>74</v>
      </c>
      <c r="BO391" t="s">
        <v>7017</v>
      </c>
      <c r="BP391" t="s">
        <v>74</v>
      </c>
      <c r="BQ391" t="s">
        <v>74</v>
      </c>
      <c r="BR391" t="s">
        <v>104</v>
      </c>
      <c r="BS391" t="s">
        <v>7621</v>
      </c>
      <c r="BT391" t="str">
        <f>HYPERLINK("https%3A%2F%2Fwww.webofscience.com%2Fwos%2Fwoscc%2Ffull-record%2FWOS:000451423800001","View Full Record in Web of Science")</f>
        <v>View Full Record in Web of Science</v>
      </c>
    </row>
    <row r="392" spans="1:72" x14ac:dyDescent="0.15">
      <c r="A392" t="s">
        <v>133</v>
      </c>
      <c r="B392" t="s">
        <v>7622</v>
      </c>
      <c r="C392" t="s">
        <v>74</v>
      </c>
      <c r="D392" t="s">
        <v>7623</v>
      </c>
      <c r="E392" t="s">
        <v>74</v>
      </c>
      <c r="F392" t="s">
        <v>7624</v>
      </c>
      <c r="G392" t="s">
        <v>74</v>
      </c>
      <c r="H392" t="s">
        <v>74</v>
      </c>
      <c r="I392" t="s">
        <v>7625</v>
      </c>
      <c r="J392" t="s">
        <v>7626</v>
      </c>
      <c r="K392" t="s">
        <v>7627</v>
      </c>
      <c r="L392" t="s">
        <v>74</v>
      </c>
      <c r="M392" t="s">
        <v>78</v>
      </c>
      <c r="N392" t="s">
        <v>140</v>
      </c>
      <c r="O392" t="s">
        <v>74</v>
      </c>
      <c r="P392" t="s">
        <v>74</v>
      </c>
      <c r="Q392" t="s">
        <v>74</v>
      </c>
      <c r="R392" t="s">
        <v>74</v>
      </c>
      <c r="S392" t="s">
        <v>74</v>
      </c>
      <c r="T392" t="s">
        <v>7628</v>
      </c>
      <c r="U392" t="s">
        <v>7629</v>
      </c>
      <c r="V392" t="s">
        <v>7630</v>
      </c>
      <c r="W392" t="s">
        <v>7631</v>
      </c>
      <c r="X392" t="s">
        <v>7632</v>
      </c>
      <c r="Y392" t="s">
        <v>7633</v>
      </c>
      <c r="Z392" t="s">
        <v>7634</v>
      </c>
      <c r="AA392" t="s">
        <v>74</v>
      </c>
      <c r="AB392" t="s">
        <v>74</v>
      </c>
      <c r="AC392" t="s">
        <v>74</v>
      </c>
      <c r="AD392" t="s">
        <v>74</v>
      </c>
      <c r="AE392" t="s">
        <v>74</v>
      </c>
      <c r="AF392" t="s">
        <v>74</v>
      </c>
      <c r="AG392">
        <v>26</v>
      </c>
      <c r="AH392">
        <v>2</v>
      </c>
      <c r="AI392">
        <v>5</v>
      </c>
      <c r="AJ392">
        <v>1</v>
      </c>
      <c r="AK392">
        <v>2</v>
      </c>
      <c r="AL392" t="s">
        <v>1203</v>
      </c>
      <c r="AM392" t="s">
        <v>1204</v>
      </c>
      <c r="AN392" t="s">
        <v>1205</v>
      </c>
      <c r="AO392" t="s">
        <v>7635</v>
      </c>
      <c r="AP392" t="s">
        <v>7636</v>
      </c>
      <c r="AQ392" t="s">
        <v>7637</v>
      </c>
      <c r="AR392" t="s">
        <v>7638</v>
      </c>
      <c r="AS392" t="s">
        <v>74</v>
      </c>
      <c r="AT392" t="s">
        <v>74</v>
      </c>
      <c r="AU392">
        <v>2019</v>
      </c>
      <c r="AV392" t="s">
        <v>74</v>
      </c>
      <c r="AW392" t="s">
        <v>74</v>
      </c>
      <c r="AX392" t="s">
        <v>74</v>
      </c>
      <c r="AY392" t="s">
        <v>74</v>
      </c>
      <c r="AZ392" t="s">
        <v>74</v>
      </c>
      <c r="BA392" t="s">
        <v>74</v>
      </c>
      <c r="BB392">
        <v>195</v>
      </c>
      <c r="BC392">
        <v>207</v>
      </c>
      <c r="BD392" t="s">
        <v>74</v>
      </c>
      <c r="BE392" t="s">
        <v>7639</v>
      </c>
      <c r="BF392" t="str">
        <f>HYPERLINK("http://dx.doi.org/10.1007/978-3-319-76853-3_15","http://dx.doi.org/10.1007/978-3-319-76853-3_15")</f>
        <v>http://dx.doi.org/10.1007/978-3-319-76853-3_15</v>
      </c>
      <c r="BG392" t="s">
        <v>7640</v>
      </c>
      <c r="BH392" t="s">
        <v>74</v>
      </c>
      <c r="BI392">
        <v>13</v>
      </c>
      <c r="BJ392" t="s">
        <v>7641</v>
      </c>
      <c r="BK392" t="s">
        <v>159</v>
      </c>
      <c r="BL392" t="s">
        <v>7642</v>
      </c>
      <c r="BM392" t="s">
        <v>7643</v>
      </c>
      <c r="BN392" t="s">
        <v>74</v>
      </c>
      <c r="BO392" t="s">
        <v>74</v>
      </c>
      <c r="BP392" t="s">
        <v>74</v>
      </c>
      <c r="BQ392" t="s">
        <v>74</v>
      </c>
      <c r="BR392" t="s">
        <v>104</v>
      </c>
      <c r="BS392" t="s">
        <v>7644</v>
      </c>
      <c r="BT392" t="str">
        <f>HYPERLINK("https%3A%2F%2Fwww.webofscience.com%2Fwos%2Fwoscc%2Ffull-record%2FWOS:000449986200014","View Full Record in Web of Science")</f>
        <v>View Full Record in Web of Science</v>
      </c>
    </row>
    <row r="393" spans="1:72" x14ac:dyDescent="0.15">
      <c r="A393" t="s">
        <v>72</v>
      </c>
      <c r="B393" t="s">
        <v>7645</v>
      </c>
      <c r="C393" t="s">
        <v>74</v>
      </c>
      <c r="D393" t="s">
        <v>74</v>
      </c>
      <c r="E393" t="s">
        <v>74</v>
      </c>
      <c r="F393" t="s">
        <v>7646</v>
      </c>
      <c r="G393" t="s">
        <v>74</v>
      </c>
      <c r="H393" t="s">
        <v>74</v>
      </c>
      <c r="I393" t="s">
        <v>7647</v>
      </c>
      <c r="J393" t="s">
        <v>7648</v>
      </c>
      <c r="K393" t="s">
        <v>74</v>
      </c>
      <c r="L393" t="s">
        <v>74</v>
      </c>
      <c r="M393" t="s">
        <v>78</v>
      </c>
      <c r="N393" t="s">
        <v>79</v>
      </c>
      <c r="O393" t="s">
        <v>74</v>
      </c>
      <c r="P393" t="s">
        <v>74</v>
      </c>
      <c r="Q393" t="s">
        <v>74</v>
      </c>
      <c r="R393" t="s">
        <v>74</v>
      </c>
      <c r="S393" t="s">
        <v>74</v>
      </c>
      <c r="T393" t="s">
        <v>7649</v>
      </c>
      <c r="U393" t="s">
        <v>7650</v>
      </c>
      <c r="V393" t="s">
        <v>7651</v>
      </c>
      <c r="W393" t="s">
        <v>7652</v>
      </c>
      <c r="X393" t="s">
        <v>7653</v>
      </c>
      <c r="Y393" t="s">
        <v>7654</v>
      </c>
      <c r="Z393" t="s">
        <v>7655</v>
      </c>
      <c r="AA393" t="s">
        <v>7656</v>
      </c>
      <c r="AB393" t="s">
        <v>7657</v>
      </c>
      <c r="AC393" t="s">
        <v>7658</v>
      </c>
      <c r="AD393" t="s">
        <v>7658</v>
      </c>
      <c r="AE393" t="s">
        <v>7659</v>
      </c>
      <c r="AF393" t="s">
        <v>74</v>
      </c>
      <c r="AG393">
        <v>26</v>
      </c>
      <c r="AH393">
        <v>6</v>
      </c>
      <c r="AI393">
        <v>6</v>
      </c>
      <c r="AJ393">
        <v>0</v>
      </c>
      <c r="AK393">
        <v>30</v>
      </c>
      <c r="AL393" t="s">
        <v>7660</v>
      </c>
      <c r="AM393" t="s">
        <v>7661</v>
      </c>
      <c r="AN393" t="s">
        <v>7662</v>
      </c>
      <c r="AO393" t="s">
        <v>7663</v>
      </c>
      <c r="AP393" t="s">
        <v>74</v>
      </c>
      <c r="AQ393" t="s">
        <v>74</v>
      </c>
      <c r="AR393" t="s">
        <v>7648</v>
      </c>
      <c r="AS393" t="s">
        <v>7664</v>
      </c>
      <c r="AT393" t="s">
        <v>7665</v>
      </c>
      <c r="AU393">
        <v>2018</v>
      </c>
      <c r="AV393">
        <v>70</v>
      </c>
      <c r="AW393" t="s">
        <v>74</v>
      </c>
      <c r="AX393" t="s">
        <v>74</v>
      </c>
      <c r="AY393" t="s">
        <v>74</v>
      </c>
      <c r="AZ393" t="s">
        <v>74</v>
      </c>
      <c r="BA393" t="s">
        <v>74</v>
      </c>
      <c r="BB393">
        <v>185</v>
      </c>
      <c r="BC393">
        <v>192</v>
      </c>
      <c r="BD393" t="s">
        <v>74</v>
      </c>
      <c r="BE393" t="s">
        <v>7666</v>
      </c>
      <c r="BF393" t="str">
        <f>HYPERLINK("http://dx.doi.org/10.12905/0380.sydowia70-2018-0185","http://dx.doi.org/10.12905/0380.sydowia70-2018-0185")</f>
        <v>http://dx.doi.org/10.12905/0380.sydowia70-2018-0185</v>
      </c>
      <c r="BG393" t="s">
        <v>74</v>
      </c>
      <c r="BH393" t="s">
        <v>74</v>
      </c>
      <c r="BI393">
        <v>8</v>
      </c>
      <c r="BJ393" t="s">
        <v>7667</v>
      </c>
      <c r="BK393" t="s">
        <v>101</v>
      </c>
      <c r="BL393" t="s">
        <v>7667</v>
      </c>
      <c r="BM393" t="s">
        <v>7668</v>
      </c>
      <c r="BN393" t="s">
        <v>74</v>
      </c>
      <c r="BO393" t="s">
        <v>74</v>
      </c>
      <c r="BP393" t="s">
        <v>74</v>
      </c>
      <c r="BQ393" t="s">
        <v>74</v>
      </c>
      <c r="BR393" t="s">
        <v>104</v>
      </c>
      <c r="BS393" t="s">
        <v>7669</v>
      </c>
      <c r="BT393" t="str">
        <f>HYPERLINK("https%3A%2F%2Fwww.webofscience.com%2Fwos%2Fwoscc%2Ffull-record%2FWOS:000456906000018","View Full Record in Web of Science")</f>
        <v>View Full Record in Web of Science</v>
      </c>
    </row>
    <row r="394" spans="1:72" x14ac:dyDescent="0.15">
      <c r="A394" t="s">
        <v>72</v>
      </c>
      <c r="B394" t="s">
        <v>7670</v>
      </c>
      <c r="C394" t="s">
        <v>74</v>
      </c>
      <c r="D394" t="s">
        <v>74</v>
      </c>
      <c r="E394" t="s">
        <v>74</v>
      </c>
      <c r="F394" t="s">
        <v>7671</v>
      </c>
      <c r="G394" t="s">
        <v>74</v>
      </c>
      <c r="H394" t="s">
        <v>74</v>
      </c>
      <c r="I394" t="s">
        <v>7672</v>
      </c>
      <c r="J394" t="s">
        <v>7648</v>
      </c>
      <c r="K394" t="s">
        <v>74</v>
      </c>
      <c r="L394" t="s">
        <v>74</v>
      </c>
      <c r="M394" t="s">
        <v>78</v>
      </c>
      <c r="N394" t="s">
        <v>79</v>
      </c>
      <c r="O394" t="s">
        <v>74</v>
      </c>
      <c r="P394" t="s">
        <v>74</v>
      </c>
      <c r="Q394" t="s">
        <v>74</v>
      </c>
      <c r="R394" t="s">
        <v>74</v>
      </c>
      <c r="S394" t="s">
        <v>74</v>
      </c>
      <c r="T394" t="s">
        <v>7673</v>
      </c>
      <c r="U394" t="s">
        <v>7674</v>
      </c>
      <c r="V394" t="s">
        <v>7675</v>
      </c>
      <c r="W394" t="s">
        <v>7676</v>
      </c>
      <c r="X394" t="s">
        <v>7677</v>
      </c>
      <c r="Y394" t="s">
        <v>7678</v>
      </c>
      <c r="Z394" t="s">
        <v>7679</v>
      </c>
      <c r="AA394" t="s">
        <v>7680</v>
      </c>
      <c r="AB394" t="s">
        <v>7681</v>
      </c>
      <c r="AC394" t="s">
        <v>7682</v>
      </c>
      <c r="AD394" t="s">
        <v>7683</v>
      </c>
      <c r="AE394" t="s">
        <v>7684</v>
      </c>
      <c r="AF394" t="s">
        <v>74</v>
      </c>
      <c r="AG394">
        <v>290</v>
      </c>
      <c r="AH394">
        <v>30</v>
      </c>
      <c r="AI394">
        <v>36</v>
      </c>
      <c r="AJ394">
        <v>2</v>
      </c>
      <c r="AK394">
        <v>66</v>
      </c>
      <c r="AL394" t="s">
        <v>7660</v>
      </c>
      <c r="AM394" t="s">
        <v>7661</v>
      </c>
      <c r="AN394" t="s">
        <v>7662</v>
      </c>
      <c r="AO394" t="s">
        <v>7663</v>
      </c>
      <c r="AP394" t="s">
        <v>74</v>
      </c>
      <c r="AQ394" t="s">
        <v>74</v>
      </c>
      <c r="AR394" t="s">
        <v>7648</v>
      </c>
      <c r="AS394" t="s">
        <v>7664</v>
      </c>
      <c r="AT394" t="s">
        <v>7665</v>
      </c>
      <c r="AU394">
        <v>2018</v>
      </c>
      <c r="AV394">
        <v>70</v>
      </c>
      <c r="AW394" t="s">
        <v>74</v>
      </c>
      <c r="AX394" t="s">
        <v>74</v>
      </c>
      <c r="AY394" t="s">
        <v>74</v>
      </c>
      <c r="AZ394" t="s">
        <v>74</v>
      </c>
      <c r="BA394" t="s">
        <v>74</v>
      </c>
      <c r="BB394">
        <v>211</v>
      </c>
      <c r="BC394">
        <v>286</v>
      </c>
      <c r="BD394" t="s">
        <v>74</v>
      </c>
      <c r="BE394" t="s">
        <v>7685</v>
      </c>
      <c r="BF394" t="str">
        <f>HYPERLINK("http://dx.doi.org/10.12905/0380.sydowia70-2018-0211","http://dx.doi.org/10.12905/0380.sydowia70-2018-0211")</f>
        <v>http://dx.doi.org/10.12905/0380.sydowia70-2018-0211</v>
      </c>
      <c r="BG394" t="s">
        <v>74</v>
      </c>
      <c r="BH394" t="s">
        <v>74</v>
      </c>
      <c r="BI394">
        <v>76</v>
      </c>
      <c r="BJ394" t="s">
        <v>7667</v>
      </c>
      <c r="BK394" t="s">
        <v>101</v>
      </c>
      <c r="BL394" t="s">
        <v>7667</v>
      </c>
      <c r="BM394" t="s">
        <v>7668</v>
      </c>
      <c r="BN394" t="s">
        <v>74</v>
      </c>
      <c r="BO394" t="s">
        <v>74</v>
      </c>
      <c r="BP394" t="s">
        <v>74</v>
      </c>
      <c r="BQ394" t="s">
        <v>74</v>
      </c>
      <c r="BR394" t="s">
        <v>104</v>
      </c>
      <c r="BS394" t="s">
        <v>7686</v>
      </c>
      <c r="BT394" t="str">
        <f>HYPERLINK("https%3A%2F%2Fwww.webofscience.com%2Fwos%2Fwoscc%2Ffull-record%2FWOS:000456906000021","View Full Record in Web of Science")</f>
        <v>View Full Record in Web of Science</v>
      </c>
    </row>
    <row r="395" spans="1:72" x14ac:dyDescent="0.15">
      <c r="A395" t="s">
        <v>72</v>
      </c>
      <c r="B395" t="s">
        <v>7687</v>
      </c>
      <c r="C395" t="s">
        <v>74</v>
      </c>
      <c r="D395" t="s">
        <v>74</v>
      </c>
      <c r="E395" t="s">
        <v>74</v>
      </c>
      <c r="F395" t="s">
        <v>7688</v>
      </c>
      <c r="G395" t="s">
        <v>74</v>
      </c>
      <c r="H395" t="s">
        <v>74</v>
      </c>
      <c r="I395" t="s">
        <v>7689</v>
      </c>
      <c r="J395" t="s">
        <v>7690</v>
      </c>
      <c r="K395" t="s">
        <v>74</v>
      </c>
      <c r="L395" t="s">
        <v>74</v>
      </c>
      <c r="M395" t="s">
        <v>78</v>
      </c>
      <c r="N395" t="s">
        <v>79</v>
      </c>
      <c r="O395" t="s">
        <v>74</v>
      </c>
      <c r="P395" t="s">
        <v>74</v>
      </c>
      <c r="Q395" t="s">
        <v>74</v>
      </c>
      <c r="R395" t="s">
        <v>74</v>
      </c>
      <c r="S395" t="s">
        <v>74</v>
      </c>
      <c r="T395" t="s">
        <v>7691</v>
      </c>
      <c r="U395" t="s">
        <v>7692</v>
      </c>
      <c r="V395" t="s">
        <v>7693</v>
      </c>
      <c r="W395" t="s">
        <v>7694</v>
      </c>
      <c r="X395" t="s">
        <v>7695</v>
      </c>
      <c r="Y395" t="s">
        <v>7696</v>
      </c>
      <c r="Z395" t="s">
        <v>7697</v>
      </c>
      <c r="AA395" t="s">
        <v>74</v>
      </c>
      <c r="AB395" t="s">
        <v>74</v>
      </c>
      <c r="AC395" t="s">
        <v>7698</v>
      </c>
      <c r="AD395" t="s">
        <v>7699</v>
      </c>
      <c r="AE395" t="s">
        <v>7700</v>
      </c>
      <c r="AF395" t="s">
        <v>74</v>
      </c>
      <c r="AG395">
        <v>91</v>
      </c>
      <c r="AH395">
        <v>4</v>
      </c>
      <c r="AI395">
        <v>4</v>
      </c>
      <c r="AJ395">
        <v>3</v>
      </c>
      <c r="AK395">
        <v>65</v>
      </c>
      <c r="AL395" t="s">
        <v>7701</v>
      </c>
      <c r="AM395" t="s">
        <v>3008</v>
      </c>
      <c r="AN395" t="s">
        <v>7702</v>
      </c>
      <c r="AO395" t="s">
        <v>7703</v>
      </c>
      <c r="AP395" t="s">
        <v>7704</v>
      </c>
      <c r="AQ395" t="s">
        <v>74</v>
      </c>
      <c r="AR395" t="s">
        <v>7705</v>
      </c>
      <c r="AS395" t="s">
        <v>7706</v>
      </c>
      <c r="AT395" t="s">
        <v>7665</v>
      </c>
      <c r="AU395">
        <v>2018</v>
      </c>
      <c r="AV395">
        <v>215</v>
      </c>
      <c r="AW395" t="s">
        <v>74</v>
      </c>
      <c r="AX395" t="s">
        <v>74</v>
      </c>
      <c r="AY395" t="s">
        <v>74</v>
      </c>
      <c r="AZ395" t="s">
        <v>74</v>
      </c>
      <c r="BA395" t="s">
        <v>74</v>
      </c>
      <c r="BB395">
        <v>229</v>
      </c>
      <c r="BC395">
        <v>240</v>
      </c>
      <c r="BD395" t="s">
        <v>74</v>
      </c>
      <c r="BE395" t="s">
        <v>7707</v>
      </c>
      <c r="BF395" t="str">
        <f>HYPERLINK("http://dx.doi.org/10.1016/j.ecss.2018.10.020","http://dx.doi.org/10.1016/j.ecss.2018.10.020")</f>
        <v>http://dx.doi.org/10.1016/j.ecss.2018.10.020</v>
      </c>
      <c r="BG395" t="s">
        <v>74</v>
      </c>
      <c r="BH395" t="s">
        <v>74</v>
      </c>
      <c r="BI395">
        <v>12</v>
      </c>
      <c r="BJ395" t="s">
        <v>827</v>
      </c>
      <c r="BK395" t="s">
        <v>101</v>
      </c>
      <c r="BL395" t="s">
        <v>827</v>
      </c>
      <c r="BM395" t="s">
        <v>7708</v>
      </c>
      <c r="BN395" t="s">
        <v>74</v>
      </c>
      <c r="BO395" t="s">
        <v>74</v>
      </c>
      <c r="BP395" t="s">
        <v>74</v>
      </c>
      <c r="BQ395" t="s">
        <v>74</v>
      </c>
      <c r="BR395" t="s">
        <v>104</v>
      </c>
      <c r="BS395" t="s">
        <v>7709</v>
      </c>
      <c r="BT395" t="str">
        <f>HYPERLINK("https%3A%2F%2Fwww.webofscience.com%2Fwos%2Fwoscc%2Ffull-record%2FWOS:000452943100024","View Full Record in Web of Science")</f>
        <v>View Full Record in Web of Science</v>
      </c>
    </row>
    <row r="396" spans="1:72" x14ac:dyDescent="0.15">
      <c r="A396" t="s">
        <v>72</v>
      </c>
      <c r="B396" t="s">
        <v>7710</v>
      </c>
      <c r="C396" t="s">
        <v>74</v>
      </c>
      <c r="D396" t="s">
        <v>74</v>
      </c>
      <c r="E396" t="s">
        <v>74</v>
      </c>
      <c r="F396" t="s">
        <v>7711</v>
      </c>
      <c r="G396" t="s">
        <v>74</v>
      </c>
      <c r="H396" t="s">
        <v>74</v>
      </c>
      <c r="I396" t="s">
        <v>7712</v>
      </c>
      <c r="J396" t="s">
        <v>7713</v>
      </c>
      <c r="K396" t="s">
        <v>74</v>
      </c>
      <c r="L396" t="s">
        <v>74</v>
      </c>
      <c r="M396" t="s">
        <v>78</v>
      </c>
      <c r="N396" t="s">
        <v>79</v>
      </c>
      <c r="O396" t="s">
        <v>74</v>
      </c>
      <c r="P396" t="s">
        <v>74</v>
      </c>
      <c r="Q396" t="s">
        <v>74</v>
      </c>
      <c r="R396" t="s">
        <v>74</v>
      </c>
      <c r="S396" t="s">
        <v>74</v>
      </c>
      <c r="T396" t="s">
        <v>74</v>
      </c>
      <c r="U396" t="s">
        <v>7714</v>
      </c>
      <c r="V396" t="s">
        <v>7715</v>
      </c>
      <c r="W396" t="s">
        <v>7716</v>
      </c>
      <c r="X396" t="s">
        <v>7717</v>
      </c>
      <c r="Y396" t="s">
        <v>7718</v>
      </c>
      <c r="Z396" t="s">
        <v>7719</v>
      </c>
      <c r="AA396" t="s">
        <v>74</v>
      </c>
      <c r="AB396" t="s">
        <v>74</v>
      </c>
      <c r="AC396" t="s">
        <v>7720</v>
      </c>
      <c r="AD396" t="s">
        <v>7721</v>
      </c>
      <c r="AE396" t="s">
        <v>7722</v>
      </c>
      <c r="AF396" t="s">
        <v>74</v>
      </c>
      <c r="AG396">
        <v>29</v>
      </c>
      <c r="AH396">
        <v>1</v>
      </c>
      <c r="AI396">
        <v>1</v>
      </c>
      <c r="AJ396">
        <v>0</v>
      </c>
      <c r="AK396">
        <v>8</v>
      </c>
      <c r="AL396" t="s">
        <v>7723</v>
      </c>
      <c r="AM396" t="s">
        <v>3008</v>
      </c>
      <c r="AN396" t="s">
        <v>7724</v>
      </c>
      <c r="AO396" t="s">
        <v>7725</v>
      </c>
      <c r="AP396" t="s">
        <v>74</v>
      </c>
      <c r="AQ396" t="s">
        <v>74</v>
      </c>
      <c r="AR396" t="s">
        <v>7726</v>
      </c>
      <c r="AS396" t="s">
        <v>7727</v>
      </c>
      <c r="AT396" t="s">
        <v>7728</v>
      </c>
      <c r="AU396">
        <v>2018</v>
      </c>
      <c r="AV396">
        <v>5</v>
      </c>
      <c r="AW396" t="s">
        <v>74</v>
      </c>
      <c r="AX396" t="s">
        <v>74</v>
      </c>
      <c r="AY396" t="s">
        <v>74</v>
      </c>
      <c r="AZ396" t="s">
        <v>74</v>
      </c>
      <c r="BA396" t="s">
        <v>74</v>
      </c>
      <c r="BB396" t="s">
        <v>74</v>
      </c>
      <c r="BC396" t="s">
        <v>74</v>
      </c>
      <c r="BD396">
        <v>89</v>
      </c>
      <c r="BE396" t="s">
        <v>7729</v>
      </c>
      <c r="BF396" t="str">
        <f>HYPERLINK("http://dx.doi.org/10.1186/s40645-018-0247-9","http://dx.doi.org/10.1186/s40645-018-0247-9")</f>
        <v>http://dx.doi.org/10.1186/s40645-018-0247-9</v>
      </c>
      <c r="BG396" t="s">
        <v>74</v>
      </c>
      <c r="BH396" t="s">
        <v>74</v>
      </c>
      <c r="BI396">
        <v>8</v>
      </c>
      <c r="BJ396" t="s">
        <v>884</v>
      </c>
      <c r="BK396" t="s">
        <v>101</v>
      </c>
      <c r="BL396" t="s">
        <v>528</v>
      </c>
      <c r="BM396" t="s">
        <v>7730</v>
      </c>
      <c r="BN396" t="s">
        <v>74</v>
      </c>
      <c r="BO396" t="s">
        <v>131</v>
      </c>
      <c r="BP396" t="s">
        <v>74</v>
      </c>
      <c r="BQ396" t="s">
        <v>74</v>
      </c>
      <c r="BR396" t="s">
        <v>104</v>
      </c>
      <c r="BS396" t="s">
        <v>7731</v>
      </c>
      <c r="BT396" t="str">
        <f>HYPERLINK("https%3A%2F%2Fwww.webofscience.com%2Fwos%2Fwoscc%2Ffull-record%2FWOS:000454555700001","View Full Record in Web of Science")</f>
        <v>View Full Record in Web of Science</v>
      </c>
    </row>
    <row r="397" spans="1:72" x14ac:dyDescent="0.15">
      <c r="A397" t="s">
        <v>72</v>
      </c>
      <c r="B397" t="s">
        <v>7732</v>
      </c>
      <c r="C397" t="s">
        <v>74</v>
      </c>
      <c r="D397" t="s">
        <v>74</v>
      </c>
      <c r="E397" t="s">
        <v>74</v>
      </c>
      <c r="F397" t="s">
        <v>7733</v>
      </c>
      <c r="G397" t="s">
        <v>74</v>
      </c>
      <c r="H397" t="s">
        <v>74</v>
      </c>
      <c r="I397" t="s">
        <v>7734</v>
      </c>
      <c r="J397" t="s">
        <v>7735</v>
      </c>
      <c r="K397" t="s">
        <v>74</v>
      </c>
      <c r="L397" t="s">
        <v>74</v>
      </c>
      <c r="M397" t="s">
        <v>78</v>
      </c>
      <c r="N397" t="s">
        <v>79</v>
      </c>
      <c r="O397" t="s">
        <v>74</v>
      </c>
      <c r="P397" t="s">
        <v>74</v>
      </c>
      <c r="Q397" t="s">
        <v>74</v>
      </c>
      <c r="R397" t="s">
        <v>74</v>
      </c>
      <c r="S397" t="s">
        <v>74</v>
      </c>
      <c r="T397" t="s">
        <v>7736</v>
      </c>
      <c r="U397" t="s">
        <v>7737</v>
      </c>
      <c r="V397" t="s">
        <v>7738</v>
      </c>
      <c r="W397" t="s">
        <v>7739</v>
      </c>
      <c r="X397" t="s">
        <v>7740</v>
      </c>
      <c r="Y397" t="s">
        <v>7741</v>
      </c>
      <c r="Z397" t="s">
        <v>7742</v>
      </c>
      <c r="AA397" t="s">
        <v>7743</v>
      </c>
      <c r="AB397" t="s">
        <v>7744</v>
      </c>
      <c r="AC397" t="s">
        <v>7745</v>
      </c>
      <c r="AD397" t="s">
        <v>7746</v>
      </c>
      <c r="AE397" t="s">
        <v>7747</v>
      </c>
      <c r="AF397" t="s">
        <v>74</v>
      </c>
      <c r="AG397">
        <v>49</v>
      </c>
      <c r="AH397">
        <v>22</v>
      </c>
      <c r="AI397">
        <v>25</v>
      </c>
      <c r="AJ397">
        <v>0</v>
      </c>
      <c r="AK397">
        <v>14</v>
      </c>
      <c r="AL397" t="s">
        <v>4034</v>
      </c>
      <c r="AM397" t="s">
        <v>4035</v>
      </c>
      <c r="AN397" t="s">
        <v>4036</v>
      </c>
      <c r="AO397" t="s">
        <v>7748</v>
      </c>
      <c r="AP397" t="s">
        <v>7749</v>
      </c>
      <c r="AQ397" t="s">
        <v>74</v>
      </c>
      <c r="AR397" t="s">
        <v>7750</v>
      </c>
      <c r="AS397" t="s">
        <v>7751</v>
      </c>
      <c r="AT397" t="s">
        <v>7752</v>
      </c>
      <c r="AU397">
        <v>2018</v>
      </c>
      <c r="AV397">
        <v>45</v>
      </c>
      <c r="AW397">
        <v>24</v>
      </c>
      <c r="AX397" t="s">
        <v>74</v>
      </c>
      <c r="AY397" t="s">
        <v>74</v>
      </c>
      <c r="AZ397" t="s">
        <v>74</v>
      </c>
      <c r="BA397" t="s">
        <v>74</v>
      </c>
      <c r="BB397">
        <v>13322</v>
      </c>
      <c r="BC397">
        <v>13331</v>
      </c>
      <c r="BD397" t="s">
        <v>74</v>
      </c>
      <c r="BE397" t="s">
        <v>7753</v>
      </c>
      <c r="BF397" t="str">
        <f>HYPERLINK("http://dx.doi.org/10.1029/2018GL080369","http://dx.doi.org/10.1029/2018GL080369")</f>
        <v>http://dx.doi.org/10.1029/2018GL080369</v>
      </c>
      <c r="BG397" t="s">
        <v>74</v>
      </c>
      <c r="BH397" t="s">
        <v>74</v>
      </c>
      <c r="BI397">
        <v>10</v>
      </c>
      <c r="BJ397" t="s">
        <v>884</v>
      </c>
      <c r="BK397" t="s">
        <v>101</v>
      </c>
      <c r="BL397" t="s">
        <v>528</v>
      </c>
      <c r="BM397" t="s">
        <v>7754</v>
      </c>
      <c r="BN397" t="s">
        <v>74</v>
      </c>
      <c r="BO397" t="s">
        <v>162</v>
      </c>
      <c r="BP397" t="s">
        <v>74</v>
      </c>
      <c r="BQ397" t="s">
        <v>74</v>
      </c>
      <c r="BR397" t="s">
        <v>104</v>
      </c>
      <c r="BS397" t="s">
        <v>7755</v>
      </c>
      <c r="BT397" t="str">
        <f>HYPERLINK("https%3A%2F%2Fwww.webofscience.com%2Fwos%2Fwoscc%2Ffull-record%2FWOS:000456404600017","View Full Record in Web of Science")</f>
        <v>View Full Record in Web of Science</v>
      </c>
    </row>
    <row r="398" spans="1:72" x14ac:dyDescent="0.15">
      <c r="A398" t="s">
        <v>72</v>
      </c>
      <c r="B398" t="s">
        <v>7756</v>
      </c>
      <c r="C398" t="s">
        <v>74</v>
      </c>
      <c r="D398" t="s">
        <v>74</v>
      </c>
      <c r="E398" t="s">
        <v>74</v>
      </c>
      <c r="F398" t="s">
        <v>7757</v>
      </c>
      <c r="G398" t="s">
        <v>74</v>
      </c>
      <c r="H398" t="s">
        <v>74</v>
      </c>
      <c r="I398" t="s">
        <v>7758</v>
      </c>
      <c r="J398" t="s">
        <v>7735</v>
      </c>
      <c r="K398" t="s">
        <v>74</v>
      </c>
      <c r="L398" t="s">
        <v>74</v>
      </c>
      <c r="M398" t="s">
        <v>78</v>
      </c>
      <c r="N398" t="s">
        <v>79</v>
      </c>
      <c r="O398" t="s">
        <v>74</v>
      </c>
      <c r="P398" t="s">
        <v>74</v>
      </c>
      <c r="Q398" t="s">
        <v>74</v>
      </c>
      <c r="R398" t="s">
        <v>74</v>
      </c>
      <c r="S398" t="s">
        <v>74</v>
      </c>
      <c r="T398" t="s">
        <v>74</v>
      </c>
      <c r="U398" t="s">
        <v>7759</v>
      </c>
      <c r="V398" t="s">
        <v>7760</v>
      </c>
      <c r="W398" t="s">
        <v>7761</v>
      </c>
      <c r="X398" t="s">
        <v>7762</v>
      </c>
      <c r="Y398" t="s">
        <v>7763</v>
      </c>
      <c r="Z398" t="s">
        <v>7764</v>
      </c>
      <c r="AA398" t="s">
        <v>7765</v>
      </c>
      <c r="AB398" t="s">
        <v>7766</v>
      </c>
      <c r="AC398" t="s">
        <v>7767</v>
      </c>
      <c r="AD398" t="s">
        <v>7768</v>
      </c>
      <c r="AE398" t="s">
        <v>7769</v>
      </c>
      <c r="AF398" t="s">
        <v>74</v>
      </c>
      <c r="AG398">
        <v>42</v>
      </c>
      <c r="AH398">
        <v>18</v>
      </c>
      <c r="AI398">
        <v>19</v>
      </c>
      <c r="AJ398">
        <v>0</v>
      </c>
      <c r="AK398">
        <v>10</v>
      </c>
      <c r="AL398" t="s">
        <v>4034</v>
      </c>
      <c r="AM398" t="s">
        <v>4035</v>
      </c>
      <c r="AN398" t="s">
        <v>4036</v>
      </c>
      <c r="AO398" t="s">
        <v>7748</v>
      </c>
      <c r="AP398" t="s">
        <v>7749</v>
      </c>
      <c r="AQ398" t="s">
        <v>74</v>
      </c>
      <c r="AR398" t="s">
        <v>7750</v>
      </c>
      <c r="AS398" t="s">
        <v>7751</v>
      </c>
      <c r="AT398" t="s">
        <v>7752</v>
      </c>
      <c r="AU398">
        <v>2018</v>
      </c>
      <c r="AV398">
        <v>45</v>
      </c>
      <c r="AW398">
        <v>24</v>
      </c>
      <c r="AX398" t="s">
        <v>74</v>
      </c>
      <c r="AY398" t="s">
        <v>74</v>
      </c>
      <c r="AZ398" t="s">
        <v>74</v>
      </c>
      <c r="BA398" t="s">
        <v>74</v>
      </c>
      <c r="BB398">
        <v>13386</v>
      </c>
      <c r="BC398">
        <v>13395</v>
      </c>
      <c r="BD398" t="s">
        <v>74</v>
      </c>
      <c r="BE398" t="s">
        <v>7770</v>
      </c>
      <c r="BF398" t="str">
        <f>HYPERLINK("http://dx.doi.org/10.1029/2018GL079986","http://dx.doi.org/10.1029/2018GL079986")</f>
        <v>http://dx.doi.org/10.1029/2018GL079986</v>
      </c>
      <c r="BG398" t="s">
        <v>74</v>
      </c>
      <c r="BH398" t="s">
        <v>74</v>
      </c>
      <c r="BI398">
        <v>10</v>
      </c>
      <c r="BJ398" t="s">
        <v>884</v>
      </c>
      <c r="BK398" t="s">
        <v>101</v>
      </c>
      <c r="BL398" t="s">
        <v>528</v>
      </c>
      <c r="BM398" t="s">
        <v>7754</v>
      </c>
      <c r="BN398" t="s">
        <v>74</v>
      </c>
      <c r="BO398" t="s">
        <v>6572</v>
      </c>
      <c r="BP398" t="s">
        <v>74</v>
      </c>
      <c r="BQ398" t="s">
        <v>74</v>
      </c>
      <c r="BR398" t="s">
        <v>104</v>
      </c>
      <c r="BS398" t="s">
        <v>7771</v>
      </c>
      <c r="BT398" t="str">
        <f>HYPERLINK("https%3A%2F%2Fwww.webofscience.com%2Fwos%2Fwoscc%2Ffull-record%2FWOS:000456404600024","View Full Record in Web of Science")</f>
        <v>View Full Record in Web of Science</v>
      </c>
    </row>
    <row r="399" spans="1:72" x14ac:dyDescent="0.15">
      <c r="A399" t="s">
        <v>72</v>
      </c>
      <c r="B399" t="s">
        <v>7772</v>
      </c>
      <c r="C399" t="s">
        <v>74</v>
      </c>
      <c r="D399" t="s">
        <v>74</v>
      </c>
      <c r="E399" t="s">
        <v>74</v>
      </c>
      <c r="F399" t="s">
        <v>7773</v>
      </c>
      <c r="G399" t="s">
        <v>74</v>
      </c>
      <c r="H399" t="s">
        <v>74</v>
      </c>
      <c r="I399" t="s">
        <v>7774</v>
      </c>
      <c r="J399" t="s">
        <v>7735</v>
      </c>
      <c r="K399" t="s">
        <v>74</v>
      </c>
      <c r="L399" t="s">
        <v>74</v>
      </c>
      <c r="M399" t="s">
        <v>78</v>
      </c>
      <c r="N399" t="s">
        <v>79</v>
      </c>
      <c r="O399" t="s">
        <v>74</v>
      </c>
      <c r="P399" t="s">
        <v>74</v>
      </c>
      <c r="Q399" t="s">
        <v>74</v>
      </c>
      <c r="R399" t="s">
        <v>74</v>
      </c>
      <c r="S399" t="s">
        <v>74</v>
      </c>
      <c r="T399" t="s">
        <v>7775</v>
      </c>
      <c r="U399" t="s">
        <v>7776</v>
      </c>
      <c r="V399" t="s">
        <v>7777</v>
      </c>
      <c r="W399" t="s">
        <v>7778</v>
      </c>
      <c r="X399" t="s">
        <v>7779</v>
      </c>
      <c r="Y399" t="s">
        <v>7780</v>
      </c>
      <c r="Z399" t="s">
        <v>7781</v>
      </c>
      <c r="AA399" t="s">
        <v>7782</v>
      </c>
      <c r="AB399" t="s">
        <v>7783</v>
      </c>
      <c r="AC399" t="s">
        <v>7784</v>
      </c>
      <c r="AD399" t="s">
        <v>7785</v>
      </c>
      <c r="AE399" t="s">
        <v>7786</v>
      </c>
      <c r="AF399" t="s">
        <v>74</v>
      </c>
      <c r="AG399">
        <v>33</v>
      </c>
      <c r="AH399">
        <v>4</v>
      </c>
      <c r="AI399">
        <v>5</v>
      </c>
      <c r="AJ399">
        <v>1</v>
      </c>
      <c r="AK399">
        <v>9</v>
      </c>
      <c r="AL399" t="s">
        <v>4034</v>
      </c>
      <c r="AM399" t="s">
        <v>4035</v>
      </c>
      <c r="AN399" t="s">
        <v>4036</v>
      </c>
      <c r="AO399" t="s">
        <v>7748</v>
      </c>
      <c r="AP399" t="s">
        <v>7749</v>
      </c>
      <c r="AQ399" t="s">
        <v>74</v>
      </c>
      <c r="AR399" t="s">
        <v>7750</v>
      </c>
      <c r="AS399" t="s">
        <v>7751</v>
      </c>
      <c r="AT399" t="s">
        <v>7752</v>
      </c>
      <c r="AU399">
        <v>2018</v>
      </c>
      <c r="AV399">
        <v>45</v>
      </c>
      <c r="AW399">
        <v>24</v>
      </c>
      <c r="AX399" t="s">
        <v>74</v>
      </c>
      <c r="AY399" t="s">
        <v>74</v>
      </c>
      <c r="AZ399" t="s">
        <v>74</v>
      </c>
      <c r="BA399" t="s">
        <v>74</v>
      </c>
      <c r="BB399">
        <v>13477</v>
      </c>
      <c r="BC399">
        <v>13484</v>
      </c>
      <c r="BD399" t="s">
        <v>74</v>
      </c>
      <c r="BE399" t="s">
        <v>7787</v>
      </c>
      <c r="BF399" t="str">
        <f>HYPERLINK("http://dx.doi.org/10.1029/2018GL081002","http://dx.doi.org/10.1029/2018GL081002")</f>
        <v>http://dx.doi.org/10.1029/2018GL081002</v>
      </c>
      <c r="BG399" t="s">
        <v>74</v>
      </c>
      <c r="BH399" t="s">
        <v>74</v>
      </c>
      <c r="BI399">
        <v>8</v>
      </c>
      <c r="BJ399" t="s">
        <v>884</v>
      </c>
      <c r="BK399" t="s">
        <v>101</v>
      </c>
      <c r="BL399" t="s">
        <v>528</v>
      </c>
      <c r="BM399" t="s">
        <v>7754</v>
      </c>
      <c r="BN399" t="s">
        <v>74</v>
      </c>
      <c r="BO399" t="s">
        <v>3810</v>
      </c>
      <c r="BP399" t="s">
        <v>74</v>
      </c>
      <c r="BQ399" t="s">
        <v>74</v>
      </c>
      <c r="BR399" t="s">
        <v>104</v>
      </c>
      <c r="BS399" t="s">
        <v>7788</v>
      </c>
      <c r="BT399" t="str">
        <f>HYPERLINK("https%3A%2F%2Fwww.webofscience.com%2Fwos%2Fwoscc%2Ffull-record%2FWOS:000456404600033","View Full Record in Web of Science")</f>
        <v>View Full Record in Web of Science</v>
      </c>
    </row>
    <row r="400" spans="1:72" x14ac:dyDescent="0.15">
      <c r="A400" t="s">
        <v>72</v>
      </c>
      <c r="B400" t="s">
        <v>7789</v>
      </c>
      <c r="C400" t="s">
        <v>74</v>
      </c>
      <c r="D400" t="s">
        <v>74</v>
      </c>
      <c r="E400" t="s">
        <v>74</v>
      </c>
      <c r="F400" t="s">
        <v>7790</v>
      </c>
      <c r="G400" t="s">
        <v>74</v>
      </c>
      <c r="H400" t="s">
        <v>74</v>
      </c>
      <c r="I400" t="s">
        <v>7791</v>
      </c>
      <c r="J400" t="s">
        <v>7792</v>
      </c>
      <c r="K400" t="s">
        <v>74</v>
      </c>
      <c r="L400" t="s">
        <v>74</v>
      </c>
      <c r="M400" t="s">
        <v>78</v>
      </c>
      <c r="N400" t="s">
        <v>79</v>
      </c>
      <c r="O400" t="s">
        <v>74</v>
      </c>
      <c r="P400" t="s">
        <v>74</v>
      </c>
      <c r="Q400" t="s">
        <v>74</v>
      </c>
      <c r="R400" t="s">
        <v>74</v>
      </c>
      <c r="S400" t="s">
        <v>74</v>
      </c>
      <c r="T400" t="s">
        <v>7793</v>
      </c>
      <c r="U400" t="s">
        <v>7794</v>
      </c>
      <c r="V400" t="s">
        <v>7795</v>
      </c>
      <c r="W400" t="s">
        <v>7796</v>
      </c>
      <c r="X400" t="s">
        <v>7797</v>
      </c>
      <c r="Y400" t="s">
        <v>7798</v>
      </c>
      <c r="Z400" t="s">
        <v>7799</v>
      </c>
      <c r="AA400" t="s">
        <v>7800</v>
      </c>
      <c r="AB400" t="s">
        <v>7801</v>
      </c>
      <c r="AC400" t="s">
        <v>7802</v>
      </c>
      <c r="AD400" t="s">
        <v>7803</v>
      </c>
      <c r="AE400" t="s">
        <v>7804</v>
      </c>
      <c r="AF400" t="s">
        <v>74</v>
      </c>
      <c r="AG400">
        <v>83</v>
      </c>
      <c r="AH400">
        <v>13</v>
      </c>
      <c r="AI400">
        <v>14</v>
      </c>
      <c r="AJ400">
        <v>1</v>
      </c>
      <c r="AK400">
        <v>21</v>
      </c>
      <c r="AL400" t="s">
        <v>4034</v>
      </c>
      <c r="AM400" t="s">
        <v>4035</v>
      </c>
      <c r="AN400" t="s">
        <v>4036</v>
      </c>
      <c r="AO400" t="s">
        <v>7805</v>
      </c>
      <c r="AP400" t="s">
        <v>7806</v>
      </c>
      <c r="AQ400" t="s">
        <v>74</v>
      </c>
      <c r="AR400" t="s">
        <v>7807</v>
      </c>
      <c r="AS400" t="s">
        <v>7808</v>
      </c>
      <c r="AT400" t="s">
        <v>7809</v>
      </c>
      <c r="AU400">
        <v>2018</v>
      </c>
      <c r="AV400">
        <v>123</v>
      </c>
      <c r="AW400">
        <v>24</v>
      </c>
      <c r="AX400" t="s">
        <v>74</v>
      </c>
      <c r="AY400" t="s">
        <v>74</v>
      </c>
      <c r="AZ400" t="s">
        <v>74</v>
      </c>
      <c r="BA400" t="s">
        <v>74</v>
      </c>
      <c r="BB400">
        <v>13835</v>
      </c>
      <c r="BC400">
        <v>13856</v>
      </c>
      <c r="BD400" t="s">
        <v>74</v>
      </c>
      <c r="BE400" t="s">
        <v>7810</v>
      </c>
      <c r="BF400" t="str">
        <f>HYPERLINK("http://dx.doi.org/10.1029/2018JD029210","http://dx.doi.org/10.1029/2018JD029210")</f>
        <v>http://dx.doi.org/10.1029/2018JD029210</v>
      </c>
      <c r="BG400" t="s">
        <v>74</v>
      </c>
      <c r="BH400" t="s">
        <v>74</v>
      </c>
      <c r="BI400">
        <v>22</v>
      </c>
      <c r="BJ400" t="s">
        <v>3037</v>
      </c>
      <c r="BK400" t="s">
        <v>101</v>
      </c>
      <c r="BL400" t="s">
        <v>3037</v>
      </c>
      <c r="BM400" t="s">
        <v>7811</v>
      </c>
      <c r="BN400" t="s">
        <v>74</v>
      </c>
      <c r="BO400" t="s">
        <v>428</v>
      </c>
      <c r="BP400" t="s">
        <v>74</v>
      </c>
      <c r="BQ400" t="s">
        <v>74</v>
      </c>
      <c r="BR400" t="s">
        <v>104</v>
      </c>
      <c r="BS400" t="s">
        <v>7812</v>
      </c>
      <c r="BT400" t="str">
        <f>HYPERLINK("https%3A%2F%2Fwww.webofscience.com%2Fwos%2Fwoscc%2Ffull-record%2FWOS:000455876300013","View Full Record in Web of Science")</f>
        <v>View Full Record in Web of Science</v>
      </c>
    </row>
    <row r="401" spans="1:72" x14ac:dyDescent="0.15">
      <c r="A401" t="s">
        <v>72</v>
      </c>
      <c r="B401" t="s">
        <v>7813</v>
      </c>
      <c r="C401" t="s">
        <v>74</v>
      </c>
      <c r="D401" t="s">
        <v>74</v>
      </c>
      <c r="E401" t="s">
        <v>74</v>
      </c>
      <c r="F401" t="s">
        <v>7814</v>
      </c>
      <c r="G401" t="s">
        <v>74</v>
      </c>
      <c r="H401" t="s">
        <v>74</v>
      </c>
      <c r="I401" t="s">
        <v>7815</v>
      </c>
      <c r="J401" t="s">
        <v>7816</v>
      </c>
      <c r="K401" t="s">
        <v>74</v>
      </c>
      <c r="L401" t="s">
        <v>74</v>
      </c>
      <c r="M401" t="s">
        <v>78</v>
      </c>
      <c r="N401" t="s">
        <v>79</v>
      </c>
      <c r="O401" t="s">
        <v>74</v>
      </c>
      <c r="P401" t="s">
        <v>74</v>
      </c>
      <c r="Q401" t="s">
        <v>74</v>
      </c>
      <c r="R401" t="s">
        <v>74</v>
      </c>
      <c r="S401" t="s">
        <v>74</v>
      </c>
      <c r="T401" t="s">
        <v>7817</v>
      </c>
      <c r="U401" t="s">
        <v>7818</v>
      </c>
      <c r="V401" t="s">
        <v>7819</v>
      </c>
      <c r="W401" t="s">
        <v>7820</v>
      </c>
      <c r="X401" t="s">
        <v>74</v>
      </c>
      <c r="Y401" t="s">
        <v>7821</v>
      </c>
      <c r="Z401" t="s">
        <v>7822</v>
      </c>
      <c r="AA401" t="s">
        <v>74</v>
      </c>
      <c r="AB401" t="s">
        <v>74</v>
      </c>
      <c r="AC401" t="s">
        <v>7823</v>
      </c>
      <c r="AD401" t="s">
        <v>7824</v>
      </c>
      <c r="AE401" t="s">
        <v>7825</v>
      </c>
      <c r="AF401" t="s">
        <v>74</v>
      </c>
      <c r="AG401">
        <v>111</v>
      </c>
      <c r="AH401">
        <v>16</v>
      </c>
      <c r="AI401">
        <v>16</v>
      </c>
      <c r="AJ401">
        <v>0</v>
      </c>
      <c r="AK401">
        <v>1</v>
      </c>
      <c r="AL401" t="s">
        <v>7826</v>
      </c>
      <c r="AM401" t="s">
        <v>7827</v>
      </c>
      <c r="AN401" t="s">
        <v>7828</v>
      </c>
      <c r="AO401" t="s">
        <v>7829</v>
      </c>
      <c r="AP401" t="s">
        <v>7830</v>
      </c>
      <c r="AQ401" t="s">
        <v>74</v>
      </c>
      <c r="AR401" t="s">
        <v>7816</v>
      </c>
      <c r="AS401" t="s">
        <v>7831</v>
      </c>
      <c r="AT401" t="s">
        <v>7832</v>
      </c>
      <c r="AU401">
        <v>2018</v>
      </c>
      <c r="AV401">
        <v>4537</v>
      </c>
      <c r="AW401">
        <v>1</v>
      </c>
      <c r="AX401" t="s">
        <v>74</v>
      </c>
      <c r="AY401" t="s">
        <v>74</v>
      </c>
      <c r="AZ401" t="s">
        <v>74</v>
      </c>
      <c r="BA401" t="s">
        <v>74</v>
      </c>
      <c r="BB401">
        <v>1</v>
      </c>
      <c r="BC401" t="s">
        <v>642</v>
      </c>
      <c r="BD401" t="s">
        <v>74</v>
      </c>
      <c r="BE401" t="s">
        <v>7833</v>
      </c>
      <c r="BF401" t="str">
        <f>HYPERLINK("http://dx.doi.org/10.11646/zootaxa.4537.1.1","http://dx.doi.org/10.11646/zootaxa.4537.1.1")</f>
        <v>http://dx.doi.org/10.11646/zootaxa.4537.1.1</v>
      </c>
      <c r="BG401" t="s">
        <v>74</v>
      </c>
      <c r="BH401" t="s">
        <v>74</v>
      </c>
      <c r="BI401">
        <v>129</v>
      </c>
      <c r="BJ401" t="s">
        <v>3516</v>
      </c>
      <c r="BK401" t="s">
        <v>101</v>
      </c>
      <c r="BL401" t="s">
        <v>3516</v>
      </c>
      <c r="BM401" t="s">
        <v>7834</v>
      </c>
      <c r="BN401">
        <v>30647335</v>
      </c>
      <c r="BO401" t="s">
        <v>74</v>
      </c>
      <c r="BP401" t="s">
        <v>74</v>
      </c>
      <c r="BQ401" t="s">
        <v>74</v>
      </c>
      <c r="BR401" t="s">
        <v>104</v>
      </c>
      <c r="BS401" t="s">
        <v>7835</v>
      </c>
      <c r="BT401" t="str">
        <f>HYPERLINK("https%3A%2F%2Fwww.webofscience.com%2Fwos%2Fwoscc%2Ffull-record%2FWOS:000453851400001","View Full Record in Web of Science")</f>
        <v>View Full Record in Web of Science</v>
      </c>
    </row>
    <row r="402" spans="1:72" x14ac:dyDescent="0.15">
      <c r="A402" t="s">
        <v>72</v>
      </c>
      <c r="B402" t="s">
        <v>7836</v>
      </c>
      <c r="C402" t="s">
        <v>74</v>
      </c>
      <c r="D402" t="s">
        <v>74</v>
      </c>
      <c r="E402" t="s">
        <v>74</v>
      </c>
      <c r="F402" t="s">
        <v>7837</v>
      </c>
      <c r="G402" t="s">
        <v>74</v>
      </c>
      <c r="H402" t="s">
        <v>74</v>
      </c>
      <c r="I402" t="s">
        <v>7838</v>
      </c>
      <c r="J402" t="s">
        <v>198</v>
      </c>
      <c r="K402" t="s">
        <v>74</v>
      </c>
      <c r="L402" t="s">
        <v>74</v>
      </c>
      <c r="M402" t="s">
        <v>78</v>
      </c>
      <c r="N402" t="s">
        <v>79</v>
      </c>
      <c r="O402" t="s">
        <v>74</v>
      </c>
      <c r="P402" t="s">
        <v>74</v>
      </c>
      <c r="Q402" t="s">
        <v>74</v>
      </c>
      <c r="R402" t="s">
        <v>74</v>
      </c>
      <c r="S402" t="s">
        <v>74</v>
      </c>
      <c r="T402" t="s">
        <v>7839</v>
      </c>
      <c r="U402" t="s">
        <v>7840</v>
      </c>
      <c r="V402" t="s">
        <v>7841</v>
      </c>
      <c r="W402" t="s">
        <v>7842</v>
      </c>
      <c r="X402" t="s">
        <v>7843</v>
      </c>
      <c r="Y402" t="s">
        <v>7844</v>
      </c>
      <c r="Z402" t="s">
        <v>7845</v>
      </c>
      <c r="AA402" t="s">
        <v>74</v>
      </c>
      <c r="AB402" t="s">
        <v>7846</v>
      </c>
      <c r="AC402" t="s">
        <v>7847</v>
      </c>
      <c r="AD402" t="s">
        <v>7848</v>
      </c>
      <c r="AE402" t="s">
        <v>7849</v>
      </c>
      <c r="AF402" t="s">
        <v>74</v>
      </c>
      <c r="AG402">
        <v>69</v>
      </c>
      <c r="AH402">
        <v>9</v>
      </c>
      <c r="AI402">
        <v>11</v>
      </c>
      <c r="AJ402">
        <v>3</v>
      </c>
      <c r="AK402">
        <v>41</v>
      </c>
      <c r="AL402" t="s">
        <v>210</v>
      </c>
      <c r="AM402" t="s">
        <v>211</v>
      </c>
      <c r="AN402" t="s">
        <v>212</v>
      </c>
      <c r="AO402" t="s">
        <v>213</v>
      </c>
      <c r="AP402" t="s">
        <v>214</v>
      </c>
      <c r="AQ402" t="s">
        <v>74</v>
      </c>
      <c r="AR402" t="s">
        <v>215</v>
      </c>
      <c r="AS402" t="s">
        <v>216</v>
      </c>
      <c r="AT402" t="s">
        <v>7832</v>
      </c>
      <c r="AU402">
        <v>2018</v>
      </c>
      <c r="AV402">
        <v>50</v>
      </c>
      <c r="AW402">
        <v>1</v>
      </c>
      <c r="AX402" t="s">
        <v>74</v>
      </c>
      <c r="AY402" t="s">
        <v>74</v>
      </c>
      <c r="AZ402" t="s">
        <v>74</v>
      </c>
      <c r="BA402" t="s">
        <v>74</v>
      </c>
      <c r="BB402" t="s">
        <v>74</v>
      </c>
      <c r="BC402" t="s">
        <v>74</v>
      </c>
      <c r="BD402" t="s">
        <v>7850</v>
      </c>
      <c r="BE402" t="s">
        <v>7851</v>
      </c>
      <c r="BF402" t="str">
        <f>HYPERLINK("http://dx.doi.org/10.1080/15230430.2018.1548866","http://dx.doi.org/10.1080/15230430.2018.1548866")</f>
        <v>http://dx.doi.org/10.1080/15230430.2018.1548866</v>
      </c>
      <c r="BG402" t="s">
        <v>74</v>
      </c>
      <c r="BH402" t="s">
        <v>74</v>
      </c>
      <c r="BI402">
        <v>13</v>
      </c>
      <c r="BJ402" t="s">
        <v>218</v>
      </c>
      <c r="BK402" t="s">
        <v>101</v>
      </c>
      <c r="BL402" t="s">
        <v>219</v>
      </c>
      <c r="BM402" t="s">
        <v>7852</v>
      </c>
      <c r="BN402" t="s">
        <v>74</v>
      </c>
      <c r="BO402" t="s">
        <v>131</v>
      </c>
      <c r="BP402" t="s">
        <v>74</v>
      </c>
      <c r="BQ402" t="s">
        <v>74</v>
      </c>
      <c r="BR402" t="s">
        <v>104</v>
      </c>
      <c r="BS402" t="s">
        <v>7853</v>
      </c>
      <c r="BT402" t="str">
        <f>HYPERLINK("https%3A%2F%2Fwww.webofscience.com%2Fwos%2Fwoscc%2Ffull-record%2FWOS:000454393800001","View Full Record in Web of Science")</f>
        <v>View Full Record in Web of Science</v>
      </c>
    </row>
    <row r="403" spans="1:72" x14ac:dyDescent="0.15">
      <c r="A403" t="s">
        <v>72</v>
      </c>
      <c r="B403" t="s">
        <v>7854</v>
      </c>
      <c r="C403" t="s">
        <v>74</v>
      </c>
      <c r="D403" t="s">
        <v>74</v>
      </c>
      <c r="E403" t="s">
        <v>74</v>
      </c>
      <c r="F403" t="s">
        <v>7855</v>
      </c>
      <c r="G403" t="s">
        <v>74</v>
      </c>
      <c r="H403" t="s">
        <v>74</v>
      </c>
      <c r="I403" t="s">
        <v>7856</v>
      </c>
      <c r="J403" t="s">
        <v>7857</v>
      </c>
      <c r="K403" t="s">
        <v>74</v>
      </c>
      <c r="L403" t="s">
        <v>74</v>
      </c>
      <c r="M403" t="s">
        <v>78</v>
      </c>
      <c r="N403" t="s">
        <v>79</v>
      </c>
      <c r="O403" t="s">
        <v>74</v>
      </c>
      <c r="P403" t="s">
        <v>74</v>
      </c>
      <c r="Q403" t="s">
        <v>74</v>
      </c>
      <c r="R403" t="s">
        <v>74</v>
      </c>
      <c r="S403" t="s">
        <v>74</v>
      </c>
      <c r="T403" t="s">
        <v>74</v>
      </c>
      <c r="U403" t="s">
        <v>7858</v>
      </c>
      <c r="V403" t="s">
        <v>7859</v>
      </c>
      <c r="W403" t="s">
        <v>7860</v>
      </c>
      <c r="X403" t="s">
        <v>7861</v>
      </c>
      <c r="Y403" t="s">
        <v>7862</v>
      </c>
      <c r="Z403" t="s">
        <v>7863</v>
      </c>
      <c r="AA403" t="s">
        <v>7864</v>
      </c>
      <c r="AB403" t="s">
        <v>7865</v>
      </c>
      <c r="AC403" t="s">
        <v>74</v>
      </c>
      <c r="AD403" t="s">
        <v>74</v>
      </c>
      <c r="AE403" t="s">
        <v>74</v>
      </c>
      <c r="AF403" t="s">
        <v>74</v>
      </c>
      <c r="AG403">
        <v>74</v>
      </c>
      <c r="AH403">
        <v>54</v>
      </c>
      <c r="AI403">
        <v>60</v>
      </c>
      <c r="AJ403">
        <v>0</v>
      </c>
      <c r="AK403">
        <v>20</v>
      </c>
      <c r="AL403" t="s">
        <v>7866</v>
      </c>
      <c r="AM403" t="s">
        <v>7867</v>
      </c>
      <c r="AN403" t="s">
        <v>7868</v>
      </c>
      <c r="AO403" t="s">
        <v>7869</v>
      </c>
      <c r="AP403" t="s">
        <v>7870</v>
      </c>
      <c r="AQ403" t="s">
        <v>74</v>
      </c>
      <c r="AR403" t="s">
        <v>7871</v>
      </c>
      <c r="AS403" t="s">
        <v>7872</v>
      </c>
      <c r="AT403" t="s">
        <v>7832</v>
      </c>
      <c r="AU403">
        <v>2018</v>
      </c>
      <c r="AV403">
        <v>14</v>
      </c>
      <c r="AW403">
        <v>12</v>
      </c>
      <c r="AX403" t="s">
        <v>74</v>
      </c>
      <c r="AY403" t="s">
        <v>74</v>
      </c>
      <c r="AZ403" t="s">
        <v>74</v>
      </c>
      <c r="BA403" t="s">
        <v>74</v>
      </c>
      <c r="BB403">
        <v>2071</v>
      </c>
      <c r="BC403">
        <v>2087</v>
      </c>
      <c r="BD403" t="s">
        <v>74</v>
      </c>
      <c r="BE403" t="s">
        <v>7873</v>
      </c>
      <c r="BF403" t="str">
        <f>HYPERLINK("http://dx.doi.org/10.5194/cp-14-2071-2018","http://dx.doi.org/10.5194/cp-14-2071-2018")</f>
        <v>http://dx.doi.org/10.5194/cp-14-2071-2018</v>
      </c>
      <c r="BG403" t="s">
        <v>74</v>
      </c>
      <c r="BH403" t="s">
        <v>74</v>
      </c>
      <c r="BI403">
        <v>17</v>
      </c>
      <c r="BJ403" t="s">
        <v>7874</v>
      </c>
      <c r="BK403" t="s">
        <v>101</v>
      </c>
      <c r="BL403" t="s">
        <v>7875</v>
      </c>
      <c r="BM403" t="s">
        <v>7876</v>
      </c>
      <c r="BN403" t="s">
        <v>74</v>
      </c>
      <c r="BO403" t="s">
        <v>1556</v>
      </c>
      <c r="BP403" t="s">
        <v>74</v>
      </c>
      <c r="BQ403" t="s">
        <v>74</v>
      </c>
      <c r="BR403" t="s">
        <v>104</v>
      </c>
      <c r="BS403" t="s">
        <v>7877</v>
      </c>
      <c r="BT403" t="str">
        <f>HYPERLINK("https%3A%2F%2Fwww.webofscience.com%2Fwos%2Fwoscc%2Ffull-record%2FWOS:000454146300001","View Full Record in Web of Science")</f>
        <v>View Full Record in Web of Science</v>
      </c>
    </row>
    <row r="404" spans="1:72" x14ac:dyDescent="0.15">
      <c r="A404" t="s">
        <v>72</v>
      </c>
      <c r="B404" t="s">
        <v>7878</v>
      </c>
      <c r="C404" t="s">
        <v>74</v>
      </c>
      <c r="D404" t="s">
        <v>74</v>
      </c>
      <c r="E404" t="s">
        <v>74</v>
      </c>
      <c r="F404" t="s">
        <v>7879</v>
      </c>
      <c r="G404" t="s">
        <v>74</v>
      </c>
      <c r="H404" t="s">
        <v>74</v>
      </c>
      <c r="I404" t="s">
        <v>7880</v>
      </c>
      <c r="J404" t="s">
        <v>7881</v>
      </c>
      <c r="K404" t="s">
        <v>74</v>
      </c>
      <c r="L404" t="s">
        <v>74</v>
      </c>
      <c r="M404" t="s">
        <v>78</v>
      </c>
      <c r="N404" t="s">
        <v>79</v>
      </c>
      <c r="O404" t="s">
        <v>74</v>
      </c>
      <c r="P404" t="s">
        <v>74</v>
      </c>
      <c r="Q404" t="s">
        <v>74</v>
      </c>
      <c r="R404" t="s">
        <v>74</v>
      </c>
      <c r="S404" t="s">
        <v>74</v>
      </c>
      <c r="T404" t="s">
        <v>74</v>
      </c>
      <c r="U404" t="s">
        <v>7882</v>
      </c>
      <c r="V404" t="s">
        <v>7883</v>
      </c>
      <c r="W404" t="s">
        <v>7884</v>
      </c>
      <c r="X404" t="s">
        <v>7885</v>
      </c>
      <c r="Y404" t="s">
        <v>7886</v>
      </c>
      <c r="Z404" t="s">
        <v>7887</v>
      </c>
      <c r="AA404" t="s">
        <v>7888</v>
      </c>
      <c r="AB404" t="s">
        <v>7889</v>
      </c>
      <c r="AC404" t="s">
        <v>7890</v>
      </c>
      <c r="AD404" t="s">
        <v>7891</v>
      </c>
      <c r="AE404" t="s">
        <v>7892</v>
      </c>
      <c r="AF404" t="s">
        <v>74</v>
      </c>
      <c r="AG404">
        <v>63</v>
      </c>
      <c r="AH404">
        <v>7</v>
      </c>
      <c r="AI404">
        <v>7</v>
      </c>
      <c r="AJ404">
        <v>0</v>
      </c>
      <c r="AK404">
        <v>8</v>
      </c>
      <c r="AL404" t="s">
        <v>7866</v>
      </c>
      <c r="AM404" t="s">
        <v>7867</v>
      </c>
      <c r="AN404" t="s">
        <v>7868</v>
      </c>
      <c r="AO404" t="s">
        <v>7893</v>
      </c>
      <c r="AP404" t="s">
        <v>7894</v>
      </c>
      <c r="AQ404" t="s">
        <v>74</v>
      </c>
      <c r="AR404" t="s">
        <v>7895</v>
      </c>
      <c r="AS404" t="s">
        <v>7896</v>
      </c>
      <c r="AT404" t="s">
        <v>7832</v>
      </c>
      <c r="AU404">
        <v>2018</v>
      </c>
      <c r="AV404">
        <v>11</v>
      </c>
      <c r="AW404">
        <v>12</v>
      </c>
      <c r="AX404" t="s">
        <v>74</v>
      </c>
      <c r="AY404" t="s">
        <v>74</v>
      </c>
      <c r="AZ404" t="s">
        <v>74</v>
      </c>
      <c r="BA404" t="s">
        <v>74</v>
      </c>
      <c r="BB404">
        <v>5173</v>
      </c>
      <c r="BC404">
        <v>5187</v>
      </c>
      <c r="BD404" t="s">
        <v>74</v>
      </c>
      <c r="BE404" t="s">
        <v>7897</v>
      </c>
      <c r="BF404" t="str">
        <f>HYPERLINK("http://dx.doi.org/10.5194/gmd-11-5173-2018","http://dx.doi.org/10.5194/gmd-11-5173-2018")</f>
        <v>http://dx.doi.org/10.5194/gmd-11-5173-2018</v>
      </c>
      <c r="BG404" t="s">
        <v>74</v>
      </c>
      <c r="BH404" t="s">
        <v>74</v>
      </c>
      <c r="BI404">
        <v>15</v>
      </c>
      <c r="BJ404" t="s">
        <v>884</v>
      </c>
      <c r="BK404" t="s">
        <v>101</v>
      </c>
      <c r="BL404" t="s">
        <v>528</v>
      </c>
      <c r="BM404" t="s">
        <v>7898</v>
      </c>
      <c r="BN404" t="s">
        <v>74</v>
      </c>
      <c r="BO404" t="s">
        <v>131</v>
      </c>
      <c r="BP404" t="s">
        <v>74</v>
      </c>
      <c r="BQ404" t="s">
        <v>74</v>
      </c>
      <c r="BR404" t="s">
        <v>104</v>
      </c>
      <c r="BS404" t="s">
        <v>7899</v>
      </c>
      <c r="BT404" t="str">
        <f>HYPERLINK("https%3A%2F%2Fwww.webofscience.com%2Fwos%2Fwoscc%2Ffull-record%2FWOS:000454113900001","View Full Record in Web of Science")</f>
        <v>View Full Record in Web of Science</v>
      </c>
    </row>
    <row r="405" spans="1:72" x14ac:dyDescent="0.15">
      <c r="A405" t="s">
        <v>72</v>
      </c>
      <c r="B405" t="s">
        <v>7900</v>
      </c>
      <c r="C405" t="s">
        <v>74</v>
      </c>
      <c r="D405" t="s">
        <v>74</v>
      </c>
      <c r="E405" t="s">
        <v>74</v>
      </c>
      <c r="F405" t="s">
        <v>7901</v>
      </c>
      <c r="G405" t="s">
        <v>74</v>
      </c>
      <c r="H405" t="s">
        <v>74</v>
      </c>
      <c r="I405" t="s">
        <v>7902</v>
      </c>
      <c r="J405" t="s">
        <v>7903</v>
      </c>
      <c r="K405" t="s">
        <v>74</v>
      </c>
      <c r="L405" t="s">
        <v>74</v>
      </c>
      <c r="M405" t="s">
        <v>78</v>
      </c>
      <c r="N405" t="s">
        <v>79</v>
      </c>
      <c r="O405" t="s">
        <v>74</v>
      </c>
      <c r="P405" t="s">
        <v>74</v>
      </c>
      <c r="Q405" t="s">
        <v>74</v>
      </c>
      <c r="R405" t="s">
        <v>74</v>
      </c>
      <c r="S405" t="s">
        <v>74</v>
      </c>
      <c r="T405" t="s">
        <v>74</v>
      </c>
      <c r="U405" t="s">
        <v>7904</v>
      </c>
      <c r="V405" t="s">
        <v>7905</v>
      </c>
      <c r="W405" t="s">
        <v>7906</v>
      </c>
      <c r="X405" t="s">
        <v>7907</v>
      </c>
      <c r="Y405" t="s">
        <v>7908</v>
      </c>
      <c r="Z405" t="s">
        <v>7909</v>
      </c>
      <c r="AA405" t="s">
        <v>7910</v>
      </c>
      <c r="AB405" t="s">
        <v>7911</v>
      </c>
      <c r="AC405" t="s">
        <v>7912</v>
      </c>
      <c r="AD405" t="s">
        <v>7913</v>
      </c>
      <c r="AE405" t="s">
        <v>7914</v>
      </c>
      <c r="AF405" t="s">
        <v>74</v>
      </c>
      <c r="AG405">
        <v>70</v>
      </c>
      <c r="AH405">
        <v>69</v>
      </c>
      <c r="AI405">
        <v>73</v>
      </c>
      <c r="AJ405">
        <v>2</v>
      </c>
      <c r="AK405">
        <v>27</v>
      </c>
      <c r="AL405" t="s">
        <v>6164</v>
      </c>
      <c r="AM405" t="s">
        <v>3008</v>
      </c>
      <c r="AN405" t="s">
        <v>6165</v>
      </c>
      <c r="AO405" t="s">
        <v>7915</v>
      </c>
      <c r="AP405" t="s">
        <v>74</v>
      </c>
      <c r="AQ405" t="s">
        <v>74</v>
      </c>
      <c r="AR405" t="s">
        <v>7916</v>
      </c>
      <c r="AS405" t="s">
        <v>7917</v>
      </c>
      <c r="AT405" t="s">
        <v>7832</v>
      </c>
      <c r="AU405">
        <v>2018</v>
      </c>
      <c r="AV405">
        <v>9</v>
      </c>
      <c r="AW405" t="s">
        <v>74</v>
      </c>
      <c r="AX405" t="s">
        <v>74</v>
      </c>
      <c r="AY405" t="s">
        <v>74</v>
      </c>
      <c r="AZ405" t="s">
        <v>74</v>
      </c>
      <c r="BA405" t="s">
        <v>74</v>
      </c>
      <c r="BB405" t="s">
        <v>74</v>
      </c>
      <c r="BC405" t="s">
        <v>74</v>
      </c>
      <c r="BD405">
        <v>5439</v>
      </c>
      <c r="BE405" t="s">
        <v>7918</v>
      </c>
      <c r="BF405" t="str">
        <f>HYPERLINK("http://dx.doi.org/10.1038/s41467-018-07814-6","http://dx.doi.org/10.1038/s41467-018-07814-6")</f>
        <v>http://dx.doi.org/10.1038/s41467-018-07814-6</v>
      </c>
      <c r="BG405" t="s">
        <v>74</v>
      </c>
      <c r="BH405" t="s">
        <v>74</v>
      </c>
      <c r="BI405">
        <v>11</v>
      </c>
      <c r="BJ405" t="s">
        <v>855</v>
      </c>
      <c r="BK405" t="s">
        <v>101</v>
      </c>
      <c r="BL405" t="s">
        <v>856</v>
      </c>
      <c r="BM405" t="s">
        <v>7919</v>
      </c>
      <c r="BN405">
        <v>30575718</v>
      </c>
      <c r="BO405" t="s">
        <v>7920</v>
      </c>
      <c r="BP405" t="s">
        <v>74</v>
      </c>
      <c r="BQ405" t="s">
        <v>74</v>
      </c>
      <c r="BR405" t="s">
        <v>104</v>
      </c>
      <c r="BS405" t="s">
        <v>7921</v>
      </c>
      <c r="BT405" t="str">
        <f>HYPERLINK("https%3A%2F%2Fwww.webofscience.com%2Fwos%2Fwoscc%2Ffull-record%2FWOS:000454137600020","View Full Record in Web of Science")</f>
        <v>View Full Record in Web of Science</v>
      </c>
    </row>
    <row r="406" spans="1:72" x14ac:dyDescent="0.15">
      <c r="A406" t="s">
        <v>72</v>
      </c>
      <c r="B406" t="s">
        <v>7922</v>
      </c>
      <c r="C406" t="s">
        <v>74</v>
      </c>
      <c r="D406" t="s">
        <v>74</v>
      </c>
      <c r="E406" t="s">
        <v>74</v>
      </c>
      <c r="F406" t="s">
        <v>7923</v>
      </c>
      <c r="G406" t="s">
        <v>74</v>
      </c>
      <c r="H406" t="s">
        <v>74</v>
      </c>
      <c r="I406" t="s">
        <v>7924</v>
      </c>
      <c r="J406" t="s">
        <v>7925</v>
      </c>
      <c r="K406" t="s">
        <v>74</v>
      </c>
      <c r="L406" t="s">
        <v>74</v>
      </c>
      <c r="M406" t="s">
        <v>78</v>
      </c>
      <c r="N406" t="s">
        <v>4937</v>
      </c>
      <c r="O406" t="s">
        <v>74</v>
      </c>
      <c r="P406" t="s">
        <v>74</v>
      </c>
      <c r="Q406" t="s">
        <v>74</v>
      </c>
      <c r="R406" t="s">
        <v>74</v>
      </c>
      <c r="S406" t="s">
        <v>74</v>
      </c>
      <c r="T406" t="s">
        <v>74</v>
      </c>
      <c r="U406" t="s">
        <v>74</v>
      </c>
      <c r="V406" t="s">
        <v>74</v>
      </c>
      <c r="W406" t="s">
        <v>74</v>
      </c>
      <c r="X406" t="s">
        <v>74</v>
      </c>
      <c r="Y406" t="s">
        <v>74</v>
      </c>
      <c r="Z406" t="s">
        <v>74</v>
      </c>
      <c r="AA406" t="s">
        <v>74</v>
      </c>
      <c r="AB406" t="s">
        <v>74</v>
      </c>
      <c r="AC406" t="s">
        <v>74</v>
      </c>
      <c r="AD406" t="s">
        <v>74</v>
      </c>
      <c r="AE406" t="s">
        <v>74</v>
      </c>
      <c r="AF406" t="s">
        <v>74</v>
      </c>
      <c r="AG406">
        <v>0</v>
      </c>
      <c r="AH406">
        <v>3</v>
      </c>
      <c r="AI406">
        <v>4</v>
      </c>
      <c r="AJ406">
        <v>0</v>
      </c>
      <c r="AK406">
        <v>8</v>
      </c>
      <c r="AL406" t="s">
        <v>7926</v>
      </c>
      <c r="AM406" t="s">
        <v>4035</v>
      </c>
      <c r="AN406" t="s">
        <v>7927</v>
      </c>
      <c r="AO406" t="s">
        <v>7928</v>
      </c>
      <c r="AP406" t="s">
        <v>7929</v>
      </c>
      <c r="AQ406" t="s">
        <v>74</v>
      </c>
      <c r="AR406" t="s">
        <v>7925</v>
      </c>
      <c r="AS406" t="s">
        <v>7930</v>
      </c>
      <c r="AT406" t="s">
        <v>7832</v>
      </c>
      <c r="AU406">
        <v>2018</v>
      </c>
      <c r="AV406">
        <v>362</v>
      </c>
      <c r="AW406">
        <v>6421</v>
      </c>
      <c r="AX406" t="s">
        <v>74</v>
      </c>
      <c r="AY406" t="s">
        <v>74</v>
      </c>
      <c r="AZ406" t="s">
        <v>4266</v>
      </c>
      <c r="BA406" t="s">
        <v>74</v>
      </c>
      <c r="BB406">
        <v>1339</v>
      </c>
      <c r="BC406">
        <v>1339</v>
      </c>
      <c r="BD406" t="s">
        <v>74</v>
      </c>
      <c r="BE406" t="s">
        <v>7931</v>
      </c>
      <c r="BF406" t="str">
        <f>HYPERLINK("http://dx.doi.org/10.1126/science.362.6421.1339","http://dx.doi.org/10.1126/science.362.6421.1339")</f>
        <v>http://dx.doi.org/10.1126/science.362.6421.1339</v>
      </c>
      <c r="BG406" t="s">
        <v>74</v>
      </c>
      <c r="BH406" t="s">
        <v>74</v>
      </c>
      <c r="BI406">
        <v>1</v>
      </c>
      <c r="BJ406" t="s">
        <v>855</v>
      </c>
      <c r="BK406" t="s">
        <v>101</v>
      </c>
      <c r="BL406" t="s">
        <v>856</v>
      </c>
      <c r="BM406" t="s">
        <v>7932</v>
      </c>
      <c r="BN406">
        <v>30573605</v>
      </c>
      <c r="BO406" t="s">
        <v>74</v>
      </c>
      <c r="BP406" t="s">
        <v>74</v>
      </c>
      <c r="BQ406" t="s">
        <v>74</v>
      </c>
      <c r="BR406" t="s">
        <v>104</v>
      </c>
      <c r="BS406" t="s">
        <v>7933</v>
      </c>
      <c r="BT406" t="str">
        <f>HYPERLINK("https%3A%2F%2Fwww.webofscience.com%2Fwos%2Fwoscc%2Ffull-record%2FWOS:000453845000018","View Full Record in Web of Science")</f>
        <v>View Full Record in Web of Science</v>
      </c>
    </row>
    <row r="407" spans="1:72" x14ac:dyDescent="0.15">
      <c r="A407" t="s">
        <v>72</v>
      </c>
      <c r="B407" t="s">
        <v>7934</v>
      </c>
      <c r="C407" t="s">
        <v>74</v>
      </c>
      <c r="D407" t="s">
        <v>74</v>
      </c>
      <c r="E407" t="s">
        <v>74</v>
      </c>
      <c r="F407" t="s">
        <v>7935</v>
      </c>
      <c r="G407" t="s">
        <v>74</v>
      </c>
      <c r="H407" t="s">
        <v>74</v>
      </c>
      <c r="I407" t="s">
        <v>7936</v>
      </c>
      <c r="J407" t="s">
        <v>7937</v>
      </c>
      <c r="K407" t="s">
        <v>74</v>
      </c>
      <c r="L407" t="s">
        <v>74</v>
      </c>
      <c r="M407" t="s">
        <v>78</v>
      </c>
      <c r="N407" t="s">
        <v>1003</v>
      </c>
      <c r="O407" t="s">
        <v>74</v>
      </c>
      <c r="P407" t="s">
        <v>74</v>
      </c>
      <c r="Q407" t="s">
        <v>74</v>
      </c>
      <c r="R407" t="s">
        <v>74</v>
      </c>
      <c r="S407" t="s">
        <v>74</v>
      </c>
      <c r="T407" t="s">
        <v>7938</v>
      </c>
      <c r="U407" t="s">
        <v>7939</v>
      </c>
      <c r="V407" t="s">
        <v>7940</v>
      </c>
      <c r="W407" t="s">
        <v>7941</v>
      </c>
      <c r="X407" t="s">
        <v>7942</v>
      </c>
      <c r="Y407" t="s">
        <v>7943</v>
      </c>
      <c r="Z407" t="s">
        <v>7944</v>
      </c>
      <c r="AA407" t="s">
        <v>7945</v>
      </c>
      <c r="AB407" t="s">
        <v>74</v>
      </c>
      <c r="AC407" t="s">
        <v>7946</v>
      </c>
      <c r="AD407" t="s">
        <v>7947</v>
      </c>
      <c r="AE407" t="s">
        <v>7948</v>
      </c>
      <c r="AF407" t="s">
        <v>74</v>
      </c>
      <c r="AG407">
        <v>134</v>
      </c>
      <c r="AH407">
        <v>26</v>
      </c>
      <c r="AI407">
        <v>31</v>
      </c>
      <c r="AJ407">
        <v>4</v>
      </c>
      <c r="AK407">
        <v>36</v>
      </c>
      <c r="AL407" t="s">
        <v>7949</v>
      </c>
      <c r="AM407" t="s">
        <v>7950</v>
      </c>
      <c r="AN407" t="s">
        <v>7951</v>
      </c>
      <c r="AO407" t="s">
        <v>7952</v>
      </c>
      <c r="AP407" t="s">
        <v>74</v>
      </c>
      <c r="AQ407" t="s">
        <v>74</v>
      </c>
      <c r="AR407" t="s">
        <v>7953</v>
      </c>
      <c r="AS407" t="s">
        <v>7954</v>
      </c>
      <c r="AT407" t="s">
        <v>7832</v>
      </c>
      <c r="AU407">
        <v>2018</v>
      </c>
      <c r="AV407">
        <v>9</v>
      </c>
      <c r="AW407" t="s">
        <v>74</v>
      </c>
      <c r="AX407" t="s">
        <v>74</v>
      </c>
      <c r="AY407" t="s">
        <v>74</v>
      </c>
      <c r="AZ407" t="s">
        <v>74</v>
      </c>
      <c r="BA407" t="s">
        <v>74</v>
      </c>
      <c r="BB407" t="s">
        <v>74</v>
      </c>
      <c r="BC407" t="s">
        <v>74</v>
      </c>
      <c r="BD407">
        <v>1843</v>
      </c>
      <c r="BE407" t="s">
        <v>7955</v>
      </c>
      <c r="BF407" t="str">
        <f>HYPERLINK("http://dx.doi.org/10.3389/fphys.2018.01843","http://dx.doi.org/10.3389/fphys.2018.01843")</f>
        <v>http://dx.doi.org/10.3389/fphys.2018.01843</v>
      </c>
      <c r="BG407" t="s">
        <v>74</v>
      </c>
      <c r="BH407" t="s">
        <v>74</v>
      </c>
      <c r="BI407">
        <v>11</v>
      </c>
      <c r="BJ407" t="s">
        <v>7956</v>
      </c>
      <c r="BK407" t="s">
        <v>101</v>
      </c>
      <c r="BL407" t="s">
        <v>7956</v>
      </c>
      <c r="BM407" t="s">
        <v>7957</v>
      </c>
      <c r="BN407">
        <v>30622480</v>
      </c>
      <c r="BO407" t="s">
        <v>193</v>
      </c>
      <c r="BP407" t="s">
        <v>74</v>
      </c>
      <c r="BQ407" t="s">
        <v>74</v>
      </c>
      <c r="BR407" t="s">
        <v>104</v>
      </c>
      <c r="BS407" t="s">
        <v>7958</v>
      </c>
      <c r="BT407" t="str">
        <f>HYPERLINK("https%3A%2F%2Fwww.webofscience.com%2Fwos%2Fwoscc%2Ffull-record%2FWOS:000454107300004","View Full Record in Web of Science")</f>
        <v>View Full Record in Web of Science</v>
      </c>
    </row>
    <row r="408" spans="1:72" x14ac:dyDescent="0.15">
      <c r="A408" t="s">
        <v>72</v>
      </c>
      <c r="B408" t="s">
        <v>7959</v>
      </c>
      <c r="C408" t="s">
        <v>74</v>
      </c>
      <c r="D408" t="s">
        <v>74</v>
      </c>
      <c r="E408" t="s">
        <v>74</v>
      </c>
      <c r="F408" t="s">
        <v>7960</v>
      </c>
      <c r="G408" t="s">
        <v>74</v>
      </c>
      <c r="H408" t="s">
        <v>74</v>
      </c>
      <c r="I408" t="s">
        <v>7961</v>
      </c>
      <c r="J408" t="s">
        <v>7857</v>
      </c>
      <c r="K408" t="s">
        <v>74</v>
      </c>
      <c r="L408" t="s">
        <v>74</v>
      </c>
      <c r="M408" t="s">
        <v>78</v>
      </c>
      <c r="N408" t="s">
        <v>79</v>
      </c>
      <c r="O408" t="s">
        <v>74</v>
      </c>
      <c r="P408" t="s">
        <v>74</v>
      </c>
      <c r="Q408" t="s">
        <v>74</v>
      </c>
      <c r="R408" t="s">
        <v>74</v>
      </c>
      <c r="S408" t="s">
        <v>74</v>
      </c>
      <c r="T408" t="s">
        <v>74</v>
      </c>
      <c r="U408" t="s">
        <v>7962</v>
      </c>
      <c r="V408" t="s">
        <v>7963</v>
      </c>
      <c r="W408" t="s">
        <v>7964</v>
      </c>
      <c r="X408" t="s">
        <v>7965</v>
      </c>
      <c r="Y408" t="s">
        <v>7966</v>
      </c>
      <c r="Z408" t="s">
        <v>7967</v>
      </c>
      <c r="AA408" t="s">
        <v>7968</v>
      </c>
      <c r="AB408" t="s">
        <v>7969</v>
      </c>
      <c r="AC408" t="s">
        <v>7970</v>
      </c>
      <c r="AD408" t="s">
        <v>7971</v>
      </c>
      <c r="AE408" t="s">
        <v>7972</v>
      </c>
      <c r="AF408" t="s">
        <v>74</v>
      </c>
      <c r="AG408">
        <v>66</v>
      </c>
      <c r="AH408">
        <v>36</v>
      </c>
      <c r="AI408">
        <v>38</v>
      </c>
      <c r="AJ408">
        <v>0</v>
      </c>
      <c r="AK408">
        <v>11</v>
      </c>
      <c r="AL408" t="s">
        <v>7866</v>
      </c>
      <c r="AM408" t="s">
        <v>7867</v>
      </c>
      <c r="AN408" t="s">
        <v>7868</v>
      </c>
      <c r="AO408" t="s">
        <v>7869</v>
      </c>
      <c r="AP408" t="s">
        <v>7870</v>
      </c>
      <c r="AQ408" t="s">
        <v>74</v>
      </c>
      <c r="AR408" t="s">
        <v>7871</v>
      </c>
      <c r="AS408" t="s">
        <v>7872</v>
      </c>
      <c r="AT408" t="s">
        <v>7973</v>
      </c>
      <c r="AU408">
        <v>2018</v>
      </c>
      <c r="AV408">
        <v>14</v>
      </c>
      <c r="AW408">
        <v>12</v>
      </c>
      <c r="AX408" t="s">
        <v>74</v>
      </c>
      <c r="AY408" t="s">
        <v>74</v>
      </c>
      <c r="AZ408" t="s">
        <v>74</v>
      </c>
      <c r="BA408" t="s">
        <v>74</v>
      </c>
      <c r="BB408">
        <v>2053</v>
      </c>
      <c r="BC408">
        <v>2070</v>
      </c>
      <c r="BD408" t="s">
        <v>74</v>
      </c>
      <c r="BE408" t="s">
        <v>7974</v>
      </c>
      <c r="BF408" t="str">
        <f>HYPERLINK("http://dx.doi.org/10.5194/cp-14-2053-2018","http://dx.doi.org/10.5194/cp-14-2053-2018")</f>
        <v>http://dx.doi.org/10.5194/cp-14-2053-2018</v>
      </c>
      <c r="BG408" t="s">
        <v>74</v>
      </c>
      <c r="BH408" t="s">
        <v>74</v>
      </c>
      <c r="BI408">
        <v>18</v>
      </c>
      <c r="BJ408" t="s">
        <v>7874</v>
      </c>
      <c r="BK408" t="s">
        <v>101</v>
      </c>
      <c r="BL408" t="s">
        <v>7875</v>
      </c>
      <c r="BM408" t="s">
        <v>7975</v>
      </c>
      <c r="BN408" t="s">
        <v>74</v>
      </c>
      <c r="BO408" t="s">
        <v>1556</v>
      </c>
      <c r="BP408" t="s">
        <v>74</v>
      </c>
      <c r="BQ408" t="s">
        <v>74</v>
      </c>
      <c r="BR408" t="s">
        <v>104</v>
      </c>
      <c r="BS408" t="s">
        <v>7976</v>
      </c>
      <c r="BT408" t="str">
        <f>HYPERLINK("https%3A%2F%2Fwww.webofscience.com%2Fwos%2Fwoscc%2Ffull-record%2FWOS:000454054500002","View Full Record in Web of Science")</f>
        <v>View Full Record in Web of Science</v>
      </c>
    </row>
    <row r="409" spans="1:72" x14ac:dyDescent="0.15">
      <c r="A409" t="s">
        <v>72</v>
      </c>
      <c r="B409" t="s">
        <v>7977</v>
      </c>
      <c r="C409" t="s">
        <v>74</v>
      </c>
      <c r="D409" t="s">
        <v>74</v>
      </c>
      <c r="E409" t="s">
        <v>74</v>
      </c>
      <c r="F409" t="s">
        <v>7978</v>
      </c>
      <c r="G409" t="s">
        <v>74</v>
      </c>
      <c r="H409" t="s">
        <v>74</v>
      </c>
      <c r="I409" t="s">
        <v>7979</v>
      </c>
      <c r="J409" t="s">
        <v>7980</v>
      </c>
      <c r="K409" t="s">
        <v>74</v>
      </c>
      <c r="L409" t="s">
        <v>74</v>
      </c>
      <c r="M409" t="s">
        <v>78</v>
      </c>
      <c r="N409" t="s">
        <v>79</v>
      </c>
      <c r="O409" t="s">
        <v>74</v>
      </c>
      <c r="P409" t="s">
        <v>74</v>
      </c>
      <c r="Q409" t="s">
        <v>74</v>
      </c>
      <c r="R409" t="s">
        <v>74</v>
      </c>
      <c r="S409" t="s">
        <v>74</v>
      </c>
      <c r="T409" t="s">
        <v>7981</v>
      </c>
      <c r="U409" t="s">
        <v>7982</v>
      </c>
      <c r="V409" t="s">
        <v>7983</v>
      </c>
      <c r="W409" t="s">
        <v>7984</v>
      </c>
      <c r="X409" t="s">
        <v>7985</v>
      </c>
      <c r="Y409" t="s">
        <v>7986</v>
      </c>
      <c r="Z409" t="s">
        <v>7987</v>
      </c>
      <c r="AA409" t="s">
        <v>7988</v>
      </c>
      <c r="AB409" t="s">
        <v>7989</v>
      </c>
      <c r="AC409" t="s">
        <v>74</v>
      </c>
      <c r="AD409" t="s">
        <v>74</v>
      </c>
      <c r="AE409" t="s">
        <v>74</v>
      </c>
      <c r="AF409" t="s">
        <v>74</v>
      </c>
      <c r="AG409">
        <v>36</v>
      </c>
      <c r="AH409">
        <v>6</v>
      </c>
      <c r="AI409">
        <v>7</v>
      </c>
      <c r="AJ409">
        <v>0</v>
      </c>
      <c r="AK409">
        <v>15</v>
      </c>
      <c r="AL409" t="s">
        <v>7949</v>
      </c>
      <c r="AM409" t="s">
        <v>7950</v>
      </c>
      <c r="AN409" t="s">
        <v>7951</v>
      </c>
      <c r="AO409" t="s">
        <v>7990</v>
      </c>
      <c r="AP409" t="s">
        <v>74</v>
      </c>
      <c r="AQ409" t="s">
        <v>74</v>
      </c>
      <c r="AR409" t="s">
        <v>7991</v>
      </c>
      <c r="AS409" t="s">
        <v>7992</v>
      </c>
      <c r="AT409" t="s">
        <v>7973</v>
      </c>
      <c r="AU409">
        <v>2018</v>
      </c>
      <c r="AV409">
        <v>6</v>
      </c>
      <c r="AW409" t="s">
        <v>74</v>
      </c>
      <c r="AX409" t="s">
        <v>74</v>
      </c>
      <c r="AY409" t="s">
        <v>74</v>
      </c>
      <c r="AZ409" t="s">
        <v>74</v>
      </c>
      <c r="BA409" t="s">
        <v>74</v>
      </c>
      <c r="BB409" t="s">
        <v>74</v>
      </c>
      <c r="BC409" t="s">
        <v>74</v>
      </c>
      <c r="BD409">
        <v>407</v>
      </c>
      <c r="BE409" t="s">
        <v>7993</v>
      </c>
      <c r="BF409" t="str">
        <f>HYPERLINK("http://dx.doi.org/10.3389/fped.2018.00407","http://dx.doi.org/10.3389/fped.2018.00407")</f>
        <v>http://dx.doi.org/10.3389/fped.2018.00407</v>
      </c>
      <c r="BG409" t="s">
        <v>74</v>
      </c>
      <c r="BH409" t="s">
        <v>74</v>
      </c>
      <c r="BI409">
        <v>7</v>
      </c>
      <c r="BJ409" t="s">
        <v>7994</v>
      </c>
      <c r="BK409" t="s">
        <v>101</v>
      </c>
      <c r="BL409" t="s">
        <v>7994</v>
      </c>
      <c r="BM409" t="s">
        <v>7995</v>
      </c>
      <c r="BN409">
        <v>30622936</v>
      </c>
      <c r="BO409" t="s">
        <v>193</v>
      </c>
      <c r="BP409" t="s">
        <v>74</v>
      </c>
      <c r="BQ409" t="s">
        <v>74</v>
      </c>
      <c r="BR409" t="s">
        <v>104</v>
      </c>
      <c r="BS409" t="s">
        <v>7996</v>
      </c>
      <c r="BT409" t="str">
        <f>HYPERLINK("https%3A%2F%2Fwww.webofscience.com%2Fwos%2Fwoscc%2Ffull-record%2FWOS:000453890300002","View Full Record in Web of Science")</f>
        <v>View Full Record in Web of Science</v>
      </c>
    </row>
    <row r="410" spans="1:72" x14ac:dyDescent="0.15">
      <c r="A410" t="s">
        <v>72</v>
      </c>
      <c r="B410" t="s">
        <v>7997</v>
      </c>
      <c r="C410" t="s">
        <v>74</v>
      </c>
      <c r="D410" t="s">
        <v>74</v>
      </c>
      <c r="E410" t="s">
        <v>74</v>
      </c>
      <c r="F410" t="s">
        <v>7998</v>
      </c>
      <c r="G410" t="s">
        <v>74</v>
      </c>
      <c r="H410" t="s">
        <v>74</v>
      </c>
      <c r="I410" t="s">
        <v>7999</v>
      </c>
      <c r="J410" t="s">
        <v>7937</v>
      </c>
      <c r="K410" t="s">
        <v>74</v>
      </c>
      <c r="L410" t="s">
        <v>74</v>
      </c>
      <c r="M410" t="s">
        <v>78</v>
      </c>
      <c r="N410" t="s">
        <v>79</v>
      </c>
      <c r="O410" t="s">
        <v>74</v>
      </c>
      <c r="P410" t="s">
        <v>74</v>
      </c>
      <c r="Q410" t="s">
        <v>74</v>
      </c>
      <c r="R410" t="s">
        <v>74</v>
      </c>
      <c r="S410" t="s">
        <v>74</v>
      </c>
      <c r="T410" t="s">
        <v>8000</v>
      </c>
      <c r="U410" t="s">
        <v>8001</v>
      </c>
      <c r="V410" t="s">
        <v>8002</v>
      </c>
      <c r="W410" t="s">
        <v>8003</v>
      </c>
      <c r="X410" t="s">
        <v>8004</v>
      </c>
      <c r="Y410" t="s">
        <v>8005</v>
      </c>
      <c r="Z410" t="s">
        <v>8006</v>
      </c>
      <c r="AA410" t="s">
        <v>8007</v>
      </c>
      <c r="AB410" t="s">
        <v>8008</v>
      </c>
      <c r="AC410" t="s">
        <v>8009</v>
      </c>
      <c r="AD410" t="s">
        <v>8010</v>
      </c>
      <c r="AE410" t="s">
        <v>8011</v>
      </c>
      <c r="AF410" t="s">
        <v>74</v>
      </c>
      <c r="AG410">
        <v>59</v>
      </c>
      <c r="AH410">
        <v>9</v>
      </c>
      <c r="AI410">
        <v>9</v>
      </c>
      <c r="AJ410">
        <v>0</v>
      </c>
      <c r="AK410">
        <v>12</v>
      </c>
      <c r="AL410" t="s">
        <v>7949</v>
      </c>
      <c r="AM410" t="s">
        <v>7950</v>
      </c>
      <c r="AN410" t="s">
        <v>7951</v>
      </c>
      <c r="AO410" t="s">
        <v>7952</v>
      </c>
      <c r="AP410" t="s">
        <v>74</v>
      </c>
      <c r="AQ410" t="s">
        <v>74</v>
      </c>
      <c r="AR410" t="s">
        <v>7953</v>
      </c>
      <c r="AS410" t="s">
        <v>7954</v>
      </c>
      <c r="AT410" t="s">
        <v>7973</v>
      </c>
      <c r="AU410">
        <v>2018</v>
      </c>
      <c r="AV410">
        <v>9</v>
      </c>
      <c r="AW410" t="s">
        <v>74</v>
      </c>
      <c r="AX410" t="s">
        <v>74</v>
      </c>
      <c r="AY410" t="s">
        <v>74</v>
      </c>
      <c r="AZ410" t="s">
        <v>74</v>
      </c>
      <c r="BA410" t="s">
        <v>74</v>
      </c>
      <c r="BB410" t="s">
        <v>74</v>
      </c>
      <c r="BC410" t="s">
        <v>74</v>
      </c>
      <c r="BD410">
        <v>1715</v>
      </c>
      <c r="BE410" t="s">
        <v>8012</v>
      </c>
      <c r="BF410" t="str">
        <f>HYPERLINK("http://dx.doi.org/10.3389/fphys.2018.01715","http://dx.doi.org/10.3389/fphys.2018.01715")</f>
        <v>http://dx.doi.org/10.3389/fphys.2018.01715</v>
      </c>
      <c r="BG410" t="s">
        <v>74</v>
      </c>
      <c r="BH410" t="s">
        <v>74</v>
      </c>
      <c r="BI410">
        <v>18</v>
      </c>
      <c r="BJ410" t="s">
        <v>7956</v>
      </c>
      <c r="BK410" t="s">
        <v>101</v>
      </c>
      <c r="BL410" t="s">
        <v>7956</v>
      </c>
      <c r="BM410" t="s">
        <v>8013</v>
      </c>
      <c r="BN410">
        <v>30618779</v>
      </c>
      <c r="BO410" t="s">
        <v>221</v>
      </c>
      <c r="BP410" t="s">
        <v>74</v>
      </c>
      <c r="BQ410" t="s">
        <v>74</v>
      </c>
      <c r="BR410" t="s">
        <v>104</v>
      </c>
      <c r="BS410" t="s">
        <v>8014</v>
      </c>
      <c r="BT410" t="str">
        <f>HYPERLINK("https%3A%2F%2Fwww.webofscience.com%2Fwos%2Fwoscc%2Ffull-record%2FWOS:000453894300001","View Full Record in Web of Science")</f>
        <v>View Full Record in Web of Science</v>
      </c>
    </row>
    <row r="411" spans="1:72" x14ac:dyDescent="0.15">
      <c r="A411" t="s">
        <v>72</v>
      </c>
      <c r="B411" t="s">
        <v>8015</v>
      </c>
      <c r="C411" t="s">
        <v>74</v>
      </c>
      <c r="D411" t="s">
        <v>74</v>
      </c>
      <c r="E411" t="s">
        <v>74</v>
      </c>
      <c r="F411" t="s">
        <v>8016</v>
      </c>
      <c r="G411" t="s">
        <v>74</v>
      </c>
      <c r="H411" t="s">
        <v>74</v>
      </c>
      <c r="I411" t="s">
        <v>8017</v>
      </c>
      <c r="J411" t="s">
        <v>7881</v>
      </c>
      <c r="K411" t="s">
        <v>74</v>
      </c>
      <c r="L411" t="s">
        <v>74</v>
      </c>
      <c r="M411" t="s">
        <v>78</v>
      </c>
      <c r="N411" t="s">
        <v>79</v>
      </c>
      <c r="O411" t="s">
        <v>74</v>
      </c>
      <c r="P411" t="s">
        <v>74</v>
      </c>
      <c r="Q411" t="s">
        <v>74</v>
      </c>
      <c r="R411" t="s">
        <v>74</v>
      </c>
      <c r="S411" t="s">
        <v>74</v>
      </c>
      <c r="T411" t="s">
        <v>74</v>
      </c>
      <c r="U411" t="s">
        <v>8018</v>
      </c>
      <c r="V411" t="s">
        <v>8019</v>
      </c>
      <c r="W411" t="s">
        <v>8020</v>
      </c>
      <c r="X411" t="s">
        <v>8021</v>
      </c>
      <c r="Y411" t="s">
        <v>8022</v>
      </c>
      <c r="Z411" t="s">
        <v>8023</v>
      </c>
      <c r="AA411" t="s">
        <v>74</v>
      </c>
      <c r="AB411" t="s">
        <v>8024</v>
      </c>
      <c r="AC411" t="s">
        <v>8025</v>
      </c>
      <c r="AD411" t="s">
        <v>8026</v>
      </c>
      <c r="AE411" t="s">
        <v>8027</v>
      </c>
      <c r="AF411" t="s">
        <v>74</v>
      </c>
      <c r="AG411">
        <v>71</v>
      </c>
      <c r="AH411">
        <v>9</v>
      </c>
      <c r="AI411">
        <v>9</v>
      </c>
      <c r="AJ411">
        <v>0</v>
      </c>
      <c r="AK411">
        <v>6</v>
      </c>
      <c r="AL411" t="s">
        <v>7866</v>
      </c>
      <c r="AM411" t="s">
        <v>7867</v>
      </c>
      <c r="AN411" t="s">
        <v>7868</v>
      </c>
      <c r="AO411" t="s">
        <v>7893</v>
      </c>
      <c r="AP411" t="s">
        <v>7894</v>
      </c>
      <c r="AQ411" t="s">
        <v>74</v>
      </c>
      <c r="AR411" t="s">
        <v>7895</v>
      </c>
      <c r="AS411" t="s">
        <v>7896</v>
      </c>
      <c r="AT411" t="s">
        <v>7973</v>
      </c>
      <c r="AU411">
        <v>2018</v>
      </c>
      <c r="AV411">
        <v>11</v>
      </c>
      <c r="AW411">
        <v>12</v>
      </c>
      <c r="AX411" t="s">
        <v>74</v>
      </c>
      <c r="AY411" t="s">
        <v>74</v>
      </c>
      <c r="AZ411" t="s">
        <v>74</v>
      </c>
      <c r="BA411" t="s">
        <v>74</v>
      </c>
      <c r="BB411">
        <v>5149</v>
      </c>
      <c r="BC411">
        <v>5172</v>
      </c>
      <c r="BD411" t="s">
        <v>74</v>
      </c>
      <c r="BE411" t="s">
        <v>8028</v>
      </c>
      <c r="BF411" t="str">
        <f>HYPERLINK("http://dx.doi.org/10.5194/gmd-11-5149-2018","http://dx.doi.org/10.5194/gmd-11-5149-2018")</f>
        <v>http://dx.doi.org/10.5194/gmd-11-5149-2018</v>
      </c>
      <c r="BG411" t="s">
        <v>74</v>
      </c>
      <c r="BH411" t="s">
        <v>74</v>
      </c>
      <c r="BI411">
        <v>24</v>
      </c>
      <c r="BJ411" t="s">
        <v>884</v>
      </c>
      <c r="BK411" t="s">
        <v>101</v>
      </c>
      <c r="BL411" t="s">
        <v>528</v>
      </c>
      <c r="BM411" t="s">
        <v>8029</v>
      </c>
      <c r="BN411" t="s">
        <v>74</v>
      </c>
      <c r="BO411" t="s">
        <v>949</v>
      </c>
      <c r="BP411" t="s">
        <v>74</v>
      </c>
      <c r="BQ411" t="s">
        <v>74</v>
      </c>
      <c r="BR411" t="s">
        <v>104</v>
      </c>
      <c r="BS411" t="s">
        <v>8030</v>
      </c>
      <c r="BT411" t="str">
        <f>HYPERLINK("https%3A%2F%2Fwww.webofscience.com%2Fwos%2Fwoscc%2Ffull-record%2FWOS:000453929100001","View Full Record in Web of Science")</f>
        <v>View Full Record in Web of Science</v>
      </c>
    </row>
    <row r="412" spans="1:72" x14ac:dyDescent="0.15">
      <c r="A412" t="s">
        <v>72</v>
      </c>
      <c r="B412" t="s">
        <v>8031</v>
      </c>
      <c r="C412" t="s">
        <v>74</v>
      </c>
      <c r="D412" t="s">
        <v>74</v>
      </c>
      <c r="E412" t="s">
        <v>74</v>
      </c>
      <c r="F412" t="s">
        <v>8032</v>
      </c>
      <c r="G412" t="s">
        <v>74</v>
      </c>
      <c r="H412" t="s">
        <v>74</v>
      </c>
      <c r="I412" t="s">
        <v>8033</v>
      </c>
      <c r="J412" t="s">
        <v>8034</v>
      </c>
      <c r="K412" t="s">
        <v>74</v>
      </c>
      <c r="L412" t="s">
        <v>74</v>
      </c>
      <c r="M412" t="s">
        <v>78</v>
      </c>
      <c r="N412" t="s">
        <v>79</v>
      </c>
      <c r="O412" t="s">
        <v>74</v>
      </c>
      <c r="P412" t="s">
        <v>74</v>
      </c>
      <c r="Q412" t="s">
        <v>74</v>
      </c>
      <c r="R412" t="s">
        <v>74</v>
      </c>
      <c r="S412" t="s">
        <v>74</v>
      </c>
      <c r="T412" t="s">
        <v>74</v>
      </c>
      <c r="U412" t="s">
        <v>8035</v>
      </c>
      <c r="V412" t="s">
        <v>8036</v>
      </c>
      <c r="W412" t="s">
        <v>8037</v>
      </c>
      <c r="X412" t="s">
        <v>8038</v>
      </c>
      <c r="Y412" t="s">
        <v>8039</v>
      </c>
      <c r="Z412" t="s">
        <v>8040</v>
      </c>
      <c r="AA412" t="s">
        <v>74</v>
      </c>
      <c r="AB412" t="s">
        <v>8041</v>
      </c>
      <c r="AC412" t="s">
        <v>8042</v>
      </c>
      <c r="AD412" t="s">
        <v>8043</v>
      </c>
      <c r="AE412" t="s">
        <v>8044</v>
      </c>
      <c r="AF412" t="s">
        <v>74</v>
      </c>
      <c r="AG412">
        <v>55</v>
      </c>
      <c r="AH412">
        <v>19</v>
      </c>
      <c r="AI412">
        <v>19</v>
      </c>
      <c r="AJ412">
        <v>0</v>
      </c>
      <c r="AK412">
        <v>3</v>
      </c>
      <c r="AL412" t="s">
        <v>8045</v>
      </c>
      <c r="AM412" t="s">
        <v>6186</v>
      </c>
      <c r="AN412" t="s">
        <v>6187</v>
      </c>
      <c r="AO412" t="s">
        <v>8046</v>
      </c>
      <c r="AP412" t="s">
        <v>74</v>
      </c>
      <c r="AQ412" t="s">
        <v>74</v>
      </c>
      <c r="AR412" t="s">
        <v>8047</v>
      </c>
      <c r="AS412" t="s">
        <v>8048</v>
      </c>
      <c r="AT412" t="s">
        <v>7973</v>
      </c>
      <c r="AU412">
        <v>2018</v>
      </c>
      <c r="AV412">
        <v>8</v>
      </c>
      <c r="AW412" t="s">
        <v>74</v>
      </c>
      <c r="AX412" t="s">
        <v>74</v>
      </c>
      <c r="AY412" t="s">
        <v>74</v>
      </c>
      <c r="AZ412" t="s">
        <v>74</v>
      </c>
      <c r="BA412" t="s">
        <v>74</v>
      </c>
      <c r="BB412" t="s">
        <v>74</v>
      </c>
      <c r="BC412" t="s">
        <v>74</v>
      </c>
      <c r="BD412">
        <v>17996</v>
      </c>
      <c r="BE412" t="s">
        <v>8049</v>
      </c>
      <c r="BF412" t="str">
        <f>HYPERLINK("http://dx.doi.org/10.1038/s41598-018-36499-6","http://dx.doi.org/10.1038/s41598-018-36499-6")</f>
        <v>http://dx.doi.org/10.1038/s41598-018-36499-6</v>
      </c>
      <c r="BG412" t="s">
        <v>74</v>
      </c>
      <c r="BH412" t="s">
        <v>74</v>
      </c>
      <c r="BI412">
        <v>21</v>
      </c>
      <c r="BJ412" t="s">
        <v>855</v>
      </c>
      <c r="BK412" t="s">
        <v>101</v>
      </c>
      <c r="BL412" t="s">
        <v>856</v>
      </c>
      <c r="BM412" t="s">
        <v>8050</v>
      </c>
      <c r="BN412">
        <v>30573764</v>
      </c>
      <c r="BO412" t="s">
        <v>221</v>
      </c>
      <c r="BP412" t="s">
        <v>74</v>
      </c>
      <c r="BQ412" t="s">
        <v>74</v>
      </c>
      <c r="BR412" t="s">
        <v>104</v>
      </c>
      <c r="BS412" t="s">
        <v>8051</v>
      </c>
      <c r="BT412" t="str">
        <f>HYPERLINK("https%3A%2F%2Fwww.webofscience.com%2Fwos%2Fwoscc%2Ffull-record%2FWOS:000453836200002","View Full Record in Web of Science")</f>
        <v>View Full Record in Web of Science</v>
      </c>
    </row>
    <row r="413" spans="1:72" x14ac:dyDescent="0.15">
      <c r="A413" t="s">
        <v>72</v>
      </c>
      <c r="B413" t="s">
        <v>8052</v>
      </c>
      <c r="C413" t="s">
        <v>74</v>
      </c>
      <c r="D413" t="s">
        <v>74</v>
      </c>
      <c r="E413" t="s">
        <v>74</v>
      </c>
      <c r="F413" t="s">
        <v>8053</v>
      </c>
      <c r="G413" t="s">
        <v>74</v>
      </c>
      <c r="H413" t="s">
        <v>74</v>
      </c>
      <c r="I413" t="s">
        <v>8054</v>
      </c>
      <c r="J413" t="s">
        <v>8055</v>
      </c>
      <c r="K413" t="s">
        <v>74</v>
      </c>
      <c r="L413" t="s">
        <v>74</v>
      </c>
      <c r="M413" t="s">
        <v>78</v>
      </c>
      <c r="N413" t="s">
        <v>79</v>
      </c>
      <c r="O413" t="s">
        <v>74</v>
      </c>
      <c r="P413" t="s">
        <v>74</v>
      </c>
      <c r="Q413" t="s">
        <v>74</v>
      </c>
      <c r="R413" t="s">
        <v>74</v>
      </c>
      <c r="S413" t="s">
        <v>74</v>
      </c>
      <c r="T413" t="s">
        <v>8056</v>
      </c>
      <c r="U413" t="s">
        <v>8057</v>
      </c>
      <c r="V413" t="s">
        <v>8058</v>
      </c>
      <c r="W413" t="s">
        <v>8059</v>
      </c>
      <c r="X413" t="s">
        <v>8060</v>
      </c>
      <c r="Y413" t="s">
        <v>8061</v>
      </c>
      <c r="Z413" t="s">
        <v>8062</v>
      </c>
      <c r="AA413" t="s">
        <v>74</v>
      </c>
      <c r="AB413" t="s">
        <v>74</v>
      </c>
      <c r="AC413" t="s">
        <v>8063</v>
      </c>
      <c r="AD413" t="s">
        <v>8064</v>
      </c>
      <c r="AE413" t="s">
        <v>8065</v>
      </c>
      <c r="AF413" t="s">
        <v>74</v>
      </c>
      <c r="AG413">
        <v>39</v>
      </c>
      <c r="AH413">
        <v>17</v>
      </c>
      <c r="AI413">
        <v>18</v>
      </c>
      <c r="AJ413">
        <v>1</v>
      </c>
      <c r="AK413">
        <v>23</v>
      </c>
      <c r="AL413" t="s">
        <v>7949</v>
      </c>
      <c r="AM413" t="s">
        <v>7950</v>
      </c>
      <c r="AN413" t="s">
        <v>7951</v>
      </c>
      <c r="AO413" t="s">
        <v>8066</v>
      </c>
      <c r="AP413" t="s">
        <v>74</v>
      </c>
      <c r="AQ413" t="s">
        <v>74</v>
      </c>
      <c r="AR413" t="s">
        <v>8067</v>
      </c>
      <c r="AS413" t="s">
        <v>8068</v>
      </c>
      <c r="AT413" t="s">
        <v>8069</v>
      </c>
      <c r="AU413">
        <v>2018</v>
      </c>
      <c r="AV413">
        <v>9</v>
      </c>
      <c r="AW413" t="s">
        <v>74</v>
      </c>
      <c r="AX413" t="s">
        <v>74</v>
      </c>
      <c r="AY413" t="s">
        <v>74</v>
      </c>
      <c r="AZ413" t="s">
        <v>74</v>
      </c>
      <c r="BA413" t="s">
        <v>74</v>
      </c>
      <c r="BB413" t="s">
        <v>74</v>
      </c>
      <c r="BC413" t="s">
        <v>74</v>
      </c>
      <c r="BD413">
        <v>3165</v>
      </c>
      <c r="BE413" t="s">
        <v>8070</v>
      </c>
      <c r="BF413" t="str">
        <f>HYPERLINK("http://dx.doi.org/10.3389/fmicb.2018.03165","http://dx.doi.org/10.3389/fmicb.2018.03165")</f>
        <v>http://dx.doi.org/10.3389/fmicb.2018.03165</v>
      </c>
      <c r="BG413" t="s">
        <v>74</v>
      </c>
      <c r="BH413" t="s">
        <v>74</v>
      </c>
      <c r="BI413">
        <v>11</v>
      </c>
      <c r="BJ413" t="s">
        <v>4119</v>
      </c>
      <c r="BK413" t="s">
        <v>101</v>
      </c>
      <c r="BL413" t="s">
        <v>4119</v>
      </c>
      <c r="BM413" t="s">
        <v>8071</v>
      </c>
      <c r="BN413">
        <v>30619224</v>
      </c>
      <c r="BO413" t="s">
        <v>221</v>
      </c>
      <c r="BP413" t="s">
        <v>74</v>
      </c>
      <c r="BQ413" t="s">
        <v>74</v>
      </c>
      <c r="BR413" t="s">
        <v>104</v>
      </c>
      <c r="BS413" t="s">
        <v>8072</v>
      </c>
      <c r="BT413" t="str">
        <f>HYPERLINK("https%3A%2F%2Fwww.webofscience.com%2Fwos%2Fwoscc%2Ffull-record%2FWOS:000453855200002","View Full Record in Web of Science")</f>
        <v>View Full Record in Web of Science</v>
      </c>
    </row>
    <row r="414" spans="1:72" x14ac:dyDescent="0.15">
      <c r="A414" t="s">
        <v>72</v>
      </c>
      <c r="B414" t="s">
        <v>8073</v>
      </c>
      <c r="C414" t="s">
        <v>74</v>
      </c>
      <c r="D414" t="s">
        <v>74</v>
      </c>
      <c r="E414" t="s">
        <v>74</v>
      </c>
      <c r="F414" t="s">
        <v>8074</v>
      </c>
      <c r="G414" t="s">
        <v>74</v>
      </c>
      <c r="H414" t="s">
        <v>74</v>
      </c>
      <c r="I414" t="s">
        <v>8075</v>
      </c>
      <c r="J414" t="s">
        <v>8076</v>
      </c>
      <c r="K414" t="s">
        <v>74</v>
      </c>
      <c r="L414" t="s">
        <v>74</v>
      </c>
      <c r="M414" t="s">
        <v>78</v>
      </c>
      <c r="N414" t="s">
        <v>79</v>
      </c>
      <c r="O414" t="s">
        <v>74</v>
      </c>
      <c r="P414" t="s">
        <v>74</v>
      </c>
      <c r="Q414" t="s">
        <v>74</v>
      </c>
      <c r="R414" t="s">
        <v>74</v>
      </c>
      <c r="S414" t="s">
        <v>74</v>
      </c>
      <c r="T414" t="s">
        <v>74</v>
      </c>
      <c r="U414" t="s">
        <v>8077</v>
      </c>
      <c r="V414" t="s">
        <v>8078</v>
      </c>
      <c r="W414" t="s">
        <v>8079</v>
      </c>
      <c r="X414" t="s">
        <v>8080</v>
      </c>
      <c r="Y414" t="s">
        <v>8081</v>
      </c>
      <c r="Z414" t="s">
        <v>8082</v>
      </c>
      <c r="AA414" t="s">
        <v>8083</v>
      </c>
      <c r="AB414" t="s">
        <v>8084</v>
      </c>
      <c r="AC414" t="s">
        <v>8085</v>
      </c>
      <c r="AD414" t="s">
        <v>8086</v>
      </c>
      <c r="AE414" t="s">
        <v>8087</v>
      </c>
      <c r="AF414" t="s">
        <v>74</v>
      </c>
      <c r="AG414">
        <v>82</v>
      </c>
      <c r="AH414">
        <v>13</v>
      </c>
      <c r="AI414">
        <v>13</v>
      </c>
      <c r="AJ414">
        <v>1</v>
      </c>
      <c r="AK414">
        <v>21</v>
      </c>
      <c r="AL414" t="s">
        <v>8088</v>
      </c>
      <c r="AM414" t="s">
        <v>8089</v>
      </c>
      <c r="AN414" t="s">
        <v>8090</v>
      </c>
      <c r="AO414" t="s">
        <v>8091</v>
      </c>
      <c r="AP414" t="s">
        <v>74</v>
      </c>
      <c r="AQ414" t="s">
        <v>74</v>
      </c>
      <c r="AR414" t="s">
        <v>8076</v>
      </c>
      <c r="AS414" t="s">
        <v>8092</v>
      </c>
      <c r="AT414" t="s">
        <v>8069</v>
      </c>
      <c r="AU414">
        <v>2018</v>
      </c>
      <c r="AV414">
        <v>13</v>
      </c>
      <c r="AW414">
        <v>12</v>
      </c>
      <c r="AX414" t="s">
        <v>74</v>
      </c>
      <c r="AY414" t="s">
        <v>74</v>
      </c>
      <c r="AZ414" t="s">
        <v>74</v>
      </c>
      <c r="BA414" t="s">
        <v>74</v>
      </c>
      <c r="BB414" t="s">
        <v>74</v>
      </c>
      <c r="BC414" t="s">
        <v>74</v>
      </c>
      <c r="BD414" t="s">
        <v>8093</v>
      </c>
      <c r="BE414" t="s">
        <v>8094</v>
      </c>
      <c r="BF414" t="str">
        <f>HYPERLINK("http://dx.doi.org/10.1371/journal.pone.0207917","http://dx.doi.org/10.1371/journal.pone.0207917")</f>
        <v>http://dx.doi.org/10.1371/journal.pone.0207917</v>
      </c>
      <c r="BG414" t="s">
        <v>74</v>
      </c>
      <c r="BH414" t="s">
        <v>74</v>
      </c>
      <c r="BI414">
        <v>22</v>
      </c>
      <c r="BJ414" t="s">
        <v>855</v>
      </c>
      <c r="BK414" t="s">
        <v>101</v>
      </c>
      <c r="BL414" t="s">
        <v>856</v>
      </c>
      <c r="BM414" t="s">
        <v>8095</v>
      </c>
      <c r="BN414">
        <v>30566444</v>
      </c>
      <c r="BO414" t="s">
        <v>221</v>
      </c>
      <c r="BP414" t="s">
        <v>74</v>
      </c>
      <c r="BQ414" t="s">
        <v>74</v>
      </c>
      <c r="BR414" t="s">
        <v>104</v>
      </c>
      <c r="BS414" t="s">
        <v>8096</v>
      </c>
      <c r="BT414" t="str">
        <f>HYPERLINK("https%3A%2F%2Fwww.webofscience.com%2Fwos%2Fwoscc%2Ffull-record%2FWOS:000453779300020","View Full Record in Web of Science")</f>
        <v>View Full Record in Web of Science</v>
      </c>
    </row>
    <row r="415" spans="1:72" x14ac:dyDescent="0.15">
      <c r="A415" t="s">
        <v>72</v>
      </c>
      <c r="B415" t="s">
        <v>8097</v>
      </c>
      <c r="C415" t="s">
        <v>74</v>
      </c>
      <c r="D415" t="s">
        <v>74</v>
      </c>
      <c r="E415" t="s">
        <v>74</v>
      </c>
      <c r="F415" t="s">
        <v>8098</v>
      </c>
      <c r="G415" t="s">
        <v>74</v>
      </c>
      <c r="H415" t="s">
        <v>74</v>
      </c>
      <c r="I415" t="s">
        <v>8099</v>
      </c>
      <c r="J415" t="s">
        <v>8100</v>
      </c>
      <c r="K415" t="s">
        <v>74</v>
      </c>
      <c r="L415" t="s">
        <v>74</v>
      </c>
      <c r="M415" t="s">
        <v>78</v>
      </c>
      <c r="N415" t="s">
        <v>79</v>
      </c>
      <c r="O415" t="s">
        <v>74</v>
      </c>
      <c r="P415" t="s">
        <v>74</v>
      </c>
      <c r="Q415" t="s">
        <v>74</v>
      </c>
      <c r="R415" t="s">
        <v>74</v>
      </c>
      <c r="S415" t="s">
        <v>74</v>
      </c>
      <c r="T415" t="s">
        <v>74</v>
      </c>
      <c r="U415" t="s">
        <v>8101</v>
      </c>
      <c r="V415" t="s">
        <v>8102</v>
      </c>
      <c r="W415" t="s">
        <v>8103</v>
      </c>
      <c r="X415" t="s">
        <v>8104</v>
      </c>
      <c r="Y415" t="s">
        <v>8105</v>
      </c>
      <c r="Z415" t="s">
        <v>8106</v>
      </c>
      <c r="AA415" t="s">
        <v>8107</v>
      </c>
      <c r="AB415" t="s">
        <v>8108</v>
      </c>
      <c r="AC415" t="s">
        <v>8109</v>
      </c>
      <c r="AD415" t="s">
        <v>8110</v>
      </c>
      <c r="AE415" t="s">
        <v>8111</v>
      </c>
      <c r="AF415" t="s">
        <v>74</v>
      </c>
      <c r="AG415">
        <v>65</v>
      </c>
      <c r="AH415">
        <v>23</v>
      </c>
      <c r="AI415">
        <v>28</v>
      </c>
      <c r="AJ415">
        <v>0</v>
      </c>
      <c r="AK415">
        <v>10</v>
      </c>
      <c r="AL415" t="s">
        <v>7866</v>
      </c>
      <c r="AM415" t="s">
        <v>7867</v>
      </c>
      <c r="AN415" t="s">
        <v>7868</v>
      </c>
      <c r="AO415" t="s">
        <v>8112</v>
      </c>
      <c r="AP415" t="s">
        <v>8113</v>
      </c>
      <c r="AQ415" t="s">
        <v>74</v>
      </c>
      <c r="AR415" t="s">
        <v>8100</v>
      </c>
      <c r="AS415" t="s">
        <v>8114</v>
      </c>
      <c r="AT415" t="s">
        <v>8115</v>
      </c>
      <c r="AU415">
        <v>2018</v>
      </c>
      <c r="AV415">
        <v>12</v>
      </c>
      <c r="AW415">
        <v>12</v>
      </c>
      <c r="AX415" t="s">
        <v>74</v>
      </c>
      <c r="AY415" t="s">
        <v>74</v>
      </c>
      <c r="AZ415" t="s">
        <v>74</v>
      </c>
      <c r="BA415" t="s">
        <v>74</v>
      </c>
      <c r="BB415">
        <v>3907</v>
      </c>
      <c r="BC415">
        <v>3921</v>
      </c>
      <c r="BD415" t="s">
        <v>74</v>
      </c>
      <c r="BE415" t="s">
        <v>8116</v>
      </c>
      <c r="BF415" t="str">
        <f>HYPERLINK("http://dx.doi.org/10.5194/tc-12-3907-2018","http://dx.doi.org/10.5194/tc-12-3907-2018")</f>
        <v>http://dx.doi.org/10.5194/tc-12-3907-2018</v>
      </c>
      <c r="BG415" t="s">
        <v>74</v>
      </c>
      <c r="BH415" t="s">
        <v>74</v>
      </c>
      <c r="BI415">
        <v>15</v>
      </c>
      <c r="BJ415" t="s">
        <v>1480</v>
      </c>
      <c r="BK415" t="s">
        <v>101</v>
      </c>
      <c r="BL415" t="s">
        <v>1481</v>
      </c>
      <c r="BM415" t="s">
        <v>8117</v>
      </c>
      <c r="BN415" t="s">
        <v>74</v>
      </c>
      <c r="BO415" t="s">
        <v>8118</v>
      </c>
      <c r="BP415" t="s">
        <v>74</v>
      </c>
      <c r="BQ415" t="s">
        <v>74</v>
      </c>
      <c r="BR415" t="s">
        <v>104</v>
      </c>
      <c r="BS415" t="s">
        <v>8119</v>
      </c>
      <c r="BT415" t="str">
        <f>HYPERLINK("https%3A%2F%2Fwww.webofscience.com%2Fwos%2Fwoscc%2Ffull-record%2FWOS:000453582500001","View Full Record in Web of Science")</f>
        <v>View Full Record in Web of Science</v>
      </c>
    </row>
    <row r="416" spans="1:72" x14ac:dyDescent="0.15">
      <c r="A416" t="s">
        <v>72</v>
      </c>
      <c r="B416" t="s">
        <v>8120</v>
      </c>
      <c r="C416" t="s">
        <v>74</v>
      </c>
      <c r="D416" t="s">
        <v>74</v>
      </c>
      <c r="E416" t="s">
        <v>74</v>
      </c>
      <c r="F416" t="s">
        <v>8121</v>
      </c>
      <c r="G416" t="s">
        <v>74</v>
      </c>
      <c r="H416" t="s">
        <v>74</v>
      </c>
      <c r="I416" t="s">
        <v>8122</v>
      </c>
      <c r="J416" t="s">
        <v>8055</v>
      </c>
      <c r="K416" t="s">
        <v>74</v>
      </c>
      <c r="L416" t="s">
        <v>74</v>
      </c>
      <c r="M416" t="s">
        <v>78</v>
      </c>
      <c r="N416" t="s">
        <v>79</v>
      </c>
      <c r="O416" t="s">
        <v>74</v>
      </c>
      <c r="P416" t="s">
        <v>74</v>
      </c>
      <c r="Q416" t="s">
        <v>74</v>
      </c>
      <c r="R416" t="s">
        <v>74</v>
      </c>
      <c r="S416" t="s">
        <v>74</v>
      </c>
      <c r="T416" t="s">
        <v>8123</v>
      </c>
      <c r="U416" t="s">
        <v>8124</v>
      </c>
      <c r="V416" t="s">
        <v>8125</v>
      </c>
      <c r="W416" t="s">
        <v>8126</v>
      </c>
      <c r="X416" t="s">
        <v>8127</v>
      </c>
      <c r="Y416" t="s">
        <v>8128</v>
      </c>
      <c r="Z416" t="s">
        <v>8129</v>
      </c>
      <c r="AA416" t="s">
        <v>8130</v>
      </c>
      <c r="AB416" t="s">
        <v>8131</v>
      </c>
      <c r="AC416" t="s">
        <v>8132</v>
      </c>
      <c r="AD416" t="s">
        <v>8133</v>
      </c>
      <c r="AE416" t="s">
        <v>8134</v>
      </c>
      <c r="AF416" t="s">
        <v>74</v>
      </c>
      <c r="AG416">
        <v>159</v>
      </c>
      <c r="AH416">
        <v>19</v>
      </c>
      <c r="AI416">
        <v>21</v>
      </c>
      <c r="AJ416">
        <v>0</v>
      </c>
      <c r="AK416">
        <v>17</v>
      </c>
      <c r="AL416" t="s">
        <v>7949</v>
      </c>
      <c r="AM416" t="s">
        <v>7950</v>
      </c>
      <c r="AN416" t="s">
        <v>7951</v>
      </c>
      <c r="AO416" t="s">
        <v>74</v>
      </c>
      <c r="AP416" t="s">
        <v>8066</v>
      </c>
      <c r="AQ416" t="s">
        <v>74</v>
      </c>
      <c r="AR416" t="s">
        <v>8067</v>
      </c>
      <c r="AS416" t="s">
        <v>8068</v>
      </c>
      <c r="AT416" t="s">
        <v>8115</v>
      </c>
      <c r="AU416">
        <v>2018</v>
      </c>
      <c r="AV416">
        <v>9</v>
      </c>
      <c r="AW416" t="s">
        <v>74</v>
      </c>
      <c r="AX416" t="s">
        <v>74</v>
      </c>
      <c r="AY416" t="s">
        <v>74</v>
      </c>
      <c r="AZ416" t="s">
        <v>74</v>
      </c>
      <c r="BA416" t="s">
        <v>74</v>
      </c>
      <c r="BB416" t="s">
        <v>74</v>
      </c>
      <c r="BC416" t="s">
        <v>74</v>
      </c>
      <c r="BD416">
        <v>3144</v>
      </c>
      <c r="BE416" t="s">
        <v>8135</v>
      </c>
      <c r="BF416" t="str">
        <f>HYPERLINK("http://dx.doi.org/10.3389/fmicb.2018.03144","http://dx.doi.org/10.3389/fmicb.2018.03144")</f>
        <v>http://dx.doi.org/10.3389/fmicb.2018.03144</v>
      </c>
      <c r="BG416" t="s">
        <v>74</v>
      </c>
      <c r="BH416" t="s">
        <v>74</v>
      </c>
      <c r="BI416">
        <v>21</v>
      </c>
      <c r="BJ416" t="s">
        <v>4119</v>
      </c>
      <c r="BK416" t="s">
        <v>101</v>
      </c>
      <c r="BL416" t="s">
        <v>4119</v>
      </c>
      <c r="BM416" t="s">
        <v>8136</v>
      </c>
      <c r="BN416">
        <v>30619210</v>
      </c>
      <c r="BO416" t="s">
        <v>193</v>
      </c>
      <c r="BP416" t="s">
        <v>74</v>
      </c>
      <c r="BQ416" t="s">
        <v>74</v>
      </c>
      <c r="BR416" t="s">
        <v>104</v>
      </c>
      <c r="BS416" t="s">
        <v>8137</v>
      </c>
      <c r="BT416" t="str">
        <f>HYPERLINK("https%3A%2F%2Fwww.webofscience.com%2Fwos%2Fwoscc%2Ffull-record%2FWOS:000453657000001","View Full Record in Web of Science")</f>
        <v>View Full Record in Web of Science</v>
      </c>
    </row>
    <row r="417" spans="1:72" x14ac:dyDescent="0.15">
      <c r="A417" t="s">
        <v>72</v>
      </c>
      <c r="B417" t="s">
        <v>8138</v>
      </c>
      <c r="C417" t="s">
        <v>74</v>
      </c>
      <c r="D417" t="s">
        <v>74</v>
      </c>
      <c r="E417" t="s">
        <v>74</v>
      </c>
      <c r="F417" t="s">
        <v>8139</v>
      </c>
      <c r="G417" t="s">
        <v>74</v>
      </c>
      <c r="H417" t="s">
        <v>74</v>
      </c>
      <c r="I417" t="s">
        <v>8140</v>
      </c>
      <c r="J417" t="s">
        <v>8055</v>
      </c>
      <c r="K417" t="s">
        <v>74</v>
      </c>
      <c r="L417" t="s">
        <v>74</v>
      </c>
      <c r="M417" t="s">
        <v>78</v>
      </c>
      <c r="N417" t="s">
        <v>79</v>
      </c>
      <c r="O417" t="s">
        <v>74</v>
      </c>
      <c r="P417" t="s">
        <v>74</v>
      </c>
      <c r="Q417" t="s">
        <v>74</v>
      </c>
      <c r="R417" t="s">
        <v>74</v>
      </c>
      <c r="S417" t="s">
        <v>74</v>
      </c>
      <c r="T417" t="s">
        <v>8141</v>
      </c>
      <c r="U417" t="s">
        <v>8142</v>
      </c>
      <c r="V417" t="s">
        <v>8143</v>
      </c>
      <c r="W417" t="s">
        <v>8144</v>
      </c>
      <c r="X417" t="s">
        <v>8145</v>
      </c>
      <c r="Y417" t="s">
        <v>8146</v>
      </c>
      <c r="Z417" t="s">
        <v>8147</v>
      </c>
      <c r="AA417" t="s">
        <v>8148</v>
      </c>
      <c r="AB417" t="s">
        <v>8149</v>
      </c>
      <c r="AC417" t="s">
        <v>8150</v>
      </c>
      <c r="AD417" t="s">
        <v>8151</v>
      </c>
      <c r="AE417" t="s">
        <v>8152</v>
      </c>
      <c r="AF417" t="s">
        <v>74</v>
      </c>
      <c r="AG417">
        <v>61</v>
      </c>
      <c r="AH417">
        <v>27</v>
      </c>
      <c r="AI417">
        <v>29</v>
      </c>
      <c r="AJ417">
        <v>3</v>
      </c>
      <c r="AK417">
        <v>18</v>
      </c>
      <c r="AL417" t="s">
        <v>7949</v>
      </c>
      <c r="AM417" t="s">
        <v>7950</v>
      </c>
      <c r="AN417" t="s">
        <v>7951</v>
      </c>
      <c r="AO417" t="s">
        <v>8066</v>
      </c>
      <c r="AP417" t="s">
        <v>74</v>
      </c>
      <c r="AQ417" t="s">
        <v>74</v>
      </c>
      <c r="AR417" t="s">
        <v>8067</v>
      </c>
      <c r="AS417" t="s">
        <v>8068</v>
      </c>
      <c r="AT417" t="s">
        <v>8115</v>
      </c>
      <c r="AU417">
        <v>2018</v>
      </c>
      <c r="AV417">
        <v>9</v>
      </c>
      <c r="AW417" t="s">
        <v>74</v>
      </c>
      <c r="AX417" t="s">
        <v>74</v>
      </c>
      <c r="AY417" t="s">
        <v>74</v>
      </c>
      <c r="AZ417" t="s">
        <v>74</v>
      </c>
      <c r="BA417" t="s">
        <v>74</v>
      </c>
      <c r="BB417" t="s">
        <v>74</v>
      </c>
      <c r="BC417" t="s">
        <v>74</v>
      </c>
      <c r="BD417">
        <v>3153</v>
      </c>
      <c r="BE417" t="s">
        <v>8153</v>
      </c>
      <c r="BF417" t="str">
        <f>HYPERLINK("http://dx.doi.org/10.3389/fmicb.2018.03153","http://dx.doi.org/10.3389/fmicb.2018.03153")</f>
        <v>http://dx.doi.org/10.3389/fmicb.2018.03153</v>
      </c>
      <c r="BG417" t="s">
        <v>74</v>
      </c>
      <c r="BH417" t="s">
        <v>74</v>
      </c>
      <c r="BI417">
        <v>12</v>
      </c>
      <c r="BJ417" t="s">
        <v>4119</v>
      </c>
      <c r="BK417" t="s">
        <v>101</v>
      </c>
      <c r="BL417" t="s">
        <v>4119</v>
      </c>
      <c r="BM417" t="s">
        <v>8154</v>
      </c>
      <c r="BN417">
        <v>30619217</v>
      </c>
      <c r="BO417" t="s">
        <v>8155</v>
      </c>
      <c r="BP417" t="s">
        <v>74</v>
      </c>
      <c r="BQ417" t="s">
        <v>74</v>
      </c>
      <c r="BR417" t="s">
        <v>104</v>
      </c>
      <c r="BS417" t="s">
        <v>8156</v>
      </c>
      <c r="BT417" t="str">
        <f>HYPERLINK("https%3A%2F%2Fwww.webofscience.com%2Fwos%2Fwoscc%2Ffull-record%2FWOS:000453658000001","View Full Record in Web of Science")</f>
        <v>View Full Record in Web of Science</v>
      </c>
    </row>
    <row r="418" spans="1:72" x14ac:dyDescent="0.15">
      <c r="A418" t="s">
        <v>72</v>
      </c>
      <c r="B418" t="s">
        <v>8157</v>
      </c>
      <c r="C418" t="s">
        <v>74</v>
      </c>
      <c r="D418" t="s">
        <v>74</v>
      </c>
      <c r="E418" t="s">
        <v>74</v>
      </c>
      <c r="F418" t="s">
        <v>8158</v>
      </c>
      <c r="G418" t="s">
        <v>74</v>
      </c>
      <c r="H418" t="s">
        <v>74</v>
      </c>
      <c r="I418" t="s">
        <v>8159</v>
      </c>
      <c r="J418" t="s">
        <v>8160</v>
      </c>
      <c r="K418" t="s">
        <v>74</v>
      </c>
      <c r="L418" t="s">
        <v>74</v>
      </c>
      <c r="M418" t="s">
        <v>78</v>
      </c>
      <c r="N418" t="s">
        <v>79</v>
      </c>
      <c r="O418" t="s">
        <v>74</v>
      </c>
      <c r="P418" t="s">
        <v>74</v>
      </c>
      <c r="Q418" t="s">
        <v>74</v>
      </c>
      <c r="R418" t="s">
        <v>74</v>
      </c>
      <c r="S418" t="s">
        <v>74</v>
      </c>
      <c r="T418" t="s">
        <v>8161</v>
      </c>
      <c r="U418" t="s">
        <v>74</v>
      </c>
      <c r="V418" t="s">
        <v>8162</v>
      </c>
      <c r="W418" t="s">
        <v>8163</v>
      </c>
      <c r="X418" t="s">
        <v>8164</v>
      </c>
      <c r="Y418" t="s">
        <v>8165</v>
      </c>
      <c r="Z418" t="s">
        <v>8166</v>
      </c>
      <c r="AA418" t="s">
        <v>74</v>
      </c>
      <c r="AB418" t="s">
        <v>74</v>
      </c>
      <c r="AC418" t="s">
        <v>8167</v>
      </c>
      <c r="AD418" t="s">
        <v>8167</v>
      </c>
      <c r="AE418" t="s">
        <v>8168</v>
      </c>
      <c r="AF418" t="s">
        <v>74</v>
      </c>
      <c r="AG418">
        <v>14</v>
      </c>
      <c r="AH418">
        <v>1</v>
      </c>
      <c r="AI418">
        <v>1</v>
      </c>
      <c r="AJ418">
        <v>0</v>
      </c>
      <c r="AK418">
        <v>4</v>
      </c>
      <c r="AL418" t="s">
        <v>210</v>
      </c>
      <c r="AM418" t="s">
        <v>211</v>
      </c>
      <c r="AN418" t="s">
        <v>212</v>
      </c>
      <c r="AO418" t="s">
        <v>8169</v>
      </c>
      <c r="AP418" t="s">
        <v>8170</v>
      </c>
      <c r="AQ418" t="s">
        <v>74</v>
      </c>
      <c r="AR418" t="s">
        <v>8171</v>
      </c>
      <c r="AS418" t="s">
        <v>8172</v>
      </c>
      <c r="AT418" t="s">
        <v>8173</v>
      </c>
      <c r="AU418">
        <v>2018</v>
      </c>
      <c r="AV418">
        <v>37</v>
      </c>
      <c r="AW418">
        <v>1</v>
      </c>
      <c r="AX418" t="s">
        <v>74</v>
      </c>
      <c r="AY418" t="s">
        <v>74</v>
      </c>
      <c r="AZ418" t="s">
        <v>74</v>
      </c>
      <c r="BA418" t="s">
        <v>74</v>
      </c>
      <c r="BB418" t="s">
        <v>74</v>
      </c>
      <c r="BC418" t="s">
        <v>74</v>
      </c>
      <c r="BD418">
        <v>1547043</v>
      </c>
      <c r="BE418" t="s">
        <v>8174</v>
      </c>
      <c r="BF418" t="str">
        <f>HYPERLINK("http://dx.doi.org/10.1080/17518369.2018.1547043","http://dx.doi.org/10.1080/17518369.2018.1547043")</f>
        <v>http://dx.doi.org/10.1080/17518369.2018.1547043</v>
      </c>
      <c r="BG418" t="s">
        <v>74</v>
      </c>
      <c r="BH418" t="s">
        <v>74</v>
      </c>
      <c r="BI418">
        <v>6</v>
      </c>
      <c r="BJ418" t="s">
        <v>8175</v>
      </c>
      <c r="BK418" t="s">
        <v>101</v>
      </c>
      <c r="BL418" t="s">
        <v>8176</v>
      </c>
      <c r="BM418" t="s">
        <v>8177</v>
      </c>
      <c r="BN418" t="s">
        <v>74</v>
      </c>
      <c r="BO418" t="s">
        <v>131</v>
      </c>
      <c r="BP418" t="s">
        <v>74</v>
      </c>
      <c r="BQ418" t="s">
        <v>74</v>
      </c>
      <c r="BR418" t="s">
        <v>104</v>
      </c>
      <c r="BS418" t="s">
        <v>8178</v>
      </c>
      <c r="BT418" t="str">
        <f>HYPERLINK("https%3A%2F%2Fwww.webofscience.com%2Fwos%2Fwoscc%2Ffull-record%2FWOS:000453555500001","View Full Record in Web of Science")</f>
        <v>View Full Record in Web of Science</v>
      </c>
    </row>
    <row r="419" spans="1:72" x14ac:dyDescent="0.15">
      <c r="A419" t="s">
        <v>72</v>
      </c>
      <c r="B419" t="s">
        <v>8179</v>
      </c>
      <c r="C419" t="s">
        <v>74</v>
      </c>
      <c r="D419" t="s">
        <v>74</v>
      </c>
      <c r="E419" t="s">
        <v>74</v>
      </c>
      <c r="F419" t="s">
        <v>8180</v>
      </c>
      <c r="G419" t="s">
        <v>74</v>
      </c>
      <c r="H419" t="s">
        <v>74</v>
      </c>
      <c r="I419" t="s">
        <v>8181</v>
      </c>
      <c r="J419" t="s">
        <v>8182</v>
      </c>
      <c r="K419" t="s">
        <v>74</v>
      </c>
      <c r="L419" t="s">
        <v>74</v>
      </c>
      <c r="M419" t="s">
        <v>78</v>
      </c>
      <c r="N419" t="s">
        <v>79</v>
      </c>
      <c r="O419" t="s">
        <v>74</v>
      </c>
      <c r="P419" t="s">
        <v>74</v>
      </c>
      <c r="Q419" t="s">
        <v>74</v>
      </c>
      <c r="R419" t="s">
        <v>74</v>
      </c>
      <c r="S419" t="s">
        <v>74</v>
      </c>
      <c r="T419" t="s">
        <v>74</v>
      </c>
      <c r="U419" t="s">
        <v>8183</v>
      </c>
      <c r="V419" t="s">
        <v>8184</v>
      </c>
      <c r="W419" t="s">
        <v>8185</v>
      </c>
      <c r="X419" t="s">
        <v>8186</v>
      </c>
      <c r="Y419" t="s">
        <v>8187</v>
      </c>
      <c r="Z419" t="s">
        <v>8188</v>
      </c>
      <c r="AA419" t="s">
        <v>8189</v>
      </c>
      <c r="AB419" t="s">
        <v>8190</v>
      </c>
      <c r="AC419" t="s">
        <v>8191</v>
      </c>
      <c r="AD419" t="s">
        <v>8192</v>
      </c>
      <c r="AE419" t="s">
        <v>8193</v>
      </c>
      <c r="AF419" t="s">
        <v>74</v>
      </c>
      <c r="AG419">
        <v>26</v>
      </c>
      <c r="AH419">
        <v>2</v>
      </c>
      <c r="AI419">
        <v>2</v>
      </c>
      <c r="AJ419">
        <v>0</v>
      </c>
      <c r="AK419">
        <v>4</v>
      </c>
      <c r="AL419" t="s">
        <v>7866</v>
      </c>
      <c r="AM419" t="s">
        <v>7867</v>
      </c>
      <c r="AN419" t="s">
        <v>7868</v>
      </c>
      <c r="AO419" t="s">
        <v>8194</v>
      </c>
      <c r="AP419" t="s">
        <v>8195</v>
      </c>
      <c r="AQ419" t="s">
        <v>74</v>
      </c>
      <c r="AR419" t="s">
        <v>8196</v>
      </c>
      <c r="AS419" t="s">
        <v>8197</v>
      </c>
      <c r="AT419" t="s">
        <v>8173</v>
      </c>
      <c r="AU419">
        <v>2018</v>
      </c>
      <c r="AV419">
        <v>18</v>
      </c>
      <c r="AW419">
        <v>24</v>
      </c>
      <c r="AX419" t="s">
        <v>74</v>
      </c>
      <c r="AY419" t="s">
        <v>74</v>
      </c>
      <c r="AZ419" t="s">
        <v>74</v>
      </c>
      <c r="BA419" t="s">
        <v>74</v>
      </c>
      <c r="BB419">
        <v>17895</v>
      </c>
      <c r="BC419">
        <v>17907</v>
      </c>
      <c r="BD419" t="s">
        <v>74</v>
      </c>
      <c r="BE419" t="s">
        <v>8198</v>
      </c>
      <c r="BF419" t="str">
        <f>HYPERLINK("http://dx.doi.org/10.5194/acp-18-17895-2018","http://dx.doi.org/10.5194/acp-18-17895-2018")</f>
        <v>http://dx.doi.org/10.5194/acp-18-17895-2018</v>
      </c>
      <c r="BG419" t="s">
        <v>74</v>
      </c>
      <c r="BH419" t="s">
        <v>74</v>
      </c>
      <c r="BI419">
        <v>13</v>
      </c>
      <c r="BJ419" t="s">
        <v>2635</v>
      </c>
      <c r="BK419" t="s">
        <v>101</v>
      </c>
      <c r="BL419" t="s">
        <v>2636</v>
      </c>
      <c r="BM419" t="s">
        <v>8199</v>
      </c>
      <c r="BN419" t="s">
        <v>74</v>
      </c>
      <c r="BO419" t="s">
        <v>1556</v>
      </c>
      <c r="BP419" t="s">
        <v>74</v>
      </c>
      <c r="BQ419" t="s">
        <v>74</v>
      </c>
      <c r="BR419" t="s">
        <v>104</v>
      </c>
      <c r="BS419" t="s">
        <v>8200</v>
      </c>
      <c r="BT419" t="str">
        <f>HYPERLINK("https%3A%2F%2Fwww.webofscience.com%2Fwos%2Fwoscc%2Ffull-record%2FWOS:000453427000003","View Full Record in Web of Science")</f>
        <v>View Full Record in Web of Science</v>
      </c>
    </row>
    <row r="420" spans="1:72" x14ac:dyDescent="0.15">
      <c r="A420" t="s">
        <v>72</v>
      </c>
      <c r="B420" t="s">
        <v>8201</v>
      </c>
      <c r="C420" t="s">
        <v>74</v>
      </c>
      <c r="D420" t="s">
        <v>74</v>
      </c>
      <c r="E420" t="s">
        <v>74</v>
      </c>
      <c r="F420" t="s">
        <v>8202</v>
      </c>
      <c r="G420" t="s">
        <v>74</v>
      </c>
      <c r="H420" t="s">
        <v>74</v>
      </c>
      <c r="I420" t="s">
        <v>8203</v>
      </c>
      <c r="J420" t="s">
        <v>7792</v>
      </c>
      <c r="K420" t="s">
        <v>74</v>
      </c>
      <c r="L420" t="s">
        <v>74</v>
      </c>
      <c r="M420" t="s">
        <v>78</v>
      </c>
      <c r="N420" t="s">
        <v>79</v>
      </c>
      <c r="O420" t="s">
        <v>74</v>
      </c>
      <c r="P420" t="s">
        <v>74</v>
      </c>
      <c r="Q420" t="s">
        <v>74</v>
      </c>
      <c r="R420" t="s">
        <v>74</v>
      </c>
      <c r="S420" t="s">
        <v>74</v>
      </c>
      <c r="T420" t="s">
        <v>8204</v>
      </c>
      <c r="U420" t="s">
        <v>8205</v>
      </c>
      <c r="V420" t="s">
        <v>8206</v>
      </c>
      <c r="W420" t="s">
        <v>8207</v>
      </c>
      <c r="X420" t="s">
        <v>8208</v>
      </c>
      <c r="Y420" t="s">
        <v>8209</v>
      </c>
      <c r="Z420" t="s">
        <v>8210</v>
      </c>
      <c r="AA420" t="s">
        <v>8211</v>
      </c>
      <c r="AB420" t="s">
        <v>8212</v>
      </c>
      <c r="AC420" t="s">
        <v>8213</v>
      </c>
      <c r="AD420" t="s">
        <v>8214</v>
      </c>
      <c r="AE420" t="s">
        <v>8215</v>
      </c>
      <c r="AF420" t="s">
        <v>74</v>
      </c>
      <c r="AG420">
        <v>44</v>
      </c>
      <c r="AH420">
        <v>16</v>
      </c>
      <c r="AI420">
        <v>17</v>
      </c>
      <c r="AJ420">
        <v>2</v>
      </c>
      <c r="AK420">
        <v>26</v>
      </c>
      <c r="AL420" t="s">
        <v>4034</v>
      </c>
      <c r="AM420" t="s">
        <v>4035</v>
      </c>
      <c r="AN420" t="s">
        <v>4036</v>
      </c>
      <c r="AO420" t="s">
        <v>7805</v>
      </c>
      <c r="AP420" t="s">
        <v>7806</v>
      </c>
      <c r="AQ420" t="s">
        <v>74</v>
      </c>
      <c r="AR420" t="s">
        <v>7807</v>
      </c>
      <c r="AS420" t="s">
        <v>7808</v>
      </c>
      <c r="AT420" t="s">
        <v>8216</v>
      </c>
      <c r="AU420">
        <v>2018</v>
      </c>
      <c r="AV420">
        <v>123</v>
      </c>
      <c r="AW420">
        <v>23</v>
      </c>
      <c r="AX420" t="s">
        <v>74</v>
      </c>
      <c r="AY420" t="s">
        <v>74</v>
      </c>
      <c r="AZ420" t="s">
        <v>74</v>
      </c>
      <c r="BA420" t="s">
        <v>74</v>
      </c>
      <c r="BB420">
        <v>13186</v>
      </c>
      <c r="BC420">
        <v>13202</v>
      </c>
      <c r="BD420" t="s">
        <v>74</v>
      </c>
      <c r="BE420" t="s">
        <v>8217</v>
      </c>
      <c r="BF420" t="str">
        <f>HYPERLINK("http://dx.doi.org/10.1029/2018JD029427","http://dx.doi.org/10.1029/2018JD029427")</f>
        <v>http://dx.doi.org/10.1029/2018JD029427</v>
      </c>
      <c r="BG420" t="s">
        <v>74</v>
      </c>
      <c r="BH420" t="s">
        <v>74</v>
      </c>
      <c r="BI420">
        <v>17</v>
      </c>
      <c r="BJ420" t="s">
        <v>3037</v>
      </c>
      <c r="BK420" t="s">
        <v>101</v>
      </c>
      <c r="BL420" t="s">
        <v>3037</v>
      </c>
      <c r="BM420" t="s">
        <v>8218</v>
      </c>
      <c r="BN420" t="s">
        <v>74</v>
      </c>
      <c r="BO420" t="s">
        <v>8219</v>
      </c>
      <c r="BP420" t="s">
        <v>74</v>
      </c>
      <c r="BQ420" t="s">
        <v>74</v>
      </c>
      <c r="BR420" t="s">
        <v>104</v>
      </c>
      <c r="BS420" t="s">
        <v>8220</v>
      </c>
      <c r="BT420" t="str">
        <f>HYPERLINK("https%3A%2F%2Fwww.webofscience.com%2Fwos%2Fwoscc%2Ffull-record%2FWOS:000455285500009","View Full Record in Web of Science")</f>
        <v>View Full Record in Web of Science</v>
      </c>
    </row>
    <row r="421" spans="1:72" x14ac:dyDescent="0.15">
      <c r="A421" t="s">
        <v>72</v>
      </c>
      <c r="B421" t="s">
        <v>8221</v>
      </c>
      <c r="C421" t="s">
        <v>74</v>
      </c>
      <c r="D421" t="s">
        <v>74</v>
      </c>
      <c r="E421" t="s">
        <v>74</v>
      </c>
      <c r="F421" t="s">
        <v>8222</v>
      </c>
      <c r="G421" t="s">
        <v>74</v>
      </c>
      <c r="H421" t="s">
        <v>74</v>
      </c>
      <c r="I421" t="s">
        <v>8223</v>
      </c>
      <c r="J421" t="s">
        <v>7792</v>
      </c>
      <c r="K421" t="s">
        <v>74</v>
      </c>
      <c r="L421" t="s">
        <v>74</v>
      </c>
      <c r="M421" t="s">
        <v>78</v>
      </c>
      <c r="N421" t="s">
        <v>79</v>
      </c>
      <c r="O421" t="s">
        <v>74</v>
      </c>
      <c r="P421" t="s">
        <v>74</v>
      </c>
      <c r="Q421" t="s">
        <v>74</v>
      </c>
      <c r="R421" t="s">
        <v>74</v>
      </c>
      <c r="S421" t="s">
        <v>74</v>
      </c>
      <c r="T421" t="s">
        <v>74</v>
      </c>
      <c r="U421" t="s">
        <v>8224</v>
      </c>
      <c r="V421" t="s">
        <v>8225</v>
      </c>
      <c r="W421" t="s">
        <v>8226</v>
      </c>
      <c r="X421" t="s">
        <v>8227</v>
      </c>
      <c r="Y421" t="s">
        <v>8228</v>
      </c>
      <c r="Z421" t="s">
        <v>8229</v>
      </c>
      <c r="AA421" t="s">
        <v>8230</v>
      </c>
      <c r="AB421" t="s">
        <v>8231</v>
      </c>
      <c r="AC421" t="s">
        <v>8232</v>
      </c>
      <c r="AD421" t="s">
        <v>8233</v>
      </c>
      <c r="AE421" t="s">
        <v>8234</v>
      </c>
      <c r="AF421" t="s">
        <v>74</v>
      </c>
      <c r="AG421">
        <v>66</v>
      </c>
      <c r="AH421">
        <v>12</v>
      </c>
      <c r="AI421">
        <v>12</v>
      </c>
      <c r="AJ421">
        <v>0</v>
      </c>
      <c r="AK421">
        <v>7</v>
      </c>
      <c r="AL421" t="s">
        <v>4034</v>
      </c>
      <c r="AM421" t="s">
        <v>4035</v>
      </c>
      <c r="AN421" t="s">
        <v>4036</v>
      </c>
      <c r="AO421" t="s">
        <v>7805</v>
      </c>
      <c r="AP421" t="s">
        <v>7806</v>
      </c>
      <c r="AQ421" t="s">
        <v>74</v>
      </c>
      <c r="AR421" t="s">
        <v>7807</v>
      </c>
      <c r="AS421" t="s">
        <v>7808</v>
      </c>
      <c r="AT421" t="s">
        <v>8216</v>
      </c>
      <c r="AU421">
        <v>2018</v>
      </c>
      <c r="AV421">
        <v>123</v>
      </c>
      <c r="AW421">
        <v>23</v>
      </c>
      <c r="AX421" t="s">
        <v>74</v>
      </c>
      <c r="AY421" t="s">
        <v>74</v>
      </c>
      <c r="AZ421" t="s">
        <v>74</v>
      </c>
      <c r="BA421" t="s">
        <v>74</v>
      </c>
      <c r="BB421">
        <v>13305</v>
      </c>
      <c r="BC421">
        <v>13331</v>
      </c>
      <c r="BD421" t="s">
        <v>74</v>
      </c>
      <c r="BE421" t="s">
        <v>8235</v>
      </c>
      <c r="BF421" t="str">
        <f>HYPERLINK("http://dx.doi.org/10.1029/2018JD029164","http://dx.doi.org/10.1029/2018JD029164")</f>
        <v>http://dx.doi.org/10.1029/2018JD029164</v>
      </c>
      <c r="BG421" t="s">
        <v>74</v>
      </c>
      <c r="BH421" t="s">
        <v>74</v>
      </c>
      <c r="BI421">
        <v>27</v>
      </c>
      <c r="BJ421" t="s">
        <v>3037</v>
      </c>
      <c r="BK421" t="s">
        <v>101</v>
      </c>
      <c r="BL421" t="s">
        <v>3037</v>
      </c>
      <c r="BM421" t="s">
        <v>8218</v>
      </c>
      <c r="BN421" t="s">
        <v>74</v>
      </c>
      <c r="BO421" t="s">
        <v>162</v>
      </c>
      <c r="BP421" t="s">
        <v>74</v>
      </c>
      <c r="BQ421" t="s">
        <v>74</v>
      </c>
      <c r="BR421" t="s">
        <v>104</v>
      </c>
      <c r="BS421" t="s">
        <v>8236</v>
      </c>
      <c r="BT421" t="str">
        <f>HYPERLINK("https%3A%2F%2Fwww.webofscience.com%2Fwos%2Fwoscc%2Ffull-record%2FWOS:000455285500016","View Full Record in Web of Science")</f>
        <v>View Full Record in Web of Science</v>
      </c>
    </row>
    <row r="422" spans="1:72" x14ac:dyDescent="0.15">
      <c r="A422" t="s">
        <v>72</v>
      </c>
      <c r="B422" t="s">
        <v>8237</v>
      </c>
      <c r="C422" t="s">
        <v>74</v>
      </c>
      <c r="D422" t="s">
        <v>74</v>
      </c>
      <c r="E422" t="s">
        <v>74</v>
      </c>
      <c r="F422" t="s">
        <v>8238</v>
      </c>
      <c r="G422" t="s">
        <v>74</v>
      </c>
      <c r="H422" t="s">
        <v>74</v>
      </c>
      <c r="I422" t="s">
        <v>8239</v>
      </c>
      <c r="J422" t="s">
        <v>7735</v>
      </c>
      <c r="K422" t="s">
        <v>74</v>
      </c>
      <c r="L422" t="s">
        <v>74</v>
      </c>
      <c r="M422" t="s">
        <v>78</v>
      </c>
      <c r="N422" t="s">
        <v>79</v>
      </c>
      <c r="O422" t="s">
        <v>74</v>
      </c>
      <c r="P422" t="s">
        <v>74</v>
      </c>
      <c r="Q422" t="s">
        <v>74</v>
      </c>
      <c r="R422" t="s">
        <v>74</v>
      </c>
      <c r="S422" t="s">
        <v>74</v>
      </c>
      <c r="T422" t="s">
        <v>74</v>
      </c>
      <c r="U422" t="s">
        <v>8240</v>
      </c>
      <c r="V422" t="s">
        <v>8241</v>
      </c>
      <c r="W422" t="s">
        <v>8242</v>
      </c>
      <c r="X422" t="s">
        <v>8243</v>
      </c>
      <c r="Y422" t="s">
        <v>8244</v>
      </c>
      <c r="Z422" t="s">
        <v>8245</v>
      </c>
      <c r="AA422" t="s">
        <v>8246</v>
      </c>
      <c r="AB422" t="s">
        <v>8247</v>
      </c>
      <c r="AC422" t="s">
        <v>8248</v>
      </c>
      <c r="AD422" t="s">
        <v>8249</v>
      </c>
      <c r="AE422" t="s">
        <v>8250</v>
      </c>
      <c r="AF422" t="s">
        <v>74</v>
      </c>
      <c r="AG422">
        <v>40</v>
      </c>
      <c r="AH422">
        <v>31</v>
      </c>
      <c r="AI422">
        <v>32</v>
      </c>
      <c r="AJ422">
        <v>0</v>
      </c>
      <c r="AK422">
        <v>10</v>
      </c>
      <c r="AL422" t="s">
        <v>4034</v>
      </c>
      <c r="AM422" t="s">
        <v>4035</v>
      </c>
      <c r="AN422" t="s">
        <v>4036</v>
      </c>
      <c r="AO422" t="s">
        <v>7748</v>
      </c>
      <c r="AP422" t="s">
        <v>7749</v>
      </c>
      <c r="AQ422" t="s">
        <v>74</v>
      </c>
      <c r="AR422" t="s">
        <v>7750</v>
      </c>
      <c r="AS422" t="s">
        <v>7751</v>
      </c>
      <c r="AT422" t="s">
        <v>8216</v>
      </c>
      <c r="AU422">
        <v>2018</v>
      </c>
      <c r="AV422">
        <v>45</v>
      </c>
      <c r="AW422">
        <v>23</v>
      </c>
      <c r="AX422" t="s">
        <v>74</v>
      </c>
      <c r="AY422" t="s">
        <v>74</v>
      </c>
      <c r="AZ422" t="s">
        <v>74</v>
      </c>
      <c r="BA422" t="s">
        <v>74</v>
      </c>
      <c r="BB422">
        <v>12931</v>
      </c>
      <c r="BC422">
        <v>12939</v>
      </c>
      <c r="BD422" t="s">
        <v>74</v>
      </c>
      <c r="BE422" t="s">
        <v>8251</v>
      </c>
      <c r="BF422" t="str">
        <f>HYPERLINK("http://dx.doi.org/10.1029/2018GL078608","http://dx.doi.org/10.1029/2018GL078608")</f>
        <v>http://dx.doi.org/10.1029/2018GL078608</v>
      </c>
      <c r="BG422" t="s">
        <v>74</v>
      </c>
      <c r="BH422" t="s">
        <v>74</v>
      </c>
      <c r="BI422">
        <v>9</v>
      </c>
      <c r="BJ422" t="s">
        <v>884</v>
      </c>
      <c r="BK422" t="s">
        <v>101</v>
      </c>
      <c r="BL422" t="s">
        <v>528</v>
      </c>
      <c r="BM422" t="s">
        <v>8252</v>
      </c>
      <c r="BN422" t="s">
        <v>74</v>
      </c>
      <c r="BO422" t="s">
        <v>3810</v>
      </c>
      <c r="BP422" t="s">
        <v>74</v>
      </c>
      <c r="BQ422" t="s">
        <v>74</v>
      </c>
      <c r="BR422" t="s">
        <v>104</v>
      </c>
      <c r="BS422" t="s">
        <v>8253</v>
      </c>
      <c r="BT422" t="str">
        <f>HYPERLINK("https%3A%2F%2Fwww.webofscience.com%2Fwos%2Fwoscc%2Ffull-record%2FWOS:000454296600032","View Full Record in Web of Science")</f>
        <v>View Full Record in Web of Science</v>
      </c>
    </row>
    <row r="423" spans="1:72" x14ac:dyDescent="0.15">
      <c r="A423" t="s">
        <v>72</v>
      </c>
      <c r="B423" t="s">
        <v>8254</v>
      </c>
      <c r="C423" t="s">
        <v>74</v>
      </c>
      <c r="D423" t="s">
        <v>74</v>
      </c>
      <c r="E423" t="s">
        <v>74</v>
      </c>
      <c r="F423" t="s">
        <v>8255</v>
      </c>
      <c r="G423" t="s">
        <v>74</v>
      </c>
      <c r="H423" t="s">
        <v>74</v>
      </c>
      <c r="I423" t="s">
        <v>8256</v>
      </c>
      <c r="J423" t="s">
        <v>7735</v>
      </c>
      <c r="K423" t="s">
        <v>74</v>
      </c>
      <c r="L423" t="s">
        <v>74</v>
      </c>
      <c r="M423" t="s">
        <v>78</v>
      </c>
      <c r="N423" t="s">
        <v>79</v>
      </c>
      <c r="O423" t="s">
        <v>74</v>
      </c>
      <c r="P423" t="s">
        <v>74</v>
      </c>
      <c r="Q423" t="s">
        <v>74</v>
      </c>
      <c r="R423" t="s">
        <v>74</v>
      </c>
      <c r="S423" t="s">
        <v>74</v>
      </c>
      <c r="T423" t="s">
        <v>74</v>
      </c>
      <c r="U423" t="s">
        <v>8257</v>
      </c>
      <c r="V423" t="s">
        <v>8258</v>
      </c>
      <c r="W423" t="s">
        <v>8259</v>
      </c>
      <c r="X423" t="s">
        <v>8260</v>
      </c>
      <c r="Y423" t="s">
        <v>8261</v>
      </c>
      <c r="Z423" t="s">
        <v>8262</v>
      </c>
      <c r="AA423" t="s">
        <v>8263</v>
      </c>
      <c r="AB423" t="s">
        <v>74</v>
      </c>
      <c r="AC423" t="s">
        <v>8264</v>
      </c>
      <c r="AD423" t="s">
        <v>8265</v>
      </c>
      <c r="AE423" t="s">
        <v>8266</v>
      </c>
      <c r="AF423" t="s">
        <v>74</v>
      </c>
      <c r="AG423">
        <v>40</v>
      </c>
      <c r="AH423">
        <v>9</v>
      </c>
      <c r="AI423">
        <v>9</v>
      </c>
      <c r="AJ423">
        <v>0</v>
      </c>
      <c r="AK423">
        <v>23</v>
      </c>
      <c r="AL423" t="s">
        <v>4034</v>
      </c>
      <c r="AM423" t="s">
        <v>4035</v>
      </c>
      <c r="AN423" t="s">
        <v>4036</v>
      </c>
      <c r="AO423" t="s">
        <v>7748</v>
      </c>
      <c r="AP423" t="s">
        <v>7749</v>
      </c>
      <c r="AQ423" t="s">
        <v>74</v>
      </c>
      <c r="AR423" t="s">
        <v>7750</v>
      </c>
      <c r="AS423" t="s">
        <v>7751</v>
      </c>
      <c r="AT423" t="s">
        <v>8216</v>
      </c>
      <c r="AU423">
        <v>2018</v>
      </c>
      <c r="AV423">
        <v>45</v>
      </c>
      <c r="AW423">
        <v>23</v>
      </c>
      <c r="AX423" t="s">
        <v>74</v>
      </c>
      <c r="AY423" t="s">
        <v>74</v>
      </c>
      <c r="AZ423" t="s">
        <v>74</v>
      </c>
      <c r="BA423" t="s">
        <v>74</v>
      </c>
      <c r="BB423">
        <v>12991</v>
      </c>
      <c r="BC423">
        <v>12998</v>
      </c>
      <c r="BD423" t="s">
        <v>74</v>
      </c>
      <c r="BE423" t="s">
        <v>8267</v>
      </c>
      <c r="BF423" t="str">
        <f>HYPERLINK("http://dx.doi.org/10.1029/2018GL080035","http://dx.doi.org/10.1029/2018GL080035")</f>
        <v>http://dx.doi.org/10.1029/2018GL080035</v>
      </c>
      <c r="BG423" t="s">
        <v>74</v>
      </c>
      <c r="BH423" t="s">
        <v>74</v>
      </c>
      <c r="BI423">
        <v>8</v>
      </c>
      <c r="BJ423" t="s">
        <v>884</v>
      </c>
      <c r="BK423" t="s">
        <v>101</v>
      </c>
      <c r="BL423" t="s">
        <v>528</v>
      </c>
      <c r="BM423" t="s">
        <v>8252</v>
      </c>
      <c r="BN423" t="s">
        <v>74</v>
      </c>
      <c r="BO423" t="s">
        <v>4470</v>
      </c>
      <c r="BP423" t="s">
        <v>74</v>
      </c>
      <c r="BQ423" t="s">
        <v>74</v>
      </c>
      <c r="BR423" t="s">
        <v>104</v>
      </c>
      <c r="BS423" t="s">
        <v>8268</v>
      </c>
      <c r="BT423" t="str">
        <f>HYPERLINK("https%3A%2F%2Fwww.webofscience.com%2Fwos%2Fwoscc%2Ffull-record%2FWOS:000454296600039","View Full Record in Web of Science")</f>
        <v>View Full Record in Web of Science</v>
      </c>
    </row>
    <row r="424" spans="1:72" x14ac:dyDescent="0.15">
      <c r="A424" t="s">
        <v>72</v>
      </c>
      <c r="B424" t="s">
        <v>8269</v>
      </c>
      <c r="C424" t="s">
        <v>74</v>
      </c>
      <c r="D424" t="s">
        <v>74</v>
      </c>
      <c r="E424" t="s">
        <v>74</v>
      </c>
      <c r="F424" t="s">
        <v>8270</v>
      </c>
      <c r="G424" t="s">
        <v>74</v>
      </c>
      <c r="H424" t="s">
        <v>74</v>
      </c>
      <c r="I424" t="s">
        <v>8271</v>
      </c>
      <c r="J424" t="s">
        <v>7735</v>
      </c>
      <c r="K424" t="s">
        <v>74</v>
      </c>
      <c r="L424" t="s">
        <v>74</v>
      </c>
      <c r="M424" t="s">
        <v>78</v>
      </c>
      <c r="N424" t="s">
        <v>79</v>
      </c>
      <c r="O424" t="s">
        <v>74</v>
      </c>
      <c r="P424" t="s">
        <v>74</v>
      </c>
      <c r="Q424" t="s">
        <v>74</v>
      </c>
      <c r="R424" t="s">
        <v>74</v>
      </c>
      <c r="S424" t="s">
        <v>74</v>
      </c>
      <c r="T424" t="s">
        <v>74</v>
      </c>
      <c r="U424" t="s">
        <v>8272</v>
      </c>
      <c r="V424" t="s">
        <v>8273</v>
      </c>
      <c r="W424" t="s">
        <v>8274</v>
      </c>
      <c r="X424" t="s">
        <v>8275</v>
      </c>
      <c r="Y424" t="s">
        <v>8276</v>
      </c>
      <c r="Z424" t="s">
        <v>8277</v>
      </c>
      <c r="AA424" t="s">
        <v>8278</v>
      </c>
      <c r="AB424" t="s">
        <v>8279</v>
      </c>
      <c r="AC424" t="s">
        <v>74</v>
      </c>
      <c r="AD424" t="s">
        <v>74</v>
      </c>
      <c r="AE424" t="s">
        <v>74</v>
      </c>
      <c r="AF424" t="s">
        <v>74</v>
      </c>
      <c r="AG424">
        <v>74</v>
      </c>
      <c r="AH424">
        <v>17</v>
      </c>
      <c r="AI424">
        <v>19</v>
      </c>
      <c r="AJ424">
        <v>3</v>
      </c>
      <c r="AK424">
        <v>32</v>
      </c>
      <c r="AL424" t="s">
        <v>4034</v>
      </c>
      <c r="AM424" t="s">
        <v>4035</v>
      </c>
      <c r="AN424" t="s">
        <v>4036</v>
      </c>
      <c r="AO424" t="s">
        <v>7748</v>
      </c>
      <c r="AP424" t="s">
        <v>7749</v>
      </c>
      <c r="AQ424" t="s">
        <v>74</v>
      </c>
      <c r="AR424" t="s">
        <v>7750</v>
      </c>
      <c r="AS424" t="s">
        <v>7751</v>
      </c>
      <c r="AT424" t="s">
        <v>8216</v>
      </c>
      <c r="AU424">
        <v>2018</v>
      </c>
      <c r="AV424">
        <v>45</v>
      </c>
      <c r="AW424">
        <v>23</v>
      </c>
      <c r="AX424" t="s">
        <v>74</v>
      </c>
      <c r="AY424" t="s">
        <v>74</v>
      </c>
      <c r="AZ424" t="s">
        <v>74</v>
      </c>
      <c r="BA424" t="s">
        <v>74</v>
      </c>
      <c r="BB424">
        <v>13020</v>
      </c>
      <c r="BC424">
        <v>13030</v>
      </c>
      <c r="BD424" t="s">
        <v>74</v>
      </c>
      <c r="BE424" t="s">
        <v>8280</v>
      </c>
      <c r="BF424" t="str">
        <f>HYPERLINK("http://dx.doi.org/10.1029/2018GL079303","http://dx.doi.org/10.1029/2018GL079303")</f>
        <v>http://dx.doi.org/10.1029/2018GL079303</v>
      </c>
      <c r="BG424" t="s">
        <v>74</v>
      </c>
      <c r="BH424" t="s">
        <v>74</v>
      </c>
      <c r="BI424">
        <v>11</v>
      </c>
      <c r="BJ424" t="s">
        <v>884</v>
      </c>
      <c r="BK424" t="s">
        <v>101</v>
      </c>
      <c r="BL424" t="s">
        <v>528</v>
      </c>
      <c r="BM424" t="s">
        <v>8252</v>
      </c>
      <c r="BN424" t="s">
        <v>74</v>
      </c>
      <c r="BO424" t="s">
        <v>4470</v>
      </c>
      <c r="BP424" t="s">
        <v>74</v>
      </c>
      <c r="BQ424" t="s">
        <v>74</v>
      </c>
      <c r="BR424" t="s">
        <v>104</v>
      </c>
      <c r="BS424" t="s">
        <v>8281</v>
      </c>
      <c r="BT424" t="str">
        <f>HYPERLINK("https%3A%2F%2Fwww.webofscience.com%2Fwos%2Fwoscc%2Ffull-record%2FWOS:000454296600042","View Full Record in Web of Science")</f>
        <v>View Full Record in Web of Science</v>
      </c>
    </row>
    <row r="425" spans="1:72" x14ac:dyDescent="0.15">
      <c r="A425" t="s">
        <v>72</v>
      </c>
      <c r="B425" t="s">
        <v>8282</v>
      </c>
      <c r="C425" t="s">
        <v>74</v>
      </c>
      <c r="D425" t="s">
        <v>74</v>
      </c>
      <c r="E425" t="s">
        <v>74</v>
      </c>
      <c r="F425" t="s">
        <v>8283</v>
      </c>
      <c r="G425" t="s">
        <v>74</v>
      </c>
      <c r="H425" t="s">
        <v>74</v>
      </c>
      <c r="I425" t="s">
        <v>8284</v>
      </c>
      <c r="J425" t="s">
        <v>7735</v>
      </c>
      <c r="K425" t="s">
        <v>74</v>
      </c>
      <c r="L425" t="s">
        <v>74</v>
      </c>
      <c r="M425" t="s">
        <v>78</v>
      </c>
      <c r="N425" t="s">
        <v>79</v>
      </c>
      <c r="O425" t="s">
        <v>74</v>
      </c>
      <c r="P425" t="s">
        <v>74</v>
      </c>
      <c r="Q425" t="s">
        <v>74</v>
      </c>
      <c r="R425" t="s">
        <v>74</v>
      </c>
      <c r="S425" t="s">
        <v>74</v>
      </c>
      <c r="T425" t="s">
        <v>74</v>
      </c>
      <c r="U425" t="s">
        <v>8285</v>
      </c>
      <c r="V425" t="s">
        <v>8286</v>
      </c>
      <c r="W425" t="s">
        <v>8287</v>
      </c>
      <c r="X425" t="s">
        <v>8288</v>
      </c>
      <c r="Y425" t="s">
        <v>8289</v>
      </c>
      <c r="Z425" t="s">
        <v>8290</v>
      </c>
      <c r="AA425" t="s">
        <v>8291</v>
      </c>
      <c r="AB425" t="s">
        <v>8292</v>
      </c>
      <c r="AC425" t="s">
        <v>8293</v>
      </c>
      <c r="AD425" t="s">
        <v>8294</v>
      </c>
      <c r="AE425" t="s">
        <v>8295</v>
      </c>
      <c r="AF425" t="s">
        <v>74</v>
      </c>
      <c r="AG425">
        <v>38</v>
      </c>
      <c r="AH425">
        <v>10</v>
      </c>
      <c r="AI425">
        <v>13</v>
      </c>
      <c r="AJ425">
        <v>3</v>
      </c>
      <c r="AK425">
        <v>15</v>
      </c>
      <c r="AL425" t="s">
        <v>4034</v>
      </c>
      <c r="AM425" t="s">
        <v>4035</v>
      </c>
      <c r="AN425" t="s">
        <v>4036</v>
      </c>
      <c r="AO425" t="s">
        <v>7748</v>
      </c>
      <c r="AP425" t="s">
        <v>7749</v>
      </c>
      <c r="AQ425" t="s">
        <v>74</v>
      </c>
      <c r="AR425" t="s">
        <v>7750</v>
      </c>
      <c r="AS425" t="s">
        <v>7751</v>
      </c>
      <c r="AT425" t="s">
        <v>8216</v>
      </c>
      <c r="AU425">
        <v>2018</v>
      </c>
      <c r="AV425">
        <v>45</v>
      </c>
      <c r="AW425">
        <v>23</v>
      </c>
      <c r="AX425" t="s">
        <v>74</v>
      </c>
      <c r="AY425" t="s">
        <v>74</v>
      </c>
      <c r="AZ425" t="s">
        <v>74</v>
      </c>
      <c r="BA425" t="s">
        <v>74</v>
      </c>
      <c r="BB425">
        <v>13031</v>
      </c>
      <c r="BC425">
        <v>13040</v>
      </c>
      <c r="BD425" t="s">
        <v>74</v>
      </c>
      <c r="BE425" t="s">
        <v>8296</v>
      </c>
      <c r="BF425" t="str">
        <f>HYPERLINK("http://dx.doi.org/10.1029/2018GL079023","http://dx.doi.org/10.1029/2018GL079023")</f>
        <v>http://dx.doi.org/10.1029/2018GL079023</v>
      </c>
      <c r="BG425" t="s">
        <v>74</v>
      </c>
      <c r="BH425" t="s">
        <v>74</v>
      </c>
      <c r="BI425">
        <v>10</v>
      </c>
      <c r="BJ425" t="s">
        <v>884</v>
      </c>
      <c r="BK425" t="s">
        <v>101</v>
      </c>
      <c r="BL425" t="s">
        <v>528</v>
      </c>
      <c r="BM425" t="s">
        <v>8252</v>
      </c>
      <c r="BN425" t="s">
        <v>74</v>
      </c>
      <c r="BO425" t="s">
        <v>3893</v>
      </c>
      <c r="BP425" t="s">
        <v>74</v>
      </c>
      <c r="BQ425" t="s">
        <v>74</v>
      </c>
      <c r="BR425" t="s">
        <v>104</v>
      </c>
      <c r="BS425" t="s">
        <v>8297</v>
      </c>
      <c r="BT425" t="str">
        <f>HYPERLINK("https%3A%2F%2Fwww.webofscience.com%2Fwos%2Fwoscc%2Ffull-record%2FWOS:000454296600043","View Full Record in Web of Science")</f>
        <v>View Full Record in Web of Science</v>
      </c>
    </row>
    <row r="426" spans="1:72" x14ac:dyDescent="0.15">
      <c r="A426" t="s">
        <v>72</v>
      </c>
      <c r="B426" t="s">
        <v>8298</v>
      </c>
      <c r="C426" t="s">
        <v>74</v>
      </c>
      <c r="D426" t="s">
        <v>74</v>
      </c>
      <c r="E426" t="s">
        <v>74</v>
      </c>
      <c r="F426" t="s">
        <v>8299</v>
      </c>
      <c r="G426" t="s">
        <v>74</v>
      </c>
      <c r="H426" t="s">
        <v>74</v>
      </c>
      <c r="I426" t="s">
        <v>8300</v>
      </c>
      <c r="J426" t="s">
        <v>7392</v>
      </c>
      <c r="K426" t="s">
        <v>74</v>
      </c>
      <c r="L426" t="s">
        <v>74</v>
      </c>
      <c r="M426" t="s">
        <v>78</v>
      </c>
      <c r="N426" t="s">
        <v>79</v>
      </c>
      <c r="O426" t="s">
        <v>74</v>
      </c>
      <c r="P426" t="s">
        <v>74</v>
      </c>
      <c r="Q426" t="s">
        <v>74</v>
      </c>
      <c r="R426" t="s">
        <v>74</v>
      </c>
      <c r="S426" t="s">
        <v>74</v>
      </c>
      <c r="T426" t="s">
        <v>8301</v>
      </c>
      <c r="U426" t="s">
        <v>8302</v>
      </c>
      <c r="V426" t="s">
        <v>8303</v>
      </c>
      <c r="W426" t="s">
        <v>8304</v>
      </c>
      <c r="X426" t="s">
        <v>8305</v>
      </c>
      <c r="Y426" t="s">
        <v>8306</v>
      </c>
      <c r="Z426" t="s">
        <v>8307</v>
      </c>
      <c r="AA426" t="s">
        <v>8308</v>
      </c>
      <c r="AB426" t="s">
        <v>8309</v>
      </c>
      <c r="AC426" t="s">
        <v>8310</v>
      </c>
      <c r="AD426" t="s">
        <v>8311</v>
      </c>
      <c r="AE426" t="s">
        <v>8312</v>
      </c>
      <c r="AF426" t="s">
        <v>74</v>
      </c>
      <c r="AG426">
        <v>53</v>
      </c>
      <c r="AH426">
        <v>16</v>
      </c>
      <c r="AI426">
        <v>16</v>
      </c>
      <c r="AJ426">
        <v>2</v>
      </c>
      <c r="AK426">
        <v>8</v>
      </c>
      <c r="AL426" t="s">
        <v>3290</v>
      </c>
      <c r="AM426" t="s">
        <v>2520</v>
      </c>
      <c r="AN426" t="s">
        <v>3291</v>
      </c>
      <c r="AO426" t="s">
        <v>7405</v>
      </c>
      <c r="AP426" t="s">
        <v>7406</v>
      </c>
      <c r="AQ426" t="s">
        <v>74</v>
      </c>
      <c r="AR426" t="s">
        <v>7407</v>
      </c>
      <c r="AS426" t="s">
        <v>7408</v>
      </c>
      <c r="AT426" t="s">
        <v>8313</v>
      </c>
      <c r="AU426">
        <v>2018</v>
      </c>
      <c r="AV426">
        <v>504</v>
      </c>
      <c r="AW426" t="s">
        <v>74</v>
      </c>
      <c r="AX426" t="s">
        <v>74</v>
      </c>
      <c r="AY426" t="s">
        <v>74</v>
      </c>
      <c r="AZ426" t="s">
        <v>74</v>
      </c>
      <c r="BA426" t="s">
        <v>74</v>
      </c>
      <c r="BB426">
        <v>30</v>
      </c>
      <c r="BC426">
        <v>37</v>
      </c>
      <c r="BD426" t="s">
        <v>74</v>
      </c>
      <c r="BE426" t="s">
        <v>8314</v>
      </c>
      <c r="BF426" t="str">
        <f>HYPERLINK("http://dx.doi.org/10.1016/j.epsl.2018.09.030","http://dx.doi.org/10.1016/j.epsl.2018.09.030")</f>
        <v>http://dx.doi.org/10.1016/j.epsl.2018.09.030</v>
      </c>
      <c r="BG426" t="s">
        <v>74</v>
      </c>
      <c r="BH426" t="s">
        <v>74</v>
      </c>
      <c r="BI426">
        <v>8</v>
      </c>
      <c r="BJ426" t="s">
        <v>746</v>
      </c>
      <c r="BK426" t="s">
        <v>101</v>
      </c>
      <c r="BL426" t="s">
        <v>746</v>
      </c>
      <c r="BM426" t="s">
        <v>8315</v>
      </c>
      <c r="BN426">
        <v>31708587</v>
      </c>
      <c r="BO426" t="s">
        <v>6572</v>
      </c>
      <c r="BP426" t="s">
        <v>74</v>
      </c>
      <c r="BQ426" t="s">
        <v>74</v>
      </c>
      <c r="BR426" t="s">
        <v>104</v>
      </c>
      <c r="BS426" t="s">
        <v>8316</v>
      </c>
      <c r="BT426" t="str">
        <f>HYPERLINK("https%3A%2F%2Fwww.webofscience.com%2Fwos%2Fwoscc%2Ffull-record%2FWOS:000450383900004","View Full Record in Web of Science")</f>
        <v>View Full Record in Web of Science</v>
      </c>
    </row>
    <row r="427" spans="1:72" x14ac:dyDescent="0.15">
      <c r="A427" t="s">
        <v>72</v>
      </c>
      <c r="B427" t="s">
        <v>8317</v>
      </c>
      <c r="C427" t="s">
        <v>74</v>
      </c>
      <c r="D427" t="s">
        <v>74</v>
      </c>
      <c r="E427" t="s">
        <v>74</v>
      </c>
      <c r="F427" t="s">
        <v>8318</v>
      </c>
      <c r="G427" t="s">
        <v>74</v>
      </c>
      <c r="H427" t="s">
        <v>74</v>
      </c>
      <c r="I427" t="s">
        <v>8319</v>
      </c>
      <c r="J427" t="s">
        <v>7392</v>
      </c>
      <c r="K427" t="s">
        <v>74</v>
      </c>
      <c r="L427" t="s">
        <v>74</v>
      </c>
      <c r="M427" t="s">
        <v>78</v>
      </c>
      <c r="N427" t="s">
        <v>79</v>
      </c>
      <c r="O427" t="s">
        <v>74</v>
      </c>
      <c r="P427" t="s">
        <v>74</v>
      </c>
      <c r="Q427" t="s">
        <v>74</v>
      </c>
      <c r="R427" t="s">
        <v>74</v>
      </c>
      <c r="S427" t="s">
        <v>74</v>
      </c>
      <c r="T427" t="s">
        <v>8320</v>
      </c>
      <c r="U427" t="s">
        <v>8321</v>
      </c>
      <c r="V427" t="s">
        <v>8322</v>
      </c>
      <c r="W427" t="s">
        <v>8323</v>
      </c>
      <c r="X427" t="s">
        <v>8324</v>
      </c>
      <c r="Y427" t="s">
        <v>8325</v>
      </c>
      <c r="Z427" t="s">
        <v>8326</v>
      </c>
      <c r="AA427" t="s">
        <v>8327</v>
      </c>
      <c r="AB427" t="s">
        <v>8328</v>
      </c>
      <c r="AC427" t="s">
        <v>8329</v>
      </c>
      <c r="AD427" t="s">
        <v>8330</v>
      </c>
      <c r="AE427" t="s">
        <v>8331</v>
      </c>
      <c r="AF427" t="s">
        <v>74</v>
      </c>
      <c r="AG427">
        <v>50</v>
      </c>
      <c r="AH427">
        <v>19</v>
      </c>
      <c r="AI427">
        <v>22</v>
      </c>
      <c r="AJ427">
        <v>4</v>
      </c>
      <c r="AK427">
        <v>15</v>
      </c>
      <c r="AL427" t="s">
        <v>2519</v>
      </c>
      <c r="AM427" t="s">
        <v>2520</v>
      </c>
      <c r="AN427" t="s">
        <v>3313</v>
      </c>
      <c r="AO427" t="s">
        <v>7405</v>
      </c>
      <c r="AP427" t="s">
        <v>7406</v>
      </c>
      <c r="AQ427" t="s">
        <v>74</v>
      </c>
      <c r="AR427" t="s">
        <v>7407</v>
      </c>
      <c r="AS427" t="s">
        <v>7408</v>
      </c>
      <c r="AT427" t="s">
        <v>8313</v>
      </c>
      <c r="AU427">
        <v>2018</v>
      </c>
      <c r="AV427">
        <v>504</v>
      </c>
      <c r="AW427" t="s">
        <v>74</v>
      </c>
      <c r="AX427" t="s">
        <v>74</v>
      </c>
      <c r="AY427" t="s">
        <v>74</v>
      </c>
      <c r="AZ427" t="s">
        <v>74</v>
      </c>
      <c r="BA427" t="s">
        <v>74</v>
      </c>
      <c r="BB427">
        <v>139</v>
      </c>
      <c r="BC427">
        <v>151</v>
      </c>
      <c r="BD427" t="s">
        <v>74</v>
      </c>
      <c r="BE427" t="s">
        <v>8332</v>
      </c>
      <c r="BF427" t="str">
        <f>HYPERLINK("http://dx.doi.org/10.1016/j.epsl.2018.10.011","http://dx.doi.org/10.1016/j.epsl.2018.10.011")</f>
        <v>http://dx.doi.org/10.1016/j.epsl.2018.10.011</v>
      </c>
      <c r="BG427" t="s">
        <v>74</v>
      </c>
      <c r="BH427" t="s">
        <v>74</v>
      </c>
      <c r="BI427">
        <v>13</v>
      </c>
      <c r="BJ427" t="s">
        <v>746</v>
      </c>
      <c r="BK427" t="s">
        <v>101</v>
      </c>
      <c r="BL427" t="s">
        <v>746</v>
      </c>
      <c r="BM427" t="s">
        <v>8315</v>
      </c>
      <c r="BN427" t="s">
        <v>74</v>
      </c>
      <c r="BO427" t="s">
        <v>8333</v>
      </c>
      <c r="BP427" t="s">
        <v>74</v>
      </c>
      <c r="BQ427" t="s">
        <v>74</v>
      </c>
      <c r="BR427" t="s">
        <v>104</v>
      </c>
      <c r="BS427" t="s">
        <v>8334</v>
      </c>
      <c r="BT427" t="str">
        <f>HYPERLINK("https%3A%2F%2Fwww.webofscience.com%2Fwos%2Fwoscc%2Ffull-record%2FWOS:000450383900014","View Full Record in Web of Science")</f>
        <v>View Full Record in Web of Science</v>
      </c>
    </row>
    <row r="428" spans="1:72" x14ac:dyDescent="0.15">
      <c r="A428" t="s">
        <v>72</v>
      </c>
      <c r="B428" t="s">
        <v>8335</v>
      </c>
      <c r="C428" t="s">
        <v>74</v>
      </c>
      <c r="D428" t="s">
        <v>74</v>
      </c>
      <c r="E428" t="s">
        <v>74</v>
      </c>
      <c r="F428" t="s">
        <v>8336</v>
      </c>
      <c r="G428" t="s">
        <v>74</v>
      </c>
      <c r="H428" t="s">
        <v>74</v>
      </c>
      <c r="I428" t="s">
        <v>8337</v>
      </c>
      <c r="J428" t="s">
        <v>8338</v>
      </c>
      <c r="K428" t="s">
        <v>74</v>
      </c>
      <c r="L428" t="s">
        <v>74</v>
      </c>
      <c r="M428" t="s">
        <v>78</v>
      </c>
      <c r="N428" t="s">
        <v>79</v>
      </c>
      <c r="O428" t="s">
        <v>74</v>
      </c>
      <c r="P428" t="s">
        <v>74</v>
      </c>
      <c r="Q428" t="s">
        <v>74</v>
      </c>
      <c r="R428" t="s">
        <v>74</v>
      </c>
      <c r="S428" t="s">
        <v>74</v>
      </c>
      <c r="T428" t="s">
        <v>8339</v>
      </c>
      <c r="U428" t="s">
        <v>8340</v>
      </c>
      <c r="V428" t="s">
        <v>8341</v>
      </c>
      <c r="W428" t="s">
        <v>8342</v>
      </c>
      <c r="X428" t="s">
        <v>8343</v>
      </c>
      <c r="Y428" t="s">
        <v>8344</v>
      </c>
      <c r="Z428" t="s">
        <v>8345</v>
      </c>
      <c r="AA428" t="s">
        <v>7743</v>
      </c>
      <c r="AB428" t="s">
        <v>8346</v>
      </c>
      <c r="AC428" t="s">
        <v>8347</v>
      </c>
      <c r="AD428" t="s">
        <v>8348</v>
      </c>
      <c r="AE428" t="s">
        <v>8349</v>
      </c>
      <c r="AF428" t="s">
        <v>74</v>
      </c>
      <c r="AG428">
        <v>97</v>
      </c>
      <c r="AH428">
        <v>20</v>
      </c>
      <c r="AI428">
        <v>25</v>
      </c>
      <c r="AJ428">
        <v>5</v>
      </c>
      <c r="AK428">
        <v>37</v>
      </c>
      <c r="AL428" t="s">
        <v>3290</v>
      </c>
      <c r="AM428" t="s">
        <v>2520</v>
      </c>
      <c r="AN428" t="s">
        <v>3291</v>
      </c>
      <c r="AO428" t="s">
        <v>8350</v>
      </c>
      <c r="AP428" t="s">
        <v>8351</v>
      </c>
      <c r="AQ428" t="s">
        <v>74</v>
      </c>
      <c r="AR428" t="s">
        <v>8338</v>
      </c>
      <c r="AS428" t="s">
        <v>8352</v>
      </c>
      <c r="AT428" t="s">
        <v>8313</v>
      </c>
      <c r="AU428">
        <v>2018</v>
      </c>
      <c r="AV428">
        <v>323</v>
      </c>
      <c r="AW428" t="s">
        <v>74</v>
      </c>
      <c r="AX428" t="s">
        <v>74</v>
      </c>
      <c r="AY428" t="s">
        <v>74</v>
      </c>
      <c r="AZ428" t="s">
        <v>74</v>
      </c>
      <c r="BA428" t="s">
        <v>74</v>
      </c>
      <c r="BB428">
        <v>80</v>
      </c>
      <c r="BC428">
        <v>97</v>
      </c>
      <c r="BD428" t="s">
        <v>74</v>
      </c>
      <c r="BE428" t="s">
        <v>8353</v>
      </c>
      <c r="BF428" t="str">
        <f>HYPERLINK("http://dx.doi.org/10.1016/j.geomorph.2018.09.012","http://dx.doi.org/10.1016/j.geomorph.2018.09.012")</f>
        <v>http://dx.doi.org/10.1016/j.geomorph.2018.09.012</v>
      </c>
      <c r="BG428" t="s">
        <v>74</v>
      </c>
      <c r="BH428" t="s">
        <v>74</v>
      </c>
      <c r="BI428">
        <v>18</v>
      </c>
      <c r="BJ428" t="s">
        <v>1480</v>
      </c>
      <c r="BK428" t="s">
        <v>101</v>
      </c>
      <c r="BL428" t="s">
        <v>1481</v>
      </c>
      <c r="BM428" t="s">
        <v>8354</v>
      </c>
      <c r="BN428" t="s">
        <v>74</v>
      </c>
      <c r="BO428" t="s">
        <v>4426</v>
      </c>
      <c r="BP428" t="s">
        <v>74</v>
      </c>
      <c r="BQ428" t="s">
        <v>74</v>
      </c>
      <c r="BR428" t="s">
        <v>104</v>
      </c>
      <c r="BS428" t="s">
        <v>8355</v>
      </c>
      <c r="BT428" t="str">
        <f>HYPERLINK("https%3A%2F%2Fwww.webofscience.com%2Fwos%2Fwoscc%2Ffull-record%2FWOS:000449897200007","View Full Record in Web of Science")</f>
        <v>View Full Record in Web of Science</v>
      </c>
    </row>
    <row r="429" spans="1:72" x14ac:dyDescent="0.15">
      <c r="A429" t="s">
        <v>72</v>
      </c>
      <c r="B429" t="s">
        <v>8356</v>
      </c>
      <c r="C429" t="s">
        <v>74</v>
      </c>
      <c r="D429" t="s">
        <v>74</v>
      </c>
      <c r="E429" t="s">
        <v>74</v>
      </c>
      <c r="F429" t="s">
        <v>8357</v>
      </c>
      <c r="G429" t="s">
        <v>74</v>
      </c>
      <c r="H429" t="s">
        <v>74</v>
      </c>
      <c r="I429" t="s">
        <v>8358</v>
      </c>
      <c r="J429" t="s">
        <v>8359</v>
      </c>
      <c r="K429" t="s">
        <v>74</v>
      </c>
      <c r="L429" t="s">
        <v>74</v>
      </c>
      <c r="M429" t="s">
        <v>78</v>
      </c>
      <c r="N429" t="s">
        <v>79</v>
      </c>
      <c r="O429" t="s">
        <v>74</v>
      </c>
      <c r="P429" t="s">
        <v>74</v>
      </c>
      <c r="Q429" t="s">
        <v>74</v>
      </c>
      <c r="R429" t="s">
        <v>74</v>
      </c>
      <c r="S429" t="s">
        <v>74</v>
      </c>
      <c r="T429" t="s">
        <v>8360</v>
      </c>
      <c r="U429" t="s">
        <v>8361</v>
      </c>
      <c r="V429" t="s">
        <v>8362</v>
      </c>
      <c r="W429" t="s">
        <v>8363</v>
      </c>
      <c r="X429" t="s">
        <v>8364</v>
      </c>
      <c r="Y429" t="s">
        <v>8365</v>
      </c>
      <c r="Z429" t="s">
        <v>8366</v>
      </c>
      <c r="AA429" t="s">
        <v>74</v>
      </c>
      <c r="AB429" t="s">
        <v>8367</v>
      </c>
      <c r="AC429" t="s">
        <v>74</v>
      </c>
      <c r="AD429" t="s">
        <v>74</v>
      </c>
      <c r="AE429" t="s">
        <v>74</v>
      </c>
      <c r="AF429" t="s">
        <v>74</v>
      </c>
      <c r="AG429">
        <v>88</v>
      </c>
      <c r="AH429">
        <v>18</v>
      </c>
      <c r="AI429">
        <v>19</v>
      </c>
      <c r="AJ429">
        <v>1</v>
      </c>
      <c r="AK429">
        <v>26</v>
      </c>
      <c r="AL429" t="s">
        <v>3290</v>
      </c>
      <c r="AM429" t="s">
        <v>2520</v>
      </c>
      <c r="AN429" t="s">
        <v>3291</v>
      </c>
      <c r="AO429" t="s">
        <v>8368</v>
      </c>
      <c r="AP429" t="s">
        <v>8369</v>
      </c>
      <c r="AQ429" t="s">
        <v>74</v>
      </c>
      <c r="AR429" t="s">
        <v>8370</v>
      </c>
      <c r="AS429" t="s">
        <v>8371</v>
      </c>
      <c r="AT429" t="s">
        <v>8313</v>
      </c>
      <c r="AU429">
        <v>2018</v>
      </c>
      <c r="AV429">
        <v>511</v>
      </c>
      <c r="AW429" t="s">
        <v>74</v>
      </c>
      <c r="AX429" t="s">
        <v>74</v>
      </c>
      <c r="AY429" t="s">
        <v>74</v>
      </c>
      <c r="AZ429" t="s">
        <v>74</v>
      </c>
      <c r="BA429" t="s">
        <v>74</v>
      </c>
      <c r="BB429">
        <v>309</v>
      </c>
      <c r="BC429">
        <v>318</v>
      </c>
      <c r="BD429" t="s">
        <v>74</v>
      </c>
      <c r="BE429" t="s">
        <v>8372</v>
      </c>
      <c r="BF429" t="str">
        <f>HYPERLINK("http://dx.doi.org/10.1016/j.palaeo.2018.08.016","http://dx.doi.org/10.1016/j.palaeo.2018.08.016")</f>
        <v>http://dx.doi.org/10.1016/j.palaeo.2018.08.016</v>
      </c>
      <c r="BG429" t="s">
        <v>74</v>
      </c>
      <c r="BH429" t="s">
        <v>74</v>
      </c>
      <c r="BI429">
        <v>10</v>
      </c>
      <c r="BJ429" t="s">
        <v>8373</v>
      </c>
      <c r="BK429" t="s">
        <v>101</v>
      </c>
      <c r="BL429" t="s">
        <v>8374</v>
      </c>
      <c r="BM429" t="s">
        <v>8375</v>
      </c>
      <c r="BN429" t="s">
        <v>74</v>
      </c>
      <c r="BO429" t="s">
        <v>74</v>
      </c>
      <c r="BP429" t="s">
        <v>74</v>
      </c>
      <c r="BQ429" t="s">
        <v>74</v>
      </c>
      <c r="BR429" t="s">
        <v>104</v>
      </c>
      <c r="BS429" t="s">
        <v>8376</v>
      </c>
      <c r="BT429" t="str">
        <f>HYPERLINK("https%3A%2F%2Fwww.webofscience.com%2Fwos%2Fwoscc%2Ffull-record%2FWOS:000452583600018","View Full Record in Web of Science")</f>
        <v>View Full Record in Web of Science</v>
      </c>
    </row>
    <row r="430" spans="1:72" x14ac:dyDescent="0.15">
      <c r="A430" t="s">
        <v>72</v>
      </c>
      <c r="B430" t="s">
        <v>8377</v>
      </c>
      <c r="C430" t="s">
        <v>74</v>
      </c>
      <c r="D430" t="s">
        <v>74</v>
      </c>
      <c r="E430" t="s">
        <v>74</v>
      </c>
      <c r="F430" t="s">
        <v>8378</v>
      </c>
      <c r="G430" t="s">
        <v>74</v>
      </c>
      <c r="H430" t="s">
        <v>74</v>
      </c>
      <c r="I430" t="s">
        <v>8379</v>
      </c>
      <c r="J430" t="s">
        <v>8380</v>
      </c>
      <c r="K430" t="s">
        <v>74</v>
      </c>
      <c r="L430" t="s">
        <v>74</v>
      </c>
      <c r="M430" t="s">
        <v>78</v>
      </c>
      <c r="N430" t="s">
        <v>79</v>
      </c>
      <c r="O430" t="s">
        <v>74</v>
      </c>
      <c r="P430" t="s">
        <v>74</v>
      </c>
      <c r="Q430" t="s">
        <v>74</v>
      </c>
      <c r="R430" t="s">
        <v>74</v>
      </c>
      <c r="S430" t="s">
        <v>74</v>
      </c>
      <c r="T430" t="s">
        <v>8381</v>
      </c>
      <c r="U430" t="s">
        <v>8382</v>
      </c>
      <c r="V430" t="s">
        <v>8383</v>
      </c>
      <c r="W430" t="s">
        <v>8384</v>
      </c>
      <c r="X430" t="s">
        <v>8385</v>
      </c>
      <c r="Y430" t="s">
        <v>8386</v>
      </c>
      <c r="Z430" t="s">
        <v>8387</v>
      </c>
      <c r="AA430" t="s">
        <v>8388</v>
      </c>
      <c r="AB430" t="s">
        <v>8389</v>
      </c>
      <c r="AC430" t="s">
        <v>8390</v>
      </c>
      <c r="AD430" t="s">
        <v>8391</v>
      </c>
      <c r="AE430" t="s">
        <v>8392</v>
      </c>
      <c r="AF430" t="s">
        <v>74</v>
      </c>
      <c r="AG430">
        <v>51</v>
      </c>
      <c r="AH430">
        <v>20</v>
      </c>
      <c r="AI430">
        <v>26</v>
      </c>
      <c r="AJ430">
        <v>2</v>
      </c>
      <c r="AK430">
        <v>52</v>
      </c>
      <c r="AL430" t="s">
        <v>8393</v>
      </c>
      <c r="AM430" t="s">
        <v>1080</v>
      </c>
      <c r="AN430" t="s">
        <v>8394</v>
      </c>
      <c r="AO430" t="s">
        <v>8395</v>
      </c>
      <c r="AP430" t="s">
        <v>8396</v>
      </c>
      <c r="AQ430" t="s">
        <v>74</v>
      </c>
      <c r="AR430" t="s">
        <v>8397</v>
      </c>
      <c r="AS430" t="s">
        <v>8398</v>
      </c>
      <c r="AT430" t="s">
        <v>8313</v>
      </c>
      <c r="AU430">
        <v>2018</v>
      </c>
      <c r="AV430">
        <v>219</v>
      </c>
      <c r="AW430" t="s">
        <v>74</v>
      </c>
      <c r="AX430" t="s">
        <v>74</v>
      </c>
      <c r="AY430" t="s">
        <v>74</v>
      </c>
      <c r="AZ430" t="s">
        <v>74</v>
      </c>
      <c r="BA430" t="s">
        <v>74</v>
      </c>
      <c r="BB430">
        <v>44</v>
      </c>
      <c r="BC430">
        <v>61</v>
      </c>
      <c r="BD430" t="s">
        <v>74</v>
      </c>
      <c r="BE430" t="s">
        <v>8399</v>
      </c>
      <c r="BF430" t="str">
        <f>HYPERLINK("http://dx.doi.org/10.1016/j.rse.2018.09.031","http://dx.doi.org/10.1016/j.rse.2018.09.031")</f>
        <v>http://dx.doi.org/10.1016/j.rse.2018.09.031</v>
      </c>
      <c r="BG430" t="s">
        <v>74</v>
      </c>
      <c r="BH430" t="s">
        <v>74</v>
      </c>
      <c r="BI430">
        <v>18</v>
      </c>
      <c r="BJ430" t="s">
        <v>8400</v>
      </c>
      <c r="BK430" t="s">
        <v>101</v>
      </c>
      <c r="BL430" t="s">
        <v>8401</v>
      </c>
      <c r="BM430" t="s">
        <v>8402</v>
      </c>
      <c r="BN430" t="s">
        <v>74</v>
      </c>
      <c r="BO430" t="s">
        <v>3810</v>
      </c>
      <c r="BP430" t="s">
        <v>74</v>
      </c>
      <c r="BQ430" t="s">
        <v>74</v>
      </c>
      <c r="BR430" t="s">
        <v>104</v>
      </c>
      <c r="BS430" t="s">
        <v>8403</v>
      </c>
      <c r="BT430" t="str">
        <f>HYPERLINK("https%3A%2F%2Fwww.webofscience.com%2Fwos%2Fwoscc%2Ffull-record%2FWOS:000450379200004","View Full Record in Web of Science")</f>
        <v>View Full Record in Web of Science</v>
      </c>
    </row>
    <row r="431" spans="1:72" x14ac:dyDescent="0.15">
      <c r="A431" t="s">
        <v>72</v>
      </c>
      <c r="B431" t="s">
        <v>8404</v>
      </c>
      <c r="C431" t="s">
        <v>74</v>
      </c>
      <c r="D431" t="s">
        <v>74</v>
      </c>
      <c r="E431" t="s">
        <v>74</v>
      </c>
      <c r="F431" t="s">
        <v>8405</v>
      </c>
      <c r="G431" t="s">
        <v>74</v>
      </c>
      <c r="H431" t="s">
        <v>74</v>
      </c>
      <c r="I431" t="s">
        <v>8406</v>
      </c>
      <c r="J431" t="s">
        <v>8407</v>
      </c>
      <c r="K431" t="s">
        <v>74</v>
      </c>
      <c r="L431" t="s">
        <v>74</v>
      </c>
      <c r="M431" t="s">
        <v>78</v>
      </c>
      <c r="N431" t="s">
        <v>79</v>
      </c>
      <c r="O431" t="s">
        <v>74</v>
      </c>
      <c r="P431" t="s">
        <v>74</v>
      </c>
      <c r="Q431" t="s">
        <v>74</v>
      </c>
      <c r="R431" t="s">
        <v>74</v>
      </c>
      <c r="S431" t="s">
        <v>74</v>
      </c>
      <c r="T431" t="s">
        <v>74</v>
      </c>
      <c r="U431" t="s">
        <v>8408</v>
      </c>
      <c r="V431" t="s">
        <v>8409</v>
      </c>
      <c r="W431" t="s">
        <v>8410</v>
      </c>
      <c r="X431" t="s">
        <v>8411</v>
      </c>
      <c r="Y431" t="s">
        <v>8412</v>
      </c>
      <c r="Z431" t="s">
        <v>8413</v>
      </c>
      <c r="AA431" t="s">
        <v>8414</v>
      </c>
      <c r="AB431" t="s">
        <v>8415</v>
      </c>
      <c r="AC431" t="s">
        <v>8416</v>
      </c>
      <c r="AD431" t="s">
        <v>8417</v>
      </c>
      <c r="AE431" t="s">
        <v>8418</v>
      </c>
      <c r="AF431" t="s">
        <v>74</v>
      </c>
      <c r="AG431">
        <v>19</v>
      </c>
      <c r="AH431">
        <v>7</v>
      </c>
      <c r="AI431">
        <v>7</v>
      </c>
      <c r="AJ431">
        <v>1</v>
      </c>
      <c r="AK431">
        <v>15</v>
      </c>
      <c r="AL431" t="s">
        <v>3670</v>
      </c>
      <c r="AM431" t="s">
        <v>3671</v>
      </c>
      <c r="AN431" t="s">
        <v>3672</v>
      </c>
      <c r="AO431" t="s">
        <v>8419</v>
      </c>
      <c r="AP431" t="s">
        <v>8420</v>
      </c>
      <c r="AQ431" t="s">
        <v>74</v>
      </c>
      <c r="AR431" t="s">
        <v>8421</v>
      </c>
      <c r="AS431" t="s">
        <v>8422</v>
      </c>
      <c r="AT431" t="s">
        <v>8313</v>
      </c>
      <c r="AU431">
        <v>2018</v>
      </c>
      <c r="AV431">
        <v>32</v>
      </c>
      <c r="AW431">
        <v>23</v>
      </c>
      <c r="AX431" t="s">
        <v>74</v>
      </c>
      <c r="AY431" t="s">
        <v>74</v>
      </c>
      <c r="AZ431" t="s">
        <v>74</v>
      </c>
      <c r="BA431" t="s">
        <v>74</v>
      </c>
      <c r="BB431">
        <v>1991</v>
      </c>
      <c r="BC431">
        <v>1998</v>
      </c>
      <c r="BD431" t="s">
        <v>74</v>
      </c>
      <c r="BE431" t="s">
        <v>8423</v>
      </c>
      <c r="BF431" t="str">
        <f>HYPERLINK("http://dx.doi.org/10.1002/rcm.8275","http://dx.doi.org/10.1002/rcm.8275")</f>
        <v>http://dx.doi.org/10.1002/rcm.8275</v>
      </c>
      <c r="BG431" t="s">
        <v>74</v>
      </c>
      <c r="BH431" t="s">
        <v>74</v>
      </c>
      <c r="BI431">
        <v>8</v>
      </c>
      <c r="BJ431" t="s">
        <v>8424</v>
      </c>
      <c r="BK431" t="s">
        <v>101</v>
      </c>
      <c r="BL431" t="s">
        <v>8425</v>
      </c>
      <c r="BM431" t="s">
        <v>8426</v>
      </c>
      <c r="BN431">
        <v>30153343</v>
      </c>
      <c r="BO431" t="s">
        <v>74</v>
      </c>
      <c r="BP431" t="s">
        <v>74</v>
      </c>
      <c r="BQ431" t="s">
        <v>74</v>
      </c>
      <c r="BR431" t="s">
        <v>104</v>
      </c>
      <c r="BS431" t="s">
        <v>8427</v>
      </c>
      <c r="BT431" t="str">
        <f>HYPERLINK("https%3A%2F%2Fwww.webofscience.com%2Fwos%2Fwoscc%2Ffull-record%2FWOS:000449819700003","View Full Record in Web of Science")</f>
        <v>View Full Record in Web of Science</v>
      </c>
    </row>
    <row r="432" spans="1:72" x14ac:dyDescent="0.15">
      <c r="A432" t="s">
        <v>72</v>
      </c>
      <c r="B432" t="s">
        <v>8428</v>
      </c>
      <c r="C432" t="s">
        <v>74</v>
      </c>
      <c r="D432" t="s">
        <v>74</v>
      </c>
      <c r="E432" t="s">
        <v>74</v>
      </c>
      <c r="F432" t="s">
        <v>8429</v>
      </c>
      <c r="G432" t="s">
        <v>74</v>
      </c>
      <c r="H432" t="s">
        <v>74</v>
      </c>
      <c r="I432" t="s">
        <v>8430</v>
      </c>
      <c r="J432" t="s">
        <v>7540</v>
      </c>
      <c r="K432" t="s">
        <v>74</v>
      </c>
      <c r="L432" t="s">
        <v>74</v>
      </c>
      <c r="M432" t="s">
        <v>78</v>
      </c>
      <c r="N432" t="s">
        <v>79</v>
      </c>
      <c r="O432" t="s">
        <v>74</v>
      </c>
      <c r="P432" t="s">
        <v>74</v>
      </c>
      <c r="Q432" t="s">
        <v>74</v>
      </c>
      <c r="R432" t="s">
        <v>74</v>
      </c>
      <c r="S432" t="s">
        <v>74</v>
      </c>
      <c r="T432" t="s">
        <v>8431</v>
      </c>
      <c r="U432" t="s">
        <v>8432</v>
      </c>
      <c r="V432" t="s">
        <v>8433</v>
      </c>
      <c r="W432" t="s">
        <v>8434</v>
      </c>
      <c r="X432" t="s">
        <v>8435</v>
      </c>
      <c r="Y432" t="s">
        <v>8436</v>
      </c>
      <c r="Z432" t="s">
        <v>8437</v>
      </c>
      <c r="AA432" t="s">
        <v>8438</v>
      </c>
      <c r="AB432" t="s">
        <v>8439</v>
      </c>
      <c r="AC432" t="s">
        <v>8440</v>
      </c>
      <c r="AD432" t="s">
        <v>8441</v>
      </c>
      <c r="AE432" t="s">
        <v>8442</v>
      </c>
      <c r="AF432" t="s">
        <v>74</v>
      </c>
      <c r="AG432">
        <v>90</v>
      </c>
      <c r="AH432">
        <v>3</v>
      </c>
      <c r="AI432">
        <v>4</v>
      </c>
      <c r="AJ432">
        <v>2</v>
      </c>
      <c r="AK432">
        <v>50</v>
      </c>
      <c r="AL432" t="s">
        <v>3290</v>
      </c>
      <c r="AM432" t="s">
        <v>2520</v>
      </c>
      <c r="AN432" t="s">
        <v>3291</v>
      </c>
      <c r="AO432" t="s">
        <v>7552</v>
      </c>
      <c r="AP432" t="s">
        <v>7553</v>
      </c>
      <c r="AQ432" t="s">
        <v>74</v>
      </c>
      <c r="AR432" t="s">
        <v>7554</v>
      </c>
      <c r="AS432" t="s">
        <v>7555</v>
      </c>
      <c r="AT432" t="s">
        <v>8313</v>
      </c>
      <c r="AU432">
        <v>2018</v>
      </c>
      <c r="AV432">
        <v>645</v>
      </c>
      <c r="AW432" t="s">
        <v>74</v>
      </c>
      <c r="AX432" t="s">
        <v>74</v>
      </c>
      <c r="AY432" t="s">
        <v>74</v>
      </c>
      <c r="AZ432" t="s">
        <v>74</v>
      </c>
      <c r="BA432" t="s">
        <v>74</v>
      </c>
      <c r="BB432">
        <v>603</v>
      </c>
      <c r="BC432">
        <v>614</v>
      </c>
      <c r="BD432" t="s">
        <v>74</v>
      </c>
      <c r="BE432" t="s">
        <v>8443</v>
      </c>
      <c r="BF432" t="str">
        <f>HYPERLINK("http://dx.doi.org/10.1016/j.scitotenv.2018.07.178","http://dx.doi.org/10.1016/j.scitotenv.2018.07.178")</f>
        <v>http://dx.doi.org/10.1016/j.scitotenv.2018.07.178</v>
      </c>
      <c r="BG432" t="s">
        <v>74</v>
      </c>
      <c r="BH432" t="s">
        <v>74</v>
      </c>
      <c r="BI432">
        <v>12</v>
      </c>
      <c r="BJ432" t="s">
        <v>798</v>
      </c>
      <c r="BK432" t="s">
        <v>101</v>
      </c>
      <c r="BL432" t="s">
        <v>799</v>
      </c>
      <c r="BM432" t="s">
        <v>8444</v>
      </c>
      <c r="BN432">
        <v>30029135</v>
      </c>
      <c r="BO432" t="s">
        <v>74</v>
      </c>
      <c r="BP432" t="s">
        <v>74</v>
      </c>
      <c r="BQ432" t="s">
        <v>74</v>
      </c>
      <c r="BR432" t="s">
        <v>104</v>
      </c>
      <c r="BS432" t="s">
        <v>8445</v>
      </c>
      <c r="BT432" t="str">
        <f>HYPERLINK("https%3A%2F%2Fwww.webofscience.com%2Fwos%2Fwoscc%2Ffull-record%2FWOS:000445164200060","View Full Record in Web of Science")</f>
        <v>View Full Record in Web of Science</v>
      </c>
    </row>
    <row r="433" spans="1:72" x14ac:dyDescent="0.15">
      <c r="A433" t="s">
        <v>72</v>
      </c>
      <c r="B433" t="s">
        <v>8446</v>
      </c>
      <c r="C433" t="s">
        <v>74</v>
      </c>
      <c r="D433" t="s">
        <v>74</v>
      </c>
      <c r="E433" t="s">
        <v>74</v>
      </c>
      <c r="F433" t="s">
        <v>8447</v>
      </c>
      <c r="G433" t="s">
        <v>74</v>
      </c>
      <c r="H433" t="s">
        <v>74</v>
      </c>
      <c r="I433" t="s">
        <v>8448</v>
      </c>
      <c r="J433" t="s">
        <v>8449</v>
      </c>
      <c r="K433" t="s">
        <v>74</v>
      </c>
      <c r="L433" t="s">
        <v>74</v>
      </c>
      <c r="M433" t="s">
        <v>78</v>
      </c>
      <c r="N433" t="s">
        <v>1003</v>
      </c>
      <c r="O433" t="s">
        <v>74</v>
      </c>
      <c r="P433" t="s">
        <v>74</v>
      </c>
      <c r="Q433" t="s">
        <v>74</v>
      </c>
      <c r="R433" t="s">
        <v>74</v>
      </c>
      <c r="S433" t="s">
        <v>74</v>
      </c>
      <c r="T433" t="s">
        <v>8450</v>
      </c>
      <c r="U433" t="s">
        <v>8451</v>
      </c>
      <c r="V433" t="s">
        <v>8452</v>
      </c>
      <c r="W433" t="s">
        <v>8453</v>
      </c>
      <c r="X433" t="s">
        <v>8454</v>
      </c>
      <c r="Y433" t="s">
        <v>8455</v>
      </c>
      <c r="Z433" t="s">
        <v>8456</v>
      </c>
      <c r="AA433" t="s">
        <v>8457</v>
      </c>
      <c r="AB433" t="s">
        <v>8458</v>
      </c>
      <c r="AC433" t="s">
        <v>8459</v>
      </c>
      <c r="AD433" t="s">
        <v>8460</v>
      </c>
      <c r="AE433" t="s">
        <v>8461</v>
      </c>
      <c r="AF433" t="s">
        <v>74</v>
      </c>
      <c r="AG433">
        <v>284</v>
      </c>
      <c r="AH433">
        <v>10</v>
      </c>
      <c r="AI433">
        <v>10</v>
      </c>
      <c r="AJ433">
        <v>5</v>
      </c>
      <c r="AK433">
        <v>41</v>
      </c>
      <c r="AL433" t="s">
        <v>7949</v>
      </c>
      <c r="AM433" t="s">
        <v>7950</v>
      </c>
      <c r="AN433" t="s">
        <v>7951</v>
      </c>
      <c r="AO433" t="s">
        <v>74</v>
      </c>
      <c r="AP433" t="s">
        <v>8462</v>
      </c>
      <c r="AQ433" t="s">
        <v>74</v>
      </c>
      <c r="AR433" t="s">
        <v>8463</v>
      </c>
      <c r="AS433" t="s">
        <v>8464</v>
      </c>
      <c r="AT433" t="s">
        <v>8465</v>
      </c>
      <c r="AU433">
        <v>2018</v>
      </c>
      <c r="AV433">
        <v>5</v>
      </c>
      <c r="AW433" t="s">
        <v>74</v>
      </c>
      <c r="AX433" t="s">
        <v>74</v>
      </c>
      <c r="AY433" t="s">
        <v>74</v>
      </c>
      <c r="AZ433" t="s">
        <v>74</v>
      </c>
      <c r="BA433" t="s">
        <v>74</v>
      </c>
      <c r="BB433" t="s">
        <v>74</v>
      </c>
      <c r="BC433" t="s">
        <v>74</v>
      </c>
      <c r="BD433">
        <v>464</v>
      </c>
      <c r="BE433" t="s">
        <v>8466</v>
      </c>
      <c r="BF433" t="str">
        <f>HYPERLINK("http://dx.doi.org/10.3389/fmars.2018.00464","http://dx.doi.org/10.3389/fmars.2018.00464")</f>
        <v>http://dx.doi.org/10.3389/fmars.2018.00464</v>
      </c>
      <c r="BG433" t="s">
        <v>74</v>
      </c>
      <c r="BH433" t="s">
        <v>74</v>
      </c>
      <c r="BI433">
        <v>23</v>
      </c>
      <c r="BJ433" t="s">
        <v>3360</v>
      </c>
      <c r="BK433" t="s">
        <v>101</v>
      </c>
      <c r="BL433" t="s">
        <v>3361</v>
      </c>
      <c r="BM433" t="s">
        <v>8467</v>
      </c>
      <c r="BN433" t="s">
        <v>74</v>
      </c>
      <c r="BO433" t="s">
        <v>8155</v>
      </c>
      <c r="BP433" t="s">
        <v>74</v>
      </c>
      <c r="BQ433" t="s">
        <v>74</v>
      </c>
      <c r="BR433" t="s">
        <v>104</v>
      </c>
      <c r="BS433" t="s">
        <v>8468</v>
      </c>
      <c r="BT433" t="str">
        <f>HYPERLINK("https%3A%2F%2Fwww.webofscience.com%2Fwos%2Fwoscc%2Ffull-record%2FWOS:000457217000001","View Full Record in Web of Science")</f>
        <v>View Full Record in Web of Science</v>
      </c>
    </row>
    <row r="434" spans="1:72" x14ac:dyDescent="0.15">
      <c r="A434" t="s">
        <v>72</v>
      </c>
      <c r="B434" t="s">
        <v>8469</v>
      </c>
      <c r="C434" t="s">
        <v>74</v>
      </c>
      <c r="D434" t="s">
        <v>74</v>
      </c>
      <c r="E434" t="s">
        <v>74</v>
      </c>
      <c r="F434" t="s">
        <v>8470</v>
      </c>
      <c r="G434" t="s">
        <v>74</v>
      </c>
      <c r="H434" t="s">
        <v>74</v>
      </c>
      <c r="I434" t="s">
        <v>8471</v>
      </c>
      <c r="J434" t="s">
        <v>8472</v>
      </c>
      <c r="K434" t="s">
        <v>74</v>
      </c>
      <c r="L434" t="s">
        <v>74</v>
      </c>
      <c r="M434" t="s">
        <v>78</v>
      </c>
      <c r="N434" t="s">
        <v>3586</v>
      </c>
      <c r="O434" t="s">
        <v>74</v>
      </c>
      <c r="P434" t="s">
        <v>74</v>
      </c>
      <c r="Q434" t="s">
        <v>74</v>
      </c>
      <c r="R434" t="s">
        <v>74</v>
      </c>
      <c r="S434" t="s">
        <v>74</v>
      </c>
      <c r="T434" t="s">
        <v>74</v>
      </c>
      <c r="U434" t="s">
        <v>74</v>
      </c>
      <c r="V434" t="s">
        <v>74</v>
      </c>
      <c r="W434" t="s">
        <v>74</v>
      </c>
      <c r="X434" t="s">
        <v>74</v>
      </c>
      <c r="Y434" t="s">
        <v>74</v>
      </c>
      <c r="Z434" t="s">
        <v>74</v>
      </c>
      <c r="AA434" t="s">
        <v>74</v>
      </c>
      <c r="AB434" t="s">
        <v>74</v>
      </c>
      <c r="AC434" t="s">
        <v>74</v>
      </c>
      <c r="AD434" t="s">
        <v>74</v>
      </c>
      <c r="AE434" t="s">
        <v>74</v>
      </c>
      <c r="AF434" t="s">
        <v>74</v>
      </c>
      <c r="AG434">
        <v>1</v>
      </c>
      <c r="AH434">
        <v>0</v>
      </c>
      <c r="AI434">
        <v>0</v>
      </c>
      <c r="AJ434">
        <v>0</v>
      </c>
      <c r="AK434">
        <v>0</v>
      </c>
      <c r="AL434" t="s">
        <v>8473</v>
      </c>
      <c r="AM434" t="s">
        <v>8474</v>
      </c>
      <c r="AN434" t="s">
        <v>8475</v>
      </c>
      <c r="AO434" t="s">
        <v>8476</v>
      </c>
      <c r="AP434" t="s">
        <v>8477</v>
      </c>
      <c r="AQ434" t="s">
        <v>74</v>
      </c>
      <c r="AR434" t="s">
        <v>8478</v>
      </c>
      <c r="AS434" t="s">
        <v>8479</v>
      </c>
      <c r="AT434" t="s">
        <v>8465</v>
      </c>
      <c r="AU434">
        <v>2018</v>
      </c>
      <c r="AV434" t="s">
        <v>74</v>
      </c>
      <c r="AW434">
        <v>6037</v>
      </c>
      <c r="AX434" t="s">
        <v>74</v>
      </c>
      <c r="AY434" t="s">
        <v>74</v>
      </c>
      <c r="AZ434" t="s">
        <v>74</v>
      </c>
      <c r="BA434" t="s">
        <v>74</v>
      </c>
      <c r="BB434">
        <v>10</v>
      </c>
      <c r="BC434">
        <v>10</v>
      </c>
      <c r="BD434" t="s">
        <v>74</v>
      </c>
      <c r="BE434" t="s">
        <v>74</v>
      </c>
      <c r="BF434" t="s">
        <v>74</v>
      </c>
      <c r="BG434" t="s">
        <v>74</v>
      </c>
      <c r="BH434" t="s">
        <v>74</v>
      </c>
      <c r="BI434">
        <v>1</v>
      </c>
      <c r="BJ434" t="s">
        <v>2484</v>
      </c>
      <c r="BK434" t="s">
        <v>645</v>
      </c>
      <c r="BL434" t="s">
        <v>2485</v>
      </c>
      <c r="BM434" t="s">
        <v>8480</v>
      </c>
      <c r="BN434" t="s">
        <v>74</v>
      </c>
      <c r="BO434" t="s">
        <v>74</v>
      </c>
      <c r="BP434" t="s">
        <v>74</v>
      </c>
      <c r="BQ434" t="s">
        <v>74</v>
      </c>
      <c r="BR434" t="s">
        <v>104</v>
      </c>
      <c r="BS434" t="s">
        <v>8481</v>
      </c>
      <c r="BT434" t="str">
        <f>HYPERLINK("https%3A%2F%2Fwww.webofscience.com%2Fwos%2Fwoscc%2Ffull-record%2FWOS:000453938800016","View Full Record in Web of Science")</f>
        <v>View Full Record in Web of Science</v>
      </c>
    </row>
    <row r="435" spans="1:72" x14ac:dyDescent="0.15">
      <c r="A435" t="s">
        <v>72</v>
      </c>
      <c r="B435" t="s">
        <v>8482</v>
      </c>
      <c r="C435" t="s">
        <v>74</v>
      </c>
      <c r="D435" t="s">
        <v>74</v>
      </c>
      <c r="E435" t="s">
        <v>74</v>
      </c>
      <c r="F435" t="s">
        <v>8483</v>
      </c>
      <c r="G435" t="s">
        <v>74</v>
      </c>
      <c r="H435" t="s">
        <v>74</v>
      </c>
      <c r="I435" t="s">
        <v>8484</v>
      </c>
      <c r="J435" t="s">
        <v>8034</v>
      </c>
      <c r="K435" t="s">
        <v>74</v>
      </c>
      <c r="L435" t="s">
        <v>74</v>
      </c>
      <c r="M435" t="s">
        <v>78</v>
      </c>
      <c r="N435" t="s">
        <v>79</v>
      </c>
      <c r="O435" t="s">
        <v>74</v>
      </c>
      <c r="P435" t="s">
        <v>74</v>
      </c>
      <c r="Q435" t="s">
        <v>74</v>
      </c>
      <c r="R435" t="s">
        <v>74</v>
      </c>
      <c r="S435" t="s">
        <v>74</v>
      </c>
      <c r="T435" t="s">
        <v>74</v>
      </c>
      <c r="U435" t="s">
        <v>8485</v>
      </c>
      <c r="V435" t="s">
        <v>8486</v>
      </c>
      <c r="W435" t="s">
        <v>8487</v>
      </c>
      <c r="X435" t="s">
        <v>8488</v>
      </c>
      <c r="Y435" t="s">
        <v>8489</v>
      </c>
      <c r="Z435" t="s">
        <v>8490</v>
      </c>
      <c r="AA435" t="s">
        <v>8491</v>
      </c>
      <c r="AB435" t="s">
        <v>8492</v>
      </c>
      <c r="AC435" t="s">
        <v>8493</v>
      </c>
      <c r="AD435" t="s">
        <v>8494</v>
      </c>
      <c r="AE435" t="s">
        <v>8495</v>
      </c>
      <c r="AF435" t="s">
        <v>74</v>
      </c>
      <c r="AG435">
        <v>91</v>
      </c>
      <c r="AH435">
        <v>17</v>
      </c>
      <c r="AI435">
        <v>19</v>
      </c>
      <c r="AJ435">
        <v>1</v>
      </c>
      <c r="AK435">
        <v>13</v>
      </c>
      <c r="AL435" t="s">
        <v>8045</v>
      </c>
      <c r="AM435" t="s">
        <v>6186</v>
      </c>
      <c r="AN435" t="s">
        <v>6187</v>
      </c>
      <c r="AO435" t="s">
        <v>8046</v>
      </c>
      <c r="AP435" t="s">
        <v>74</v>
      </c>
      <c r="AQ435" t="s">
        <v>74</v>
      </c>
      <c r="AR435" t="s">
        <v>8047</v>
      </c>
      <c r="AS435" t="s">
        <v>8048</v>
      </c>
      <c r="AT435" t="s">
        <v>8465</v>
      </c>
      <c r="AU435">
        <v>2018</v>
      </c>
      <c r="AV435">
        <v>8</v>
      </c>
      <c r="AW435" t="s">
        <v>74</v>
      </c>
      <c r="AX435" t="s">
        <v>74</v>
      </c>
      <c r="AY435" t="s">
        <v>74</v>
      </c>
      <c r="AZ435" t="s">
        <v>74</v>
      </c>
      <c r="BA435" t="s">
        <v>74</v>
      </c>
      <c r="BB435" t="s">
        <v>74</v>
      </c>
      <c r="BC435" t="s">
        <v>74</v>
      </c>
      <c r="BD435">
        <v>17856</v>
      </c>
      <c r="BE435" t="s">
        <v>8496</v>
      </c>
      <c r="BF435" t="str">
        <f>HYPERLINK("http://dx.doi.org/10.1038/s41598-018-36030-x","http://dx.doi.org/10.1038/s41598-018-36030-x")</f>
        <v>http://dx.doi.org/10.1038/s41598-018-36030-x</v>
      </c>
      <c r="BG435" t="s">
        <v>74</v>
      </c>
      <c r="BH435" t="s">
        <v>74</v>
      </c>
      <c r="BI435">
        <v>16</v>
      </c>
      <c r="BJ435" t="s">
        <v>855</v>
      </c>
      <c r="BK435" t="s">
        <v>101</v>
      </c>
      <c r="BL435" t="s">
        <v>856</v>
      </c>
      <c r="BM435" t="s">
        <v>8497</v>
      </c>
      <c r="BN435">
        <v>30552350</v>
      </c>
      <c r="BO435" t="s">
        <v>221</v>
      </c>
      <c r="BP435" t="s">
        <v>74</v>
      </c>
      <c r="BQ435" t="s">
        <v>74</v>
      </c>
      <c r="BR435" t="s">
        <v>104</v>
      </c>
      <c r="BS435" t="s">
        <v>8498</v>
      </c>
      <c r="BT435" t="str">
        <f>HYPERLINK("https%3A%2F%2Fwww.webofscience.com%2Fwos%2Fwoscc%2Ffull-record%2FWOS:000453224400017","View Full Record in Web of Science")</f>
        <v>View Full Record in Web of Science</v>
      </c>
    </row>
    <row r="436" spans="1:72" x14ac:dyDescent="0.15">
      <c r="A436" t="s">
        <v>72</v>
      </c>
      <c r="B436" t="s">
        <v>8499</v>
      </c>
      <c r="C436" t="s">
        <v>74</v>
      </c>
      <c r="D436" t="s">
        <v>74</v>
      </c>
      <c r="E436" t="s">
        <v>74</v>
      </c>
      <c r="F436" t="s">
        <v>8500</v>
      </c>
      <c r="G436" t="s">
        <v>74</v>
      </c>
      <c r="H436" t="s">
        <v>74</v>
      </c>
      <c r="I436" t="s">
        <v>8501</v>
      </c>
      <c r="J436" t="s">
        <v>8502</v>
      </c>
      <c r="K436" t="s">
        <v>74</v>
      </c>
      <c r="L436" t="s">
        <v>74</v>
      </c>
      <c r="M436" t="s">
        <v>78</v>
      </c>
      <c r="N436" t="s">
        <v>79</v>
      </c>
      <c r="O436" t="s">
        <v>74</v>
      </c>
      <c r="P436" t="s">
        <v>74</v>
      </c>
      <c r="Q436" t="s">
        <v>74</v>
      </c>
      <c r="R436" t="s">
        <v>74</v>
      </c>
      <c r="S436" t="s">
        <v>74</v>
      </c>
      <c r="T436" t="s">
        <v>8503</v>
      </c>
      <c r="U436" t="s">
        <v>8504</v>
      </c>
      <c r="V436" t="s">
        <v>8505</v>
      </c>
      <c r="W436" t="s">
        <v>8506</v>
      </c>
      <c r="X436" t="s">
        <v>8507</v>
      </c>
      <c r="Y436" t="s">
        <v>8508</v>
      </c>
      <c r="Z436" t="s">
        <v>8509</v>
      </c>
      <c r="AA436" t="s">
        <v>8510</v>
      </c>
      <c r="AB436" t="s">
        <v>8511</v>
      </c>
      <c r="AC436" t="s">
        <v>8512</v>
      </c>
      <c r="AD436" t="s">
        <v>8513</v>
      </c>
      <c r="AE436" t="s">
        <v>8514</v>
      </c>
      <c r="AF436" t="s">
        <v>74</v>
      </c>
      <c r="AG436">
        <v>62</v>
      </c>
      <c r="AH436">
        <v>17</v>
      </c>
      <c r="AI436">
        <v>19</v>
      </c>
      <c r="AJ436">
        <v>5</v>
      </c>
      <c r="AK436">
        <v>25</v>
      </c>
      <c r="AL436" t="s">
        <v>3729</v>
      </c>
      <c r="AM436" t="s">
        <v>3353</v>
      </c>
      <c r="AN436" t="s">
        <v>3730</v>
      </c>
      <c r="AO436" t="s">
        <v>8515</v>
      </c>
      <c r="AP436" t="s">
        <v>74</v>
      </c>
      <c r="AQ436" t="s">
        <v>74</v>
      </c>
      <c r="AR436" t="s">
        <v>8516</v>
      </c>
      <c r="AS436" t="s">
        <v>8517</v>
      </c>
      <c r="AT436" t="s">
        <v>8518</v>
      </c>
      <c r="AU436">
        <v>2018</v>
      </c>
      <c r="AV436">
        <v>6</v>
      </c>
      <c r="AW436" t="s">
        <v>74</v>
      </c>
      <c r="AX436" t="s">
        <v>74</v>
      </c>
      <c r="AY436" t="s">
        <v>74</v>
      </c>
      <c r="AZ436" t="s">
        <v>74</v>
      </c>
      <c r="BA436" t="s">
        <v>74</v>
      </c>
      <c r="BB436" t="s">
        <v>74</v>
      </c>
      <c r="BC436" t="s">
        <v>74</v>
      </c>
      <c r="BD436" t="s">
        <v>8519</v>
      </c>
      <c r="BE436" t="s">
        <v>8520</v>
      </c>
      <c r="BF436" t="str">
        <f>HYPERLINK("http://dx.doi.org/10.1093/conphys/coy069","http://dx.doi.org/10.1093/conphys/coy069")</f>
        <v>http://dx.doi.org/10.1093/conphys/coy069</v>
      </c>
      <c r="BG436" t="s">
        <v>74</v>
      </c>
      <c r="BH436" t="s">
        <v>74</v>
      </c>
      <c r="BI436">
        <v>12</v>
      </c>
      <c r="BJ436" t="s">
        <v>8521</v>
      </c>
      <c r="BK436" t="s">
        <v>101</v>
      </c>
      <c r="BL436" t="s">
        <v>8522</v>
      </c>
      <c r="BM436" t="s">
        <v>8523</v>
      </c>
      <c r="BN436">
        <v>30568798</v>
      </c>
      <c r="BO436" t="s">
        <v>996</v>
      </c>
      <c r="BP436" t="s">
        <v>74</v>
      </c>
      <c r="BQ436" t="s">
        <v>74</v>
      </c>
      <c r="BR436" t="s">
        <v>104</v>
      </c>
      <c r="BS436" t="s">
        <v>8524</v>
      </c>
      <c r="BT436" t="str">
        <f>HYPERLINK("https%3A%2F%2Fwww.webofscience.com%2Fwos%2Fwoscc%2Ffull-record%2FWOS:000462551900001","View Full Record in Web of Science")</f>
        <v>View Full Record in Web of Science</v>
      </c>
    </row>
    <row r="437" spans="1:72" x14ac:dyDescent="0.15">
      <c r="A437" t="s">
        <v>72</v>
      </c>
      <c r="B437" t="s">
        <v>8525</v>
      </c>
      <c r="C437" t="s">
        <v>74</v>
      </c>
      <c r="D437" t="s">
        <v>74</v>
      </c>
      <c r="E437" t="s">
        <v>74</v>
      </c>
      <c r="F437" t="s">
        <v>8526</v>
      </c>
      <c r="G437" t="s">
        <v>74</v>
      </c>
      <c r="H437" t="s">
        <v>74</v>
      </c>
      <c r="I437" t="s">
        <v>8527</v>
      </c>
      <c r="J437" t="s">
        <v>8449</v>
      </c>
      <c r="K437" t="s">
        <v>74</v>
      </c>
      <c r="L437" t="s">
        <v>74</v>
      </c>
      <c r="M437" t="s">
        <v>78</v>
      </c>
      <c r="N437" t="s">
        <v>79</v>
      </c>
      <c r="O437" t="s">
        <v>74</v>
      </c>
      <c r="P437" t="s">
        <v>74</v>
      </c>
      <c r="Q437" t="s">
        <v>74</v>
      </c>
      <c r="R437" t="s">
        <v>74</v>
      </c>
      <c r="S437" t="s">
        <v>74</v>
      </c>
      <c r="T437" t="s">
        <v>8528</v>
      </c>
      <c r="U437" t="s">
        <v>8529</v>
      </c>
      <c r="V437" t="s">
        <v>8530</v>
      </c>
      <c r="W437" t="s">
        <v>8531</v>
      </c>
      <c r="X437" t="s">
        <v>8532</v>
      </c>
      <c r="Y437" t="s">
        <v>8533</v>
      </c>
      <c r="Z437" t="s">
        <v>8534</v>
      </c>
      <c r="AA437" t="s">
        <v>8535</v>
      </c>
      <c r="AB437" t="s">
        <v>8536</v>
      </c>
      <c r="AC437" t="s">
        <v>8537</v>
      </c>
      <c r="AD437" t="s">
        <v>8537</v>
      </c>
      <c r="AE437" t="s">
        <v>8538</v>
      </c>
      <c r="AF437" t="s">
        <v>74</v>
      </c>
      <c r="AG437">
        <v>117</v>
      </c>
      <c r="AH437">
        <v>11</v>
      </c>
      <c r="AI437">
        <v>11</v>
      </c>
      <c r="AJ437">
        <v>4</v>
      </c>
      <c r="AK437">
        <v>17</v>
      </c>
      <c r="AL437" t="s">
        <v>7949</v>
      </c>
      <c r="AM437" t="s">
        <v>7950</v>
      </c>
      <c r="AN437" t="s">
        <v>7951</v>
      </c>
      <c r="AO437" t="s">
        <v>74</v>
      </c>
      <c r="AP437" t="s">
        <v>8462</v>
      </c>
      <c r="AQ437" t="s">
        <v>74</v>
      </c>
      <c r="AR437" t="s">
        <v>8463</v>
      </c>
      <c r="AS437" t="s">
        <v>8464</v>
      </c>
      <c r="AT437" t="s">
        <v>8518</v>
      </c>
      <c r="AU437">
        <v>2018</v>
      </c>
      <c r="AV437">
        <v>5</v>
      </c>
      <c r="AW437" t="s">
        <v>74</v>
      </c>
      <c r="AX437" t="s">
        <v>74</v>
      </c>
      <c r="AY437" t="s">
        <v>74</v>
      </c>
      <c r="AZ437" t="s">
        <v>74</v>
      </c>
      <c r="BA437" t="s">
        <v>74</v>
      </c>
      <c r="BB437" t="s">
        <v>74</v>
      </c>
      <c r="BC437" t="s">
        <v>74</v>
      </c>
      <c r="BD437">
        <v>459</v>
      </c>
      <c r="BE437" t="s">
        <v>8539</v>
      </c>
      <c r="BF437" t="str">
        <f>HYPERLINK("http://dx.doi.org/10.3389/fmars.2018.00459","http://dx.doi.org/10.3389/fmars.2018.00459")</f>
        <v>http://dx.doi.org/10.3389/fmars.2018.00459</v>
      </c>
      <c r="BG437" t="s">
        <v>74</v>
      </c>
      <c r="BH437" t="s">
        <v>74</v>
      </c>
      <c r="BI437">
        <v>13</v>
      </c>
      <c r="BJ437" t="s">
        <v>3360</v>
      </c>
      <c r="BK437" t="s">
        <v>101</v>
      </c>
      <c r="BL437" t="s">
        <v>3361</v>
      </c>
      <c r="BM437" t="s">
        <v>8540</v>
      </c>
      <c r="BN437" t="s">
        <v>74</v>
      </c>
      <c r="BO437" t="s">
        <v>6520</v>
      </c>
      <c r="BP437" t="s">
        <v>74</v>
      </c>
      <c r="BQ437" t="s">
        <v>74</v>
      </c>
      <c r="BR437" t="s">
        <v>104</v>
      </c>
      <c r="BS437" t="s">
        <v>8541</v>
      </c>
      <c r="BT437" t="str">
        <f>HYPERLINK("https%3A%2F%2Fwww.webofscience.com%2Fwos%2Fwoscc%2Ffull-record%2FWOS:000457215300001","View Full Record in Web of Science")</f>
        <v>View Full Record in Web of Science</v>
      </c>
    </row>
    <row r="438" spans="1:72" x14ac:dyDescent="0.15">
      <c r="A438" t="s">
        <v>72</v>
      </c>
      <c r="B438" t="s">
        <v>8542</v>
      </c>
      <c r="C438" t="s">
        <v>74</v>
      </c>
      <c r="D438" t="s">
        <v>74</v>
      </c>
      <c r="E438" t="s">
        <v>74</v>
      </c>
      <c r="F438" t="s">
        <v>8543</v>
      </c>
      <c r="G438" t="s">
        <v>74</v>
      </c>
      <c r="H438" t="s">
        <v>74</v>
      </c>
      <c r="I438" t="s">
        <v>8544</v>
      </c>
      <c r="J438" t="s">
        <v>8545</v>
      </c>
      <c r="K438" t="s">
        <v>74</v>
      </c>
      <c r="L438" t="s">
        <v>74</v>
      </c>
      <c r="M438" t="s">
        <v>78</v>
      </c>
      <c r="N438" t="s">
        <v>79</v>
      </c>
      <c r="O438" t="s">
        <v>74</v>
      </c>
      <c r="P438" t="s">
        <v>74</v>
      </c>
      <c r="Q438" t="s">
        <v>74</v>
      </c>
      <c r="R438" t="s">
        <v>74</v>
      </c>
      <c r="S438" t="s">
        <v>74</v>
      </c>
      <c r="T438" t="s">
        <v>74</v>
      </c>
      <c r="U438" t="s">
        <v>8546</v>
      </c>
      <c r="V438" t="s">
        <v>8547</v>
      </c>
      <c r="W438" t="s">
        <v>8548</v>
      </c>
      <c r="X438" t="s">
        <v>8549</v>
      </c>
      <c r="Y438" t="s">
        <v>8550</v>
      </c>
      <c r="Z438" t="s">
        <v>8551</v>
      </c>
      <c r="AA438" t="s">
        <v>8552</v>
      </c>
      <c r="AB438" t="s">
        <v>8553</v>
      </c>
      <c r="AC438" t="s">
        <v>8554</v>
      </c>
      <c r="AD438" t="s">
        <v>8555</v>
      </c>
      <c r="AE438" t="s">
        <v>8556</v>
      </c>
      <c r="AF438" t="s">
        <v>74</v>
      </c>
      <c r="AG438">
        <v>82</v>
      </c>
      <c r="AH438">
        <v>6</v>
      </c>
      <c r="AI438">
        <v>6</v>
      </c>
      <c r="AJ438">
        <v>0</v>
      </c>
      <c r="AK438">
        <v>8</v>
      </c>
      <c r="AL438" t="s">
        <v>8557</v>
      </c>
      <c r="AM438" t="s">
        <v>4035</v>
      </c>
      <c r="AN438" t="s">
        <v>8558</v>
      </c>
      <c r="AO438" t="s">
        <v>8559</v>
      </c>
      <c r="AP438" t="s">
        <v>8560</v>
      </c>
      <c r="AQ438" t="s">
        <v>74</v>
      </c>
      <c r="AR438" t="s">
        <v>8561</v>
      </c>
      <c r="AS438" t="s">
        <v>8562</v>
      </c>
      <c r="AT438" t="s">
        <v>8518</v>
      </c>
      <c r="AU438">
        <v>2018</v>
      </c>
      <c r="AV438">
        <v>122</v>
      </c>
      <c r="AW438">
        <v>49</v>
      </c>
      <c r="AX438" t="s">
        <v>74</v>
      </c>
      <c r="AY438" t="s">
        <v>74</v>
      </c>
      <c r="AZ438" t="s">
        <v>74</v>
      </c>
      <c r="BA438" t="s">
        <v>74</v>
      </c>
      <c r="BB438">
        <v>11649</v>
      </c>
      <c r="BC438">
        <v>11661</v>
      </c>
      <c r="BD438" t="s">
        <v>74</v>
      </c>
      <c r="BE438" t="s">
        <v>8563</v>
      </c>
      <c r="BF438" t="str">
        <f>HYPERLINK("http://dx.doi.org/10.1021/acs.jpcb.8b07682","http://dx.doi.org/10.1021/acs.jpcb.8b07682")</f>
        <v>http://dx.doi.org/10.1021/acs.jpcb.8b07682</v>
      </c>
      <c r="BG438" t="s">
        <v>74</v>
      </c>
      <c r="BH438" t="s">
        <v>74</v>
      </c>
      <c r="BI438">
        <v>13</v>
      </c>
      <c r="BJ438" t="s">
        <v>8564</v>
      </c>
      <c r="BK438" t="s">
        <v>101</v>
      </c>
      <c r="BL438" t="s">
        <v>2526</v>
      </c>
      <c r="BM438" t="s">
        <v>8565</v>
      </c>
      <c r="BN438">
        <v>30230844</v>
      </c>
      <c r="BO438" t="s">
        <v>74</v>
      </c>
      <c r="BP438" t="s">
        <v>74</v>
      </c>
      <c r="BQ438" t="s">
        <v>74</v>
      </c>
      <c r="BR438" t="s">
        <v>104</v>
      </c>
      <c r="BS438" t="s">
        <v>8566</v>
      </c>
      <c r="BT438" t="str">
        <f>HYPERLINK("https%3A%2F%2Fwww.webofscience.com%2Fwos%2Fwoscc%2Ffull-record%2FWOS:000453488100068","View Full Record in Web of Science")</f>
        <v>View Full Record in Web of Science</v>
      </c>
    </row>
    <row r="439" spans="1:72" x14ac:dyDescent="0.15">
      <c r="A439" t="s">
        <v>72</v>
      </c>
      <c r="B439" t="s">
        <v>8567</v>
      </c>
      <c r="C439" t="s">
        <v>74</v>
      </c>
      <c r="D439" t="s">
        <v>74</v>
      </c>
      <c r="E439" t="s">
        <v>74</v>
      </c>
      <c r="F439" t="s">
        <v>8568</v>
      </c>
      <c r="G439" t="s">
        <v>74</v>
      </c>
      <c r="H439" t="s">
        <v>74</v>
      </c>
      <c r="I439" t="s">
        <v>8569</v>
      </c>
      <c r="J439" t="s">
        <v>8570</v>
      </c>
      <c r="K439" t="s">
        <v>74</v>
      </c>
      <c r="L439" t="s">
        <v>74</v>
      </c>
      <c r="M439" t="s">
        <v>78</v>
      </c>
      <c r="N439" t="s">
        <v>79</v>
      </c>
      <c r="O439" t="s">
        <v>74</v>
      </c>
      <c r="P439" t="s">
        <v>74</v>
      </c>
      <c r="Q439" t="s">
        <v>74</v>
      </c>
      <c r="R439" t="s">
        <v>74</v>
      </c>
      <c r="S439" t="s">
        <v>74</v>
      </c>
      <c r="T439" t="s">
        <v>8571</v>
      </c>
      <c r="U439" t="s">
        <v>8572</v>
      </c>
      <c r="V439" t="s">
        <v>8573</v>
      </c>
      <c r="W439" t="s">
        <v>8574</v>
      </c>
      <c r="X439" t="s">
        <v>8575</v>
      </c>
      <c r="Y439" t="s">
        <v>8576</v>
      </c>
      <c r="Z439" t="s">
        <v>8577</v>
      </c>
      <c r="AA439" t="s">
        <v>8578</v>
      </c>
      <c r="AB439" t="s">
        <v>8579</v>
      </c>
      <c r="AC439" t="s">
        <v>8580</v>
      </c>
      <c r="AD439" t="s">
        <v>8581</v>
      </c>
      <c r="AE439" t="s">
        <v>8582</v>
      </c>
      <c r="AF439" t="s">
        <v>74</v>
      </c>
      <c r="AG439">
        <v>87</v>
      </c>
      <c r="AH439">
        <v>35</v>
      </c>
      <c r="AI439">
        <v>41</v>
      </c>
      <c r="AJ439">
        <v>1</v>
      </c>
      <c r="AK439">
        <v>18</v>
      </c>
      <c r="AL439" t="s">
        <v>8583</v>
      </c>
      <c r="AM439" t="s">
        <v>7271</v>
      </c>
      <c r="AN439" t="s">
        <v>8584</v>
      </c>
      <c r="AO439" t="s">
        <v>8585</v>
      </c>
      <c r="AP439" t="s">
        <v>8586</v>
      </c>
      <c r="AQ439" t="s">
        <v>74</v>
      </c>
      <c r="AR439" t="s">
        <v>8570</v>
      </c>
      <c r="AS439" t="s">
        <v>8587</v>
      </c>
      <c r="AT439" t="s">
        <v>8588</v>
      </c>
      <c r="AU439">
        <v>2018</v>
      </c>
      <c r="AV439" t="s">
        <v>74</v>
      </c>
      <c r="AW439">
        <v>43</v>
      </c>
      <c r="AX439" t="s">
        <v>74</v>
      </c>
      <c r="AY439" t="s">
        <v>74</v>
      </c>
      <c r="AZ439" t="s">
        <v>74</v>
      </c>
      <c r="BA439" t="s">
        <v>74</v>
      </c>
      <c r="BB439">
        <v>91</v>
      </c>
      <c r="BC439">
        <v>113</v>
      </c>
      <c r="BD439" t="s">
        <v>74</v>
      </c>
      <c r="BE439" t="s">
        <v>8589</v>
      </c>
      <c r="BF439" t="str">
        <f>HYPERLINK("http://dx.doi.org/10.3897/mycokeys.43.29093","http://dx.doi.org/10.3897/mycokeys.43.29093")</f>
        <v>http://dx.doi.org/10.3897/mycokeys.43.29093</v>
      </c>
      <c r="BG439" t="s">
        <v>74</v>
      </c>
      <c r="BH439" t="s">
        <v>74</v>
      </c>
      <c r="BI439">
        <v>23</v>
      </c>
      <c r="BJ439" t="s">
        <v>7667</v>
      </c>
      <c r="BK439" t="s">
        <v>101</v>
      </c>
      <c r="BL439" t="s">
        <v>7667</v>
      </c>
      <c r="BM439" t="s">
        <v>8590</v>
      </c>
      <c r="BN439">
        <v>30588165</v>
      </c>
      <c r="BO439" t="s">
        <v>285</v>
      </c>
      <c r="BP439" t="s">
        <v>74</v>
      </c>
      <c r="BQ439" t="s">
        <v>74</v>
      </c>
      <c r="BR439" t="s">
        <v>104</v>
      </c>
      <c r="BS439" t="s">
        <v>8591</v>
      </c>
      <c r="BT439" t="str">
        <f>HYPERLINK("https%3A%2F%2Fwww.webofscience.com%2Fwos%2Fwoscc%2Ffull-record%2FWOS:000452953600001","View Full Record in Web of Science")</f>
        <v>View Full Record in Web of Science</v>
      </c>
    </row>
    <row r="440" spans="1:72" x14ac:dyDescent="0.15">
      <c r="A440" t="s">
        <v>72</v>
      </c>
      <c r="B440" t="s">
        <v>8592</v>
      </c>
      <c r="C440" t="s">
        <v>74</v>
      </c>
      <c r="D440" t="s">
        <v>74</v>
      </c>
      <c r="E440" t="s">
        <v>74</v>
      </c>
      <c r="F440" t="s">
        <v>8593</v>
      </c>
      <c r="G440" t="s">
        <v>74</v>
      </c>
      <c r="H440" t="s">
        <v>74</v>
      </c>
      <c r="I440" t="s">
        <v>8594</v>
      </c>
      <c r="J440" t="s">
        <v>7881</v>
      </c>
      <c r="K440" t="s">
        <v>74</v>
      </c>
      <c r="L440" t="s">
        <v>74</v>
      </c>
      <c r="M440" t="s">
        <v>78</v>
      </c>
      <c r="N440" t="s">
        <v>79</v>
      </c>
      <c r="O440" t="s">
        <v>74</v>
      </c>
      <c r="P440" t="s">
        <v>74</v>
      </c>
      <c r="Q440" t="s">
        <v>74</v>
      </c>
      <c r="R440" t="s">
        <v>74</v>
      </c>
      <c r="S440" t="s">
        <v>74</v>
      </c>
      <c r="T440" t="s">
        <v>74</v>
      </c>
      <c r="U440" t="s">
        <v>8595</v>
      </c>
      <c r="V440" t="s">
        <v>8596</v>
      </c>
      <c r="W440" t="s">
        <v>8597</v>
      </c>
      <c r="X440" t="s">
        <v>8598</v>
      </c>
      <c r="Y440" t="s">
        <v>8599</v>
      </c>
      <c r="Z440" t="s">
        <v>8600</v>
      </c>
      <c r="AA440" t="s">
        <v>74</v>
      </c>
      <c r="AB440" t="s">
        <v>8601</v>
      </c>
      <c r="AC440" t="s">
        <v>8602</v>
      </c>
      <c r="AD440" t="s">
        <v>1981</v>
      </c>
      <c r="AE440" t="s">
        <v>8603</v>
      </c>
      <c r="AF440" t="s">
        <v>74</v>
      </c>
      <c r="AG440">
        <v>108</v>
      </c>
      <c r="AH440">
        <v>2</v>
      </c>
      <c r="AI440">
        <v>2</v>
      </c>
      <c r="AJ440">
        <v>0</v>
      </c>
      <c r="AK440">
        <v>3</v>
      </c>
      <c r="AL440" t="s">
        <v>7866</v>
      </c>
      <c r="AM440" t="s">
        <v>7867</v>
      </c>
      <c r="AN440" t="s">
        <v>7868</v>
      </c>
      <c r="AO440" t="s">
        <v>7893</v>
      </c>
      <c r="AP440" t="s">
        <v>7894</v>
      </c>
      <c r="AQ440" t="s">
        <v>74</v>
      </c>
      <c r="AR440" t="s">
        <v>7895</v>
      </c>
      <c r="AS440" t="s">
        <v>7896</v>
      </c>
      <c r="AT440" t="s">
        <v>8604</v>
      </c>
      <c r="AU440">
        <v>2018</v>
      </c>
      <c r="AV440">
        <v>11</v>
      </c>
      <c r="AW440">
        <v>12</v>
      </c>
      <c r="AX440" t="s">
        <v>74</v>
      </c>
      <c r="AY440" t="s">
        <v>74</v>
      </c>
      <c r="AZ440" t="s">
        <v>74</v>
      </c>
      <c r="BA440" t="s">
        <v>74</v>
      </c>
      <c r="BB440">
        <v>5051</v>
      </c>
      <c r="BC440">
        <v>5084</v>
      </c>
      <c r="BD440" t="s">
        <v>74</v>
      </c>
      <c r="BE440" t="s">
        <v>8605</v>
      </c>
      <c r="BF440" t="str">
        <f>HYPERLINK("http://dx.doi.org/10.5194/gmd-11-5051-2018","http://dx.doi.org/10.5194/gmd-11-5051-2018")</f>
        <v>http://dx.doi.org/10.5194/gmd-11-5051-2018</v>
      </c>
      <c r="BG440" t="s">
        <v>74</v>
      </c>
      <c r="BH440" t="s">
        <v>74</v>
      </c>
      <c r="BI440">
        <v>34</v>
      </c>
      <c r="BJ440" t="s">
        <v>884</v>
      </c>
      <c r="BK440" t="s">
        <v>101</v>
      </c>
      <c r="BL440" t="s">
        <v>528</v>
      </c>
      <c r="BM440" t="s">
        <v>8606</v>
      </c>
      <c r="BN440" t="s">
        <v>74</v>
      </c>
      <c r="BO440" t="s">
        <v>8607</v>
      </c>
      <c r="BP440" t="s">
        <v>74</v>
      </c>
      <c r="BQ440" t="s">
        <v>74</v>
      </c>
      <c r="BR440" t="s">
        <v>104</v>
      </c>
      <c r="BS440" t="s">
        <v>8608</v>
      </c>
      <c r="BT440" t="str">
        <f>HYPERLINK("https%3A%2F%2Fwww.webofscience.com%2Fwos%2Fwoscc%2Ffull-record%2FWOS:000452841400001","View Full Record in Web of Science")</f>
        <v>View Full Record in Web of Science</v>
      </c>
    </row>
    <row r="441" spans="1:72" x14ac:dyDescent="0.15">
      <c r="A441" t="s">
        <v>72</v>
      </c>
      <c r="B441" t="s">
        <v>8609</v>
      </c>
      <c r="C441" t="s">
        <v>74</v>
      </c>
      <c r="D441" t="s">
        <v>74</v>
      </c>
      <c r="E441" t="s">
        <v>74</v>
      </c>
      <c r="F441" t="s">
        <v>8610</v>
      </c>
      <c r="G441" t="s">
        <v>74</v>
      </c>
      <c r="H441" t="s">
        <v>74</v>
      </c>
      <c r="I441" t="s">
        <v>8611</v>
      </c>
      <c r="J441" t="s">
        <v>8612</v>
      </c>
      <c r="K441" t="s">
        <v>74</v>
      </c>
      <c r="L441" t="s">
        <v>74</v>
      </c>
      <c r="M441" t="s">
        <v>78</v>
      </c>
      <c r="N441" t="s">
        <v>79</v>
      </c>
      <c r="O441" t="s">
        <v>74</v>
      </c>
      <c r="P441" t="s">
        <v>74</v>
      </c>
      <c r="Q441" t="s">
        <v>74</v>
      </c>
      <c r="R441" t="s">
        <v>74</v>
      </c>
      <c r="S441" t="s">
        <v>74</v>
      </c>
      <c r="T441" t="s">
        <v>8613</v>
      </c>
      <c r="U441" t="s">
        <v>8614</v>
      </c>
      <c r="V441" t="s">
        <v>8615</v>
      </c>
      <c r="W441" t="s">
        <v>8616</v>
      </c>
      <c r="X441" t="s">
        <v>8617</v>
      </c>
      <c r="Y441" t="s">
        <v>8618</v>
      </c>
      <c r="Z441" t="s">
        <v>8619</v>
      </c>
      <c r="AA441" t="s">
        <v>8620</v>
      </c>
      <c r="AB441" t="s">
        <v>8621</v>
      </c>
      <c r="AC441" t="s">
        <v>8622</v>
      </c>
      <c r="AD441" t="s">
        <v>8623</v>
      </c>
      <c r="AE441" t="s">
        <v>8624</v>
      </c>
      <c r="AF441" t="s">
        <v>74</v>
      </c>
      <c r="AG441">
        <v>30</v>
      </c>
      <c r="AH441">
        <v>3</v>
      </c>
      <c r="AI441">
        <v>3</v>
      </c>
      <c r="AJ441">
        <v>0</v>
      </c>
      <c r="AK441">
        <v>18</v>
      </c>
      <c r="AL441" t="s">
        <v>8625</v>
      </c>
      <c r="AM441" t="s">
        <v>8626</v>
      </c>
      <c r="AN441" t="s">
        <v>8627</v>
      </c>
      <c r="AO441" t="s">
        <v>8628</v>
      </c>
      <c r="AP441" t="s">
        <v>74</v>
      </c>
      <c r="AQ441" t="s">
        <v>74</v>
      </c>
      <c r="AR441" t="s">
        <v>8629</v>
      </c>
      <c r="AS441" t="s">
        <v>8630</v>
      </c>
      <c r="AT441" t="s">
        <v>8604</v>
      </c>
      <c r="AU441">
        <v>2018</v>
      </c>
      <c r="AV441">
        <v>8</v>
      </c>
      <c r="AW441" t="s">
        <v>74</v>
      </c>
      <c r="AX441" t="s">
        <v>74</v>
      </c>
      <c r="AY441" t="s">
        <v>74</v>
      </c>
      <c r="AZ441" t="s">
        <v>74</v>
      </c>
      <c r="BA441" t="s">
        <v>74</v>
      </c>
      <c r="BB441" t="s">
        <v>74</v>
      </c>
      <c r="BC441" t="s">
        <v>74</v>
      </c>
      <c r="BD441" t="s">
        <v>8631</v>
      </c>
      <c r="BE441" t="s">
        <v>8632</v>
      </c>
      <c r="BF441" t="str">
        <f>HYPERLINK("http://dx.doi.org/10.1051/swsc/2018047","http://dx.doi.org/10.1051/swsc/2018047")</f>
        <v>http://dx.doi.org/10.1051/swsc/2018047</v>
      </c>
      <c r="BG441" t="s">
        <v>74</v>
      </c>
      <c r="BH441" t="s">
        <v>74</v>
      </c>
      <c r="BI441">
        <v>14</v>
      </c>
      <c r="BJ441" t="s">
        <v>4686</v>
      </c>
      <c r="BK441" t="s">
        <v>101</v>
      </c>
      <c r="BL441" t="s">
        <v>4686</v>
      </c>
      <c r="BM441" t="s">
        <v>8633</v>
      </c>
      <c r="BN441" t="s">
        <v>74</v>
      </c>
      <c r="BO441" t="s">
        <v>221</v>
      </c>
      <c r="BP441" t="s">
        <v>74</v>
      </c>
      <c r="BQ441" t="s">
        <v>74</v>
      </c>
      <c r="BR441" t="s">
        <v>104</v>
      </c>
      <c r="BS441" t="s">
        <v>8634</v>
      </c>
      <c r="BT441" t="str">
        <f>HYPERLINK("https%3A%2F%2Fwww.webofscience.com%2Fwos%2Fwoscc%2Ffull-record%2FWOS:000452755900001","View Full Record in Web of Science")</f>
        <v>View Full Record in Web of Science</v>
      </c>
    </row>
    <row r="442" spans="1:72" x14ac:dyDescent="0.15">
      <c r="A442" t="s">
        <v>72</v>
      </c>
      <c r="B442" t="s">
        <v>8635</v>
      </c>
      <c r="C442" t="s">
        <v>74</v>
      </c>
      <c r="D442" t="s">
        <v>74</v>
      </c>
      <c r="E442" t="s">
        <v>74</v>
      </c>
      <c r="F442" t="s">
        <v>8636</v>
      </c>
      <c r="G442" t="s">
        <v>74</v>
      </c>
      <c r="H442" t="s">
        <v>74</v>
      </c>
      <c r="I442" t="s">
        <v>8637</v>
      </c>
      <c r="J442" t="s">
        <v>7903</v>
      </c>
      <c r="K442" t="s">
        <v>74</v>
      </c>
      <c r="L442" t="s">
        <v>74</v>
      </c>
      <c r="M442" t="s">
        <v>78</v>
      </c>
      <c r="N442" t="s">
        <v>79</v>
      </c>
      <c r="O442" t="s">
        <v>74</v>
      </c>
      <c r="P442" t="s">
        <v>74</v>
      </c>
      <c r="Q442" t="s">
        <v>74</v>
      </c>
      <c r="R442" t="s">
        <v>74</v>
      </c>
      <c r="S442" t="s">
        <v>74</v>
      </c>
      <c r="T442" t="s">
        <v>74</v>
      </c>
      <c r="U442" t="s">
        <v>8638</v>
      </c>
      <c r="V442" t="s">
        <v>8639</v>
      </c>
      <c r="W442" t="s">
        <v>8640</v>
      </c>
      <c r="X442" t="s">
        <v>8641</v>
      </c>
      <c r="Y442" t="s">
        <v>8642</v>
      </c>
      <c r="Z442" t="s">
        <v>8643</v>
      </c>
      <c r="AA442" t="s">
        <v>8644</v>
      </c>
      <c r="AB442" t="s">
        <v>8645</v>
      </c>
      <c r="AC442" t="s">
        <v>8646</v>
      </c>
      <c r="AD442" t="s">
        <v>8647</v>
      </c>
      <c r="AE442" t="s">
        <v>8648</v>
      </c>
      <c r="AF442" t="s">
        <v>74</v>
      </c>
      <c r="AG442">
        <v>44</v>
      </c>
      <c r="AH442">
        <v>27</v>
      </c>
      <c r="AI442">
        <v>28</v>
      </c>
      <c r="AJ442">
        <v>9</v>
      </c>
      <c r="AK442">
        <v>38</v>
      </c>
      <c r="AL442" t="s">
        <v>6164</v>
      </c>
      <c r="AM442" t="s">
        <v>3008</v>
      </c>
      <c r="AN442" t="s">
        <v>6165</v>
      </c>
      <c r="AO442" t="s">
        <v>7915</v>
      </c>
      <c r="AP442" t="s">
        <v>74</v>
      </c>
      <c r="AQ442" t="s">
        <v>74</v>
      </c>
      <c r="AR442" t="s">
        <v>7916</v>
      </c>
      <c r="AS442" t="s">
        <v>7917</v>
      </c>
      <c r="AT442" t="s">
        <v>8604</v>
      </c>
      <c r="AU442">
        <v>2018</v>
      </c>
      <c r="AV442">
        <v>9</v>
      </c>
      <c r="AW442" t="s">
        <v>74</v>
      </c>
      <c r="AX442" t="s">
        <v>74</v>
      </c>
      <c r="AY442" t="s">
        <v>74</v>
      </c>
      <c r="AZ442" t="s">
        <v>74</v>
      </c>
      <c r="BA442" t="s">
        <v>74</v>
      </c>
      <c r="BB442" t="s">
        <v>74</v>
      </c>
      <c r="BC442" t="s">
        <v>74</v>
      </c>
      <c r="BD442">
        <v>5291</v>
      </c>
      <c r="BE442" t="s">
        <v>8649</v>
      </c>
      <c r="BF442" t="str">
        <f>HYPERLINK("http://dx.doi.org/10.1038/s41467-018-07062-8","http://dx.doi.org/10.1038/s41467-018-07062-8")</f>
        <v>http://dx.doi.org/10.1038/s41467-018-07062-8</v>
      </c>
      <c r="BG442" t="s">
        <v>74</v>
      </c>
      <c r="BH442" t="s">
        <v>74</v>
      </c>
      <c r="BI442">
        <v>8</v>
      </c>
      <c r="BJ442" t="s">
        <v>855</v>
      </c>
      <c r="BK442" t="s">
        <v>101</v>
      </c>
      <c r="BL442" t="s">
        <v>856</v>
      </c>
      <c r="BM442" t="s">
        <v>8650</v>
      </c>
      <c r="BN442">
        <v>30538229</v>
      </c>
      <c r="BO442" t="s">
        <v>4984</v>
      </c>
      <c r="BP442" t="s">
        <v>74</v>
      </c>
      <c r="BQ442" t="s">
        <v>74</v>
      </c>
      <c r="BR442" t="s">
        <v>104</v>
      </c>
      <c r="BS442" t="s">
        <v>8651</v>
      </c>
      <c r="BT442" t="str">
        <f>HYPERLINK("https%3A%2F%2Fwww.webofscience.com%2Fwos%2Fwoscc%2Ffull-record%2FWOS:000452777900015","View Full Record in Web of Science")</f>
        <v>View Full Record in Web of Science</v>
      </c>
    </row>
    <row r="443" spans="1:72" x14ac:dyDescent="0.15">
      <c r="A443" t="s">
        <v>72</v>
      </c>
      <c r="B443" t="s">
        <v>8652</v>
      </c>
      <c r="C443" t="s">
        <v>74</v>
      </c>
      <c r="D443" t="s">
        <v>74</v>
      </c>
      <c r="E443" t="s">
        <v>74</v>
      </c>
      <c r="F443" t="s">
        <v>8653</v>
      </c>
      <c r="G443" t="s">
        <v>74</v>
      </c>
      <c r="H443" t="s">
        <v>74</v>
      </c>
      <c r="I443" t="s">
        <v>8654</v>
      </c>
      <c r="J443" t="s">
        <v>8160</v>
      </c>
      <c r="K443" t="s">
        <v>74</v>
      </c>
      <c r="L443" t="s">
        <v>74</v>
      </c>
      <c r="M443" t="s">
        <v>78</v>
      </c>
      <c r="N443" t="s">
        <v>79</v>
      </c>
      <c r="O443" t="s">
        <v>74</v>
      </c>
      <c r="P443" t="s">
        <v>74</v>
      </c>
      <c r="Q443" t="s">
        <v>74</v>
      </c>
      <c r="R443" t="s">
        <v>74</v>
      </c>
      <c r="S443" t="s">
        <v>74</v>
      </c>
      <c r="T443" t="s">
        <v>8655</v>
      </c>
      <c r="U443" t="s">
        <v>8656</v>
      </c>
      <c r="V443" t="s">
        <v>8657</v>
      </c>
      <c r="W443" t="s">
        <v>8658</v>
      </c>
      <c r="X443" t="s">
        <v>8659</v>
      </c>
      <c r="Y443" t="s">
        <v>8660</v>
      </c>
      <c r="Z443" t="s">
        <v>8661</v>
      </c>
      <c r="AA443" t="s">
        <v>8662</v>
      </c>
      <c r="AB443" t="s">
        <v>8663</v>
      </c>
      <c r="AC443" t="s">
        <v>8664</v>
      </c>
      <c r="AD443" t="s">
        <v>8665</v>
      </c>
      <c r="AE443" t="s">
        <v>8666</v>
      </c>
      <c r="AF443" t="s">
        <v>74</v>
      </c>
      <c r="AG443">
        <v>26</v>
      </c>
      <c r="AH443">
        <v>4</v>
      </c>
      <c r="AI443">
        <v>4</v>
      </c>
      <c r="AJ443">
        <v>0</v>
      </c>
      <c r="AK443">
        <v>9</v>
      </c>
      <c r="AL443" t="s">
        <v>8667</v>
      </c>
      <c r="AM443" t="s">
        <v>8668</v>
      </c>
      <c r="AN443" t="s">
        <v>8669</v>
      </c>
      <c r="AO443" t="s">
        <v>8169</v>
      </c>
      <c r="AP443" t="s">
        <v>8170</v>
      </c>
      <c r="AQ443" t="s">
        <v>74</v>
      </c>
      <c r="AR443" t="s">
        <v>8670</v>
      </c>
      <c r="AS443" t="s">
        <v>8172</v>
      </c>
      <c r="AT443" t="s">
        <v>8604</v>
      </c>
      <c r="AU443">
        <v>2018</v>
      </c>
      <c r="AV443">
        <v>37</v>
      </c>
      <c r="AW443">
        <v>1</v>
      </c>
      <c r="AX443" t="s">
        <v>74</v>
      </c>
      <c r="AY443" t="s">
        <v>74</v>
      </c>
      <c r="AZ443" t="s">
        <v>74</v>
      </c>
      <c r="BA443" t="s">
        <v>74</v>
      </c>
      <c r="BB443" t="s">
        <v>74</v>
      </c>
      <c r="BC443" t="s">
        <v>74</v>
      </c>
      <c r="BD443">
        <v>1547041</v>
      </c>
      <c r="BE443" t="s">
        <v>8671</v>
      </c>
      <c r="BF443" t="str">
        <f>HYPERLINK("http://dx.doi.org/10.1080/17518369.2018.1547041","http://dx.doi.org/10.1080/17518369.2018.1547041")</f>
        <v>http://dx.doi.org/10.1080/17518369.2018.1547041</v>
      </c>
      <c r="BG443" t="s">
        <v>74</v>
      </c>
      <c r="BH443" t="s">
        <v>74</v>
      </c>
      <c r="BI443">
        <v>12</v>
      </c>
      <c r="BJ443" t="s">
        <v>8175</v>
      </c>
      <c r="BK443" t="s">
        <v>101</v>
      </c>
      <c r="BL443" t="s">
        <v>8176</v>
      </c>
      <c r="BM443" t="s">
        <v>8672</v>
      </c>
      <c r="BN443" t="s">
        <v>74</v>
      </c>
      <c r="BO443" t="s">
        <v>131</v>
      </c>
      <c r="BP443" t="s">
        <v>74</v>
      </c>
      <c r="BQ443" t="s">
        <v>74</v>
      </c>
      <c r="BR443" t="s">
        <v>104</v>
      </c>
      <c r="BS443" t="s">
        <v>8673</v>
      </c>
      <c r="BT443" t="str">
        <f>HYPERLINK("https%3A%2F%2Fwww.webofscience.com%2Fwos%2Fwoscc%2Ffull-record%2FWOS:000452781100001","View Full Record in Web of Science")</f>
        <v>View Full Record in Web of Science</v>
      </c>
    </row>
    <row r="444" spans="1:72" x14ac:dyDescent="0.15">
      <c r="A444" t="s">
        <v>72</v>
      </c>
      <c r="B444" t="s">
        <v>8674</v>
      </c>
      <c r="C444" t="s">
        <v>74</v>
      </c>
      <c r="D444" t="s">
        <v>74</v>
      </c>
      <c r="E444" t="s">
        <v>74</v>
      </c>
      <c r="F444" t="s">
        <v>8675</v>
      </c>
      <c r="G444" t="s">
        <v>74</v>
      </c>
      <c r="H444" t="s">
        <v>74</v>
      </c>
      <c r="I444" t="s">
        <v>8676</v>
      </c>
      <c r="J444" t="s">
        <v>8449</v>
      </c>
      <c r="K444" t="s">
        <v>74</v>
      </c>
      <c r="L444" t="s">
        <v>74</v>
      </c>
      <c r="M444" t="s">
        <v>78</v>
      </c>
      <c r="N444" t="s">
        <v>79</v>
      </c>
      <c r="O444" t="s">
        <v>74</v>
      </c>
      <c r="P444" t="s">
        <v>74</v>
      </c>
      <c r="Q444" t="s">
        <v>74</v>
      </c>
      <c r="R444" t="s">
        <v>74</v>
      </c>
      <c r="S444" t="s">
        <v>74</v>
      </c>
      <c r="T444" t="s">
        <v>8677</v>
      </c>
      <c r="U444" t="s">
        <v>8678</v>
      </c>
      <c r="V444" t="s">
        <v>8679</v>
      </c>
      <c r="W444" t="s">
        <v>8680</v>
      </c>
      <c r="X444" t="s">
        <v>8681</v>
      </c>
      <c r="Y444" t="s">
        <v>8682</v>
      </c>
      <c r="Z444" t="s">
        <v>8683</v>
      </c>
      <c r="AA444" t="s">
        <v>8684</v>
      </c>
      <c r="AB444" t="s">
        <v>8685</v>
      </c>
      <c r="AC444" t="s">
        <v>8686</v>
      </c>
      <c r="AD444" t="s">
        <v>8687</v>
      </c>
      <c r="AE444" t="s">
        <v>8688</v>
      </c>
      <c r="AF444" t="s">
        <v>74</v>
      </c>
      <c r="AG444">
        <v>70</v>
      </c>
      <c r="AH444">
        <v>4</v>
      </c>
      <c r="AI444">
        <v>4</v>
      </c>
      <c r="AJ444">
        <v>2</v>
      </c>
      <c r="AK444">
        <v>8</v>
      </c>
      <c r="AL444" t="s">
        <v>7949</v>
      </c>
      <c r="AM444" t="s">
        <v>7950</v>
      </c>
      <c r="AN444" t="s">
        <v>7951</v>
      </c>
      <c r="AO444" t="s">
        <v>74</v>
      </c>
      <c r="AP444" t="s">
        <v>8462</v>
      </c>
      <c r="AQ444" t="s">
        <v>74</v>
      </c>
      <c r="AR444" t="s">
        <v>8463</v>
      </c>
      <c r="AS444" t="s">
        <v>8464</v>
      </c>
      <c r="AT444" t="s">
        <v>8689</v>
      </c>
      <c r="AU444">
        <v>2018</v>
      </c>
      <c r="AV444">
        <v>5</v>
      </c>
      <c r="AW444" t="s">
        <v>74</v>
      </c>
      <c r="AX444" t="s">
        <v>74</v>
      </c>
      <c r="AY444" t="s">
        <v>74</v>
      </c>
      <c r="AZ444" t="s">
        <v>74</v>
      </c>
      <c r="BA444" t="s">
        <v>74</v>
      </c>
      <c r="BB444" t="s">
        <v>74</v>
      </c>
      <c r="BC444" t="s">
        <v>74</v>
      </c>
      <c r="BD444">
        <v>476</v>
      </c>
      <c r="BE444" t="s">
        <v>8690</v>
      </c>
      <c r="BF444" t="str">
        <f>HYPERLINK("http://dx.doi.org/10.3389/fmars.2018.00476","http://dx.doi.org/10.3389/fmars.2018.00476")</f>
        <v>http://dx.doi.org/10.3389/fmars.2018.00476</v>
      </c>
      <c r="BG444" t="s">
        <v>74</v>
      </c>
      <c r="BH444" t="s">
        <v>74</v>
      </c>
      <c r="BI444">
        <v>9</v>
      </c>
      <c r="BJ444" t="s">
        <v>3360</v>
      </c>
      <c r="BK444" t="s">
        <v>3493</v>
      </c>
      <c r="BL444" t="s">
        <v>3361</v>
      </c>
      <c r="BM444" t="s">
        <v>8691</v>
      </c>
      <c r="BN444" t="s">
        <v>74</v>
      </c>
      <c r="BO444" t="s">
        <v>221</v>
      </c>
      <c r="BP444" t="s">
        <v>74</v>
      </c>
      <c r="BQ444" t="s">
        <v>74</v>
      </c>
      <c r="BR444" t="s">
        <v>104</v>
      </c>
      <c r="BS444" t="s">
        <v>8692</v>
      </c>
      <c r="BT444" t="str">
        <f>HYPERLINK("https%3A%2F%2Fwww.webofscience.com%2Fwos%2Fwoscc%2Ffull-record%2FWOS:000457215700001","View Full Record in Web of Science")</f>
        <v>View Full Record in Web of Science</v>
      </c>
    </row>
    <row r="445" spans="1:72" x14ac:dyDescent="0.15">
      <c r="A445" t="s">
        <v>72</v>
      </c>
      <c r="B445" t="s">
        <v>8693</v>
      </c>
      <c r="C445" t="s">
        <v>74</v>
      </c>
      <c r="D445" t="s">
        <v>74</v>
      </c>
      <c r="E445" t="s">
        <v>74</v>
      </c>
      <c r="F445" t="s">
        <v>8694</v>
      </c>
      <c r="G445" t="s">
        <v>74</v>
      </c>
      <c r="H445" t="s">
        <v>74</v>
      </c>
      <c r="I445" t="s">
        <v>8695</v>
      </c>
      <c r="J445" t="s">
        <v>8696</v>
      </c>
      <c r="K445" t="s">
        <v>74</v>
      </c>
      <c r="L445" t="s">
        <v>74</v>
      </c>
      <c r="M445" t="s">
        <v>78</v>
      </c>
      <c r="N445" t="s">
        <v>79</v>
      </c>
      <c r="O445" t="s">
        <v>74</v>
      </c>
      <c r="P445" t="s">
        <v>74</v>
      </c>
      <c r="Q445" t="s">
        <v>74</v>
      </c>
      <c r="R445" t="s">
        <v>74</v>
      </c>
      <c r="S445" t="s">
        <v>74</v>
      </c>
      <c r="T445" t="s">
        <v>8697</v>
      </c>
      <c r="U445" t="s">
        <v>8698</v>
      </c>
      <c r="V445" t="s">
        <v>8699</v>
      </c>
      <c r="W445" t="s">
        <v>8700</v>
      </c>
      <c r="X445" t="s">
        <v>8701</v>
      </c>
      <c r="Y445" t="s">
        <v>8702</v>
      </c>
      <c r="Z445" t="s">
        <v>8703</v>
      </c>
      <c r="AA445" t="s">
        <v>8704</v>
      </c>
      <c r="AB445" t="s">
        <v>8705</v>
      </c>
      <c r="AC445" t="s">
        <v>8706</v>
      </c>
      <c r="AD445" t="s">
        <v>8707</v>
      </c>
      <c r="AE445" t="s">
        <v>8708</v>
      </c>
      <c r="AF445" t="s">
        <v>74</v>
      </c>
      <c r="AG445">
        <v>61</v>
      </c>
      <c r="AH445">
        <v>11</v>
      </c>
      <c r="AI445">
        <v>11</v>
      </c>
      <c r="AJ445">
        <v>0</v>
      </c>
      <c r="AK445">
        <v>3</v>
      </c>
      <c r="AL445" t="s">
        <v>2289</v>
      </c>
      <c r="AM445" t="s">
        <v>2290</v>
      </c>
      <c r="AN445" t="s">
        <v>7614</v>
      </c>
      <c r="AO445" t="s">
        <v>8709</v>
      </c>
      <c r="AP445" t="s">
        <v>8710</v>
      </c>
      <c r="AQ445" t="s">
        <v>74</v>
      </c>
      <c r="AR445" t="s">
        <v>8711</v>
      </c>
      <c r="AS445" t="s">
        <v>8712</v>
      </c>
      <c r="AT445" t="s">
        <v>8689</v>
      </c>
      <c r="AU445">
        <v>2018</v>
      </c>
      <c r="AV445">
        <v>869</v>
      </c>
      <c r="AW445">
        <v>1</v>
      </c>
      <c r="AX445" t="s">
        <v>74</v>
      </c>
      <c r="AY445" t="s">
        <v>74</v>
      </c>
      <c r="AZ445" t="s">
        <v>74</v>
      </c>
      <c r="BA445" t="s">
        <v>74</v>
      </c>
      <c r="BB445" t="s">
        <v>74</v>
      </c>
      <c r="BC445" t="s">
        <v>74</v>
      </c>
      <c r="BD445">
        <v>47</v>
      </c>
      <c r="BE445" t="s">
        <v>8713</v>
      </c>
      <c r="BF445" t="str">
        <f>HYPERLINK("http://dx.doi.org/10.3847/1538-4357/aaec0a","http://dx.doi.org/10.3847/1538-4357/aaec0a")</f>
        <v>http://dx.doi.org/10.3847/1538-4357/aaec0a</v>
      </c>
      <c r="BG445" t="s">
        <v>74</v>
      </c>
      <c r="BH445" t="s">
        <v>74</v>
      </c>
      <c r="BI445">
        <v>13</v>
      </c>
      <c r="BJ445" t="s">
        <v>2351</v>
      </c>
      <c r="BK445" t="s">
        <v>101</v>
      </c>
      <c r="BL445" t="s">
        <v>2351</v>
      </c>
      <c r="BM445" t="s">
        <v>8714</v>
      </c>
      <c r="BN445" t="s">
        <v>74</v>
      </c>
      <c r="BO445" t="s">
        <v>162</v>
      </c>
      <c r="BP445" t="s">
        <v>74</v>
      </c>
      <c r="BQ445" t="s">
        <v>74</v>
      </c>
      <c r="BR445" t="s">
        <v>104</v>
      </c>
      <c r="BS445" t="s">
        <v>8715</v>
      </c>
      <c r="BT445" t="str">
        <f>HYPERLINK("https%3A%2F%2Fwww.webofscience.com%2Fwos%2Fwoscc%2Ffull-record%2FWOS:000452893300003","View Full Record in Web of Science")</f>
        <v>View Full Record in Web of Science</v>
      </c>
    </row>
    <row r="446" spans="1:72" x14ac:dyDescent="0.15">
      <c r="A446" t="s">
        <v>72</v>
      </c>
      <c r="B446" t="s">
        <v>8716</v>
      </c>
      <c r="C446" t="s">
        <v>74</v>
      </c>
      <c r="D446" t="s">
        <v>74</v>
      </c>
      <c r="E446" t="s">
        <v>74</v>
      </c>
      <c r="F446" t="s">
        <v>8717</v>
      </c>
      <c r="G446" t="s">
        <v>74</v>
      </c>
      <c r="H446" t="s">
        <v>74</v>
      </c>
      <c r="I446" t="s">
        <v>8718</v>
      </c>
      <c r="J446" t="s">
        <v>8719</v>
      </c>
      <c r="K446" t="s">
        <v>74</v>
      </c>
      <c r="L446" t="s">
        <v>74</v>
      </c>
      <c r="M446" t="s">
        <v>78</v>
      </c>
      <c r="N446" t="s">
        <v>79</v>
      </c>
      <c r="O446" t="s">
        <v>74</v>
      </c>
      <c r="P446" t="s">
        <v>74</v>
      </c>
      <c r="Q446" t="s">
        <v>74</v>
      </c>
      <c r="R446" t="s">
        <v>74</v>
      </c>
      <c r="S446" t="s">
        <v>74</v>
      </c>
      <c r="T446" t="s">
        <v>8720</v>
      </c>
      <c r="U446" t="s">
        <v>8721</v>
      </c>
      <c r="V446" t="s">
        <v>8722</v>
      </c>
      <c r="W446" t="s">
        <v>8723</v>
      </c>
      <c r="X446" t="s">
        <v>8724</v>
      </c>
      <c r="Y446" t="s">
        <v>8725</v>
      </c>
      <c r="Z446" t="s">
        <v>8726</v>
      </c>
      <c r="AA446" t="s">
        <v>8727</v>
      </c>
      <c r="AB446" t="s">
        <v>8728</v>
      </c>
      <c r="AC446" t="s">
        <v>8729</v>
      </c>
      <c r="AD446" t="s">
        <v>8730</v>
      </c>
      <c r="AE446" t="s">
        <v>8731</v>
      </c>
      <c r="AF446" t="s">
        <v>74</v>
      </c>
      <c r="AG446">
        <v>83</v>
      </c>
      <c r="AH446">
        <v>15</v>
      </c>
      <c r="AI446">
        <v>17</v>
      </c>
      <c r="AJ446">
        <v>0</v>
      </c>
      <c r="AK446">
        <v>33</v>
      </c>
      <c r="AL446" t="s">
        <v>3290</v>
      </c>
      <c r="AM446" t="s">
        <v>2520</v>
      </c>
      <c r="AN446" t="s">
        <v>3291</v>
      </c>
      <c r="AO446" t="s">
        <v>8732</v>
      </c>
      <c r="AP446" t="s">
        <v>8733</v>
      </c>
      <c r="AQ446" t="s">
        <v>74</v>
      </c>
      <c r="AR446" t="s">
        <v>8734</v>
      </c>
      <c r="AS446" t="s">
        <v>8735</v>
      </c>
      <c r="AT446" t="s">
        <v>8689</v>
      </c>
      <c r="AU446">
        <v>2018</v>
      </c>
      <c r="AV446">
        <v>502</v>
      </c>
      <c r="AW446" t="s">
        <v>74</v>
      </c>
      <c r="AX446" t="s">
        <v>74</v>
      </c>
      <c r="AY446" t="s">
        <v>74</v>
      </c>
      <c r="AZ446" t="s">
        <v>74</v>
      </c>
      <c r="BA446" t="s">
        <v>74</v>
      </c>
      <c r="BB446">
        <v>15</v>
      </c>
      <c r="BC446">
        <v>28</v>
      </c>
      <c r="BD446" t="s">
        <v>74</v>
      </c>
      <c r="BE446" t="s">
        <v>8736</v>
      </c>
      <c r="BF446" t="str">
        <f>HYPERLINK("http://dx.doi.org/10.1016/j.chemgeo.2018.06.015","http://dx.doi.org/10.1016/j.chemgeo.2018.06.015")</f>
        <v>http://dx.doi.org/10.1016/j.chemgeo.2018.06.015</v>
      </c>
      <c r="BG446" t="s">
        <v>74</v>
      </c>
      <c r="BH446" t="s">
        <v>74</v>
      </c>
      <c r="BI446">
        <v>14</v>
      </c>
      <c r="BJ446" t="s">
        <v>746</v>
      </c>
      <c r="BK446" t="s">
        <v>101</v>
      </c>
      <c r="BL446" t="s">
        <v>746</v>
      </c>
      <c r="BM446" t="s">
        <v>8737</v>
      </c>
      <c r="BN446" t="s">
        <v>74</v>
      </c>
      <c r="BO446" t="s">
        <v>74</v>
      </c>
      <c r="BP446" t="s">
        <v>74</v>
      </c>
      <c r="BQ446" t="s">
        <v>74</v>
      </c>
      <c r="BR446" t="s">
        <v>104</v>
      </c>
      <c r="BS446" t="s">
        <v>8738</v>
      </c>
      <c r="BT446" t="str">
        <f>HYPERLINK("https%3A%2F%2Fwww.webofscience.com%2Fwos%2Fwoscc%2Ffull-record%2FWOS:000450330000002","View Full Record in Web of Science")</f>
        <v>View Full Record in Web of Science</v>
      </c>
    </row>
    <row r="447" spans="1:72" x14ac:dyDescent="0.15">
      <c r="A447" t="s">
        <v>72</v>
      </c>
      <c r="B447" t="s">
        <v>8739</v>
      </c>
      <c r="C447" t="s">
        <v>74</v>
      </c>
      <c r="D447" t="s">
        <v>74</v>
      </c>
      <c r="E447" t="s">
        <v>74</v>
      </c>
      <c r="F447" t="s">
        <v>8740</v>
      </c>
      <c r="G447" t="s">
        <v>74</v>
      </c>
      <c r="H447" t="s">
        <v>74</v>
      </c>
      <c r="I447" t="s">
        <v>8741</v>
      </c>
      <c r="J447" t="s">
        <v>8100</v>
      </c>
      <c r="K447" t="s">
        <v>74</v>
      </c>
      <c r="L447" t="s">
        <v>74</v>
      </c>
      <c r="M447" t="s">
        <v>78</v>
      </c>
      <c r="N447" t="s">
        <v>79</v>
      </c>
      <c r="O447" t="s">
        <v>74</v>
      </c>
      <c r="P447" t="s">
        <v>74</v>
      </c>
      <c r="Q447" t="s">
        <v>74</v>
      </c>
      <c r="R447" t="s">
        <v>74</v>
      </c>
      <c r="S447" t="s">
        <v>74</v>
      </c>
      <c r="T447" t="s">
        <v>74</v>
      </c>
      <c r="U447" t="s">
        <v>8742</v>
      </c>
      <c r="V447" t="s">
        <v>8743</v>
      </c>
      <c r="W447" t="s">
        <v>8744</v>
      </c>
      <c r="X447" t="s">
        <v>8745</v>
      </c>
      <c r="Y447" t="s">
        <v>8746</v>
      </c>
      <c r="Z447" t="s">
        <v>8747</v>
      </c>
      <c r="AA447" t="s">
        <v>8748</v>
      </c>
      <c r="AB447" t="s">
        <v>8749</v>
      </c>
      <c r="AC447" t="s">
        <v>8750</v>
      </c>
      <c r="AD447" t="s">
        <v>8751</v>
      </c>
      <c r="AE447" t="s">
        <v>8752</v>
      </c>
      <c r="AF447" t="s">
        <v>74</v>
      </c>
      <c r="AG447">
        <v>36</v>
      </c>
      <c r="AH447">
        <v>4</v>
      </c>
      <c r="AI447">
        <v>6</v>
      </c>
      <c r="AJ447">
        <v>0</v>
      </c>
      <c r="AK447">
        <v>3</v>
      </c>
      <c r="AL447" t="s">
        <v>7866</v>
      </c>
      <c r="AM447" t="s">
        <v>7867</v>
      </c>
      <c r="AN447" t="s">
        <v>7868</v>
      </c>
      <c r="AO447" t="s">
        <v>8112</v>
      </c>
      <c r="AP447" t="s">
        <v>8113</v>
      </c>
      <c r="AQ447" t="s">
        <v>74</v>
      </c>
      <c r="AR447" t="s">
        <v>8100</v>
      </c>
      <c r="AS447" t="s">
        <v>8114</v>
      </c>
      <c r="AT447" t="s">
        <v>8689</v>
      </c>
      <c r="AU447">
        <v>2018</v>
      </c>
      <c r="AV447">
        <v>12</v>
      </c>
      <c r="AW447">
        <v>12</v>
      </c>
      <c r="AX447" t="s">
        <v>74</v>
      </c>
      <c r="AY447" t="s">
        <v>74</v>
      </c>
      <c r="AZ447" t="s">
        <v>74</v>
      </c>
      <c r="BA447" t="s">
        <v>74</v>
      </c>
      <c r="BB447">
        <v>3853</v>
      </c>
      <c r="BC447">
        <v>3859</v>
      </c>
      <c r="BD447" t="s">
        <v>74</v>
      </c>
      <c r="BE447" t="s">
        <v>8753</v>
      </c>
      <c r="BF447" t="str">
        <f>HYPERLINK("http://dx.doi.org/10.5194/tc-12-3853-2018","http://dx.doi.org/10.5194/tc-12-3853-2018")</f>
        <v>http://dx.doi.org/10.5194/tc-12-3853-2018</v>
      </c>
      <c r="BG447" t="s">
        <v>74</v>
      </c>
      <c r="BH447" t="s">
        <v>74</v>
      </c>
      <c r="BI447">
        <v>7</v>
      </c>
      <c r="BJ447" t="s">
        <v>1480</v>
      </c>
      <c r="BK447" t="s">
        <v>101</v>
      </c>
      <c r="BL447" t="s">
        <v>1481</v>
      </c>
      <c r="BM447" t="s">
        <v>8754</v>
      </c>
      <c r="BN447" t="s">
        <v>74</v>
      </c>
      <c r="BO447" t="s">
        <v>8607</v>
      </c>
      <c r="BP447" t="s">
        <v>74</v>
      </c>
      <c r="BQ447" t="s">
        <v>74</v>
      </c>
      <c r="BR447" t="s">
        <v>104</v>
      </c>
      <c r="BS447" t="s">
        <v>8755</v>
      </c>
      <c r="BT447" t="str">
        <f>HYPERLINK("https%3A%2F%2Fwww.webofscience.com%2Fwos%2Fwoscc%2Ffull-record%2FWOS:000452664900002","View Full Record in Web of Science")</f>
        <v>View Full Record in Web of Science</v>
      </c>
    </row>
    <row r="448" spans="1:72" x14ac:dyDescent="0.15">
      <c r="A448" t="s">
        <v>72</v>
      </c>
      <c r="B448" t="s">
        <v>8756</v>
      </c>
      <c r="C448" t="s">
        <v>74</v>
      </c>
      <c r="D448" t="s">
        <v>74</v>
      </c>
      <c r="E448" t="s">
        <v>74</v>
      </c>
      <c r="F448" t="s">
        <v>8757</v>
      </c>
      <c r="G448" t="s">
        <v>74</v>
      </c>
      <c r="H448" t="s">
        <v>74</v>
      </c>
      <c r="I448" t="s">
        <v>8758</v>
      </c>
      <c r="J448" t="s">
        <v>8759</v>
      </c>
      <c r="K448" t="s">
        <v>74</v>
      </c>
      <c r="L448" t="s">
        <v>74</v>
      </c>
      <c r="M448" t="s">
        <v>78</v>
      </c>
      <c r="N448" t="s">
        <v>79</v>
      </c>
      <c r="O448" t="s">
        <v>74</v>
      </c>
      <c r="P448" t="s">
        <v>74</v>
      </c>
      <c r="Q448" t="s">
        <v>74</v>
      </c>
      <c r="R448" t="s">
        <v>74</v>
      </c>
      <c r="S448" t="s">
        <v>74</v>
      </c>
      <c r="T448" t="s">
        <v>8760</v>
      </c>
      <c r="U448" t="s">
        <v>8761</v>
      </c>
      <c r="V448" t="s">
        <v>8762</v>
      </c>
      <c r="W448" t="s">
        <v>8763</v>
      </c>
      <c r="X448" t="s">
        <v>8764</v>
      </c>
      <c r="Y448" t="s">
        <v>8765</v>
      </c>
      <c r="Z448" t="s">
        <v>8766</v>
      </c>
      <c r="AA448" t="s">
        <v>74</v>
      </c>
      <c r="AB448" t="s">
        <v>74</v>
      </c>
      <c r="AC448" t="s">
        <v>74</v>
      </c>
      <c r="AD448" t="s">
        <v>74</v>
      </c>
      <c r="AE448" t="s">
        <v>74</v>
      </c>
      <c r="AF448" t="s">
        <v>74</v>
      </c>
      <c r="AG448">
        <v>129</v>
      </c>
      <c r="AH448">
        <v>23</v>
      </c>
      <c r="AI448">
        <v>23</v>
      </c>
      <c r="AJ448">
        <v>1</v>
      </c>
      <c r="AK448">
        <v>14</v>
      </c>
      <c r="AL448" t="s">
        <v>210</v>
      </c>
      <c r="AM448" t="s">
        <v>211</v>
      </c>
      <c r="AN448" t="s">
        <v>212</v>
      </c>
      <c r="AO448" t="s">
        <v>3845</v>
      </c>
      <c r="AP448" t="s">
        <v>3846</v>
      </c>
      <c r="AQ448" t="s">
        <v>74</v>
      </c>
      <c r="AR448" t="s">
        <v>3847</v>
      </c>
      <c r="AS448" t="s">
        <v>8767</v>
      </c>
      <c r="AT448" t="s">
        <v>8689</v>
      </c>
      <c r="AU448">
        <v>2018</v>
      </c>
      <c r="AV448">
        <v>63</v>
      </c>
      <c r="AW448" t="s">
        <v>8768</v>
      </c>
      <c r="AX448" t="s">
        <v>74</v>
      </c>
      <c r="AY448" t="s">
        <v>74</v>
      </c>
      <c r="AZ448" t="s">
        <v>74</v>
      </c>
      <c r="BA448" t="s">
        <v>74</v>
      </c>
      <c r="BB448">
        <v>2097</v>
      </c>
      <c r="BC448">
        <v>2123</v>
      </c>
      <c r="BD448" t="s">
        <v>74</v>
      </c>
      <c r="BE448" t="s">
        <v>8769</v>
      </c>
      <c r="BF448" t="str">
        <f>HYPERLINK("http://dx.doi.org/10.1080/02626667.2018.1554286","http://dx.doi.org/10.1080/02626667.2018.1554286")</f>
        <v>http://dx.doi.org/10.1080/02626667.2018.1554286</v>
      </c>
      <c r="BG448" t="s">
        <v>74</v>
      </c>
      <c r="BH448" t="s">
        <v>74</v>
      </c>
      <c r="BI448">
        <v>27</v>
      </c>
      <c r="BJ448" t="s">
        <v>3850</v>
      </c>
      <c r="BK448" t="s">
        <v>101</v>
      </c>
      <c r="BL448" t="s">
        <v>3850</v>
      </c>
      <c r="BM448" t="s">
        <v>8770</v>
      </c>
      <c r="BN448" t="s">
        <v>74</v>
      </c>
      <c r="BO448" t="s">
        <v>162</v>
      </c>
      <c r="BP448" t="s">
        <v>74</v>
      </c>
      <c r="BQ448" t="s">
        <v>74</v>
      </c>
      <c r="BR448" t="s">
        <v>104</v>
      </c>
      <c r="BS448" t="s">
        <v>8771</v>
      </c>
      <c r="BT448" t="str">
        <f>HYPERLINK("https%3A%2F%2Fwww.webofscience.com%2Fwos%2Fwoscc%2Ffull-record%2FWOS:000457697600006","View Full Record in Web of Science")</f>
        <v>View Full Record in Web of Science</v>
      </c>
    </row>
    <row r="449" spans="1:72" x14ac:dyDescent="0.15">
      <c r="A449" t="s">
        <v>72</v>
      </c>
      <c r="B449" t="s">
        <v>8772</v>
      </c>
      <c r="C449" t="s">
        <v>74</v>
      </c>
      <c r="D449" t="s">
        <v>74</v>
      </c>
      <c r="E449" t="s">
        <v>74</v>
      </c>
      <c r="F449" t="s">
        <v>8773</v>
      </c>
      <c r="G449" t="s">
        <v>74</v>
      </c>
      <c r="H449" t="s">
        <v>74</v>
      </c>
      <c r="I449" t="s">
        <v>8774</v>
      </c>
      <c r="J449" t="s">
        <v>7540</v>
      </c>
      <c r="K449" t="s">
        <v>74</v>
      </c>
      <c r="L449" t="s">
        <v>74</v>
      </c>
      <c r="M449" t="s">
        <v>78</v>
      </c>
      <c r="N449" t="s">
        <v>79</v>
      </c>
      <c r="O449" t="s">
        <v>74</v>
      </c>
      <c r="P449" t="s">
        <v>74</v>
      </c>
      <c r="Q449" t="s">
        <v>74</v>
      </c>
      <c r="R449" t="s">
        <v>74</v>
      </c>
      <c r="S449" t="s">
        <v>74</v>
      </c>
      <c r="T449" t="s">
        <v>8775</v>
      </c>
      <c r="U449" t="s">
        <v>8776</v>
      </c>
      <c r="V449" t="s">
        <v>8777</v>
      </c>
      <c r="W449" t="s">
        <v>8778</v>
      </c>
      <c r="X449" t="s">
        <v>8779</v>
      </c>
      <c r="Y449" t="s">
        <v>8780</v>
      </c>
      <c r="Z449" t="s">
        <v>8781</v>
      </c>
      <c r="AA449" t="s">
        <v>8782</v>
      </c>
      <c r="AB449" t="s">
        <v>8783</v>
      </c>
      <c r="AC449" t="s">
        <v>8784</v>
      </c>
      <c r="AD449" t="s">
        <v>8785</v>
      </c>
      <c r="AE449" t="s">
        <v>8786</v>
      </c>
      <c r="AF449" t="s">
        <v>74</v>
      </c>
      <c r="AG449">
        <v>88</v>
      </c>
      <c r="AH449">
        <v>18</v>
      </c>
      <c r="AI449">
        <v>23</v>
      </c>
      <c r="AJ449">
        <v>5</v>
      </c>
      <c r="AK449">
        <v>159</v>
      </c>
      <c r="AL449" t="s">
        <v>3290</v>
      </c>
      <c r="AM449" t="s">
        <v>2520</v>
      </c>
      <c r="AN449" t="s">
        <v>3291</v>
      </c>
      <c r="AO449" t="s">
        <v>7552</v>
      </c>
      <c r="AP449" t="s">
        <v>7553</v>
      </c>
      <c r="AQ449" t="s">
        <v>74</v>
      </c>
      <c r="AR449" t="s">
        <v>7554</v>
      </c>
      <c r="AS449" t="s">
        <v>7555</v>
      </c>
      <c r="AT449" t="s">
        <v>8689</v>
      </c>
      <c r="AU449">
        <v>2018</v>
      </c>
      <c r="AV449">
        <v>644</v>
      </c>
      <c r="AW449" t="s">
        <v>74</v>
      </c>
      <c r="AX449" t="s">
        <v>74</v>
      </c>
      <c r="AY449" t="s">
        <v>74</v>
      </c>
      <c r="AZ449" t="s">
        <v>74</v>
      </c>
      <c r="BA449" t="s">
        <v>74</v>
      </c>
      <c r="BB449">
        <v>439</v>
      </c>
      <c r="BC449">
        <v>451</v>
      </c>
      <c r="BD449" t="s">
        <v>74</v>
      </c>
      <c r="BE449" t="s">
        <v>8787</v>
      </c>
      <c r="BF449" t="str">
        <f>HYPERLINK("http://dx.doi.org/10.1016/j.scitotenv.2018.06.269","http://dx.doi.org/10.1016/j.scitotenv.2018.06.269")</f>
        <v>http://dx.doi.org/10.1016/j.scitotenv.2018.06.269</v>
      </c>
      <c r="BG449" t="s">
        <v>74</v>
      </c>
      <c r="BH449" t="s">
        <v>74</v>
      </c>
      <c r="BI449">
        <v>13</v>
      </c>
      <c r="BJ449" t="s">
        <v>798</v>
      </c>
      <c r="BK449" t="s">
        <v>101</v>
      </c>
      <c r="BL449" t="s">
        <v>799</v>
      </c>
      <c r="BM449" t="s">
        <v>8788</v>
      </c>
      <c r="BN449">
        <v>29981994</v>
      </c>
      <c r="BO449" t="s">
        <v>8789</v>
      </c>
      <c r="BP449" t="s">
        <v>74</v>
      </c>
      <c r="BQ449" t="s">
        <v>74</v>
      </c>
      <c r="BR449" t="s">
        <v>104</v>
      </c>
      <c r="BS449" t="s">
        <v>8790</v>
      </c>
      <c r="BT449" t="str">
        <f>HYPERLINK("https%3A%2F%2Fwww.webofscience.com%2Fwos%2Fwoscc%2Ffull-record%2FWOS:000445164000047","View Full Record in Web of Science")</f>
        <v>View Full Record in Web of Science</v>
      </c>
    </row>
    <row r="450" spans="1:72" x14ac:dyDescent="0.15">
      <c r="A450" t="s">
        <v>72</v>
      </c>
      <c r="B450" t="s">
        <v>8791</v>
      </c>
      <c r="C450" t="s">
        <v>74</v>
      </c>
      <c r="D450" t="s">
        <v>74</v>
      </c>
      <c r="E450" t="s">
        <v>74</v>
      </c>
      <c r="F450" t="s">
        <v>8792</v>
      </c>
      <c r="G450" t="s">
        <v>74</v>
      </c>
      <c r="H450" t="s">
        <v>74</v>
      </c>
      <c r="I450" t="s">
        <v>8793</v>
      </c>
      <c r="J450" t="s">
        <v>8794</v>
      </c>
      <c r="K450" t="s">
        <v>74</v>
      </c>
      <c r="L450" t="s">
        <v>74</v>
      </c>
      <c r="M450" t="s">
        <v>78</v>
      </c>
      <c r="N450" t="s">
        <v>79</v>
      </c>
      <c r="O450" t="s">
        <v>74</v>
      </c>
      <c r="P450" t="s">
        <v>74</v>
      </c>
      <c r="Q450" t="s">
        <v>74</v>
      </c>
      <c r="R450" t="s">
        <v>74</v>
      </c>
      <c r="S450" t="s">
        <v>74</v>
      </c>
      <c r="T450" t="s">
        <v>8795</v>
      </c>
      <c r="U450" t="s">
        <v>8796</v>
      </c>
      <c r="V450" t="s">
        <v>8797</v>
      </c>
      <c r="W450" t="s">
        <v>8798</v>
      </c>
      <c r="X450" t="s">
        <v>8799</v>
      </c>
      <c r="Y450" t="s">
        <v>8800</v>
      </c>
      <c r="Z450" t="s">
        <v>8801</v>
      </c>
      <c r="AA450" t="s">
        <v>8802</v>
      </c>
      <c r="AB450" t="s">
        <v>8803</v>
      </c>
      <c r="AC450" t="s">
        <v>8804</v>
      </c>
      <c r="AD450" t="s">
        <v>8805</v>
      </c>
      <c r="AE450" t="s">
        <v>8806</v>
      </c>
      <c r="AF450" t="s">
        <v>74</v>
      </c>
      <c r="AG450">
        <v>26</v>
      </c>
      <c r="AH450">
        <v>5</v>
      </c>
      <c r="AI450">
        <v>5</v>
      </c>
      <c r="AJ450">
        <v>0</v>
      </c>
      <c r="AK450">
        <v>17</v>
      </c>
      <c r="AL450" t="s">
        <v>8807</v>
      </c>
      <c r="AM450" t="s">
        <v>8808</v>
      </c>
      <c r="AN450" t="s">
        <v>8809</v>
      </c>
      <c r="AO450" t="s">
        <v>8810</v>
      </c>
      <c r="AP450" t="s">
        <v>8811</v>
      </c>
      <c r="AQ450" t="s">
        <v>74</v>
      </c>
      <c r="AR450" t="s">
        <v>8812</v>
      </c>
      <c r="AS450" t="s">
        <v>8813</v>
      </c>
      <c r="AT450" t="s">
        <v>8814</v>
      </c>
      <c r="AU450">
        <v>2018</v>
      </c>
      <c r="AV450">
        <v>51</v>
      </c>
      <c r="AW450" t="s">
        <v>74</v>
      </c>
      <c r="AX450" t="s">
        <v>74</v>
      </c>
      <c r="AY450" t="s">
        <v>74</v>
      </c>
      <c r="AZ450" t="s">
        <v>74</v>
      </c>
      <c r="BA450" t="s">
        <v>74</v>
      </c>
      <c r="BB450" t="s">
        <v>74</v>
      </c>
      <c r="BC450" t="s">
        <v>74</v>
      </c>
      <c r="BD450">
        <v>55</v>
      </c>
      <c r="BE450" t="s">
        <v>8815</v>
      </c>
      <c r="BF450" t="str">
        <f>HYPERLINK("http://dx.doi.org/10.1186/s40659-018-0206-3","http://dx.doi.org/10.1186/s40659-018-0206-3")</f>
        <v>http://dx.doi.org/10.1186/s40659-018-0206-3</v>
      </c>
      <c r="BG450" t="s">
        <v>74</v>
      </c>
      <c r="BH450" t="s">
        <v>74</v>
      </c>
      <c r="BI450">
        <v>7</v>
      </c>
      <c r="BJ450" t="s">
        <v>598</v>
      </c>
      <c r="BK450" t="s">
        <v>101</v>
      </c>
      <c r="BL450" t="s">
        <v>599</v>
      </c>
      <c r="BM450" t="s">
        <v>8816</v>
      </c>
      <c r="BN450">
        <v>30526684</v>
      </c>
      <c r="BO450" t="s">
        <v>221</v>
      </c>
      <c r="BP450" t="s">
        <v>74</v>
      </c>
      <c r="BQ450" t="s">
        <v>74</v>
      </c>
      <c r="BR450" t="s">
        <v>104</v>
      </c>
      <c r="BS450" t="s">
        <v>8817</v>
      </c>
      <c r="BT450" t="str">
        <f>HYPERLINK("https%3A%2F%2Fwww.webofscience.com%2Fwos%2Fwoscc%2Ffull-record%2FWOS:000452538200001","View Full Record in Web of Science")</f>
        <v>View Full Record in Web of Science</v>
      </c>
    </row>
    <row r="451" spans="1:72" x14ac:dyDescent="0.15">
      <c r="A451" t="s">
        <v>72</v>
      </c>
      <c r="B451" t="s">
        <v>8818</v>
      </c>
      <c r="C451" t="s">
        <v>74</v>
      </c>
      <c r="D451" t="s">
        <v>74</v>
      </c>
      <c r="E451" t="s">
        <v>74</v>
      </c>
      <c r="F451" t="s">
        <v>8819</v>
      </c>
      <c r="G451" t="s">
        <v>74</v>
      </c>
      <c r="H451" t="s">
        <v>74</v>
      </c>
      <c r="I451" t="s">
        <v>8820</v>
      </c>
      <c r="J451" t="s">
        <v>8821</v>
      </c>
      <c r="K451" t="s">
        <v>74</v>
      </c>
      <c r="L451" t="s">
        <v>74</v>
      </c>
      <c r="M451" t="s">
        <v>78</v>
      </c>
      <c r="N451" t="s">
        <v>79</v>
      </c>
      <c r="O451" t="s">
        <v>74</v>
      </c>
      <c r="P451" t="s">
        <v>74</v>
      </c>
      <c r="Q451" t="s">
        <v>74</v>
      </c>
      <c r="R451" t="s">
        <v>74</v>
      </c>
      <c r="S451" t="s">
        <v>74</v>
      </c>
      <c r="T451" t="s">
        <v>8822</v>
      </c>
      <c r="U451" t="s">
        <v>8823</v>
      </c>
      <c r="V451" t="s">
        <v>8824</v>
      </c>
      <c r="W451" t="s">
        <v>8825</v>
      </c>
      <c r="X451" t="s">
        <v>8826</v>
      </c>
      <c r="Y451" t="s">
        <v>8827</v>
      </c>
      <c r="Z451" t="s">
        <v>8828</v>
      </c>
      <c r="AA451" t="s">
        <v>8829</v>
      </c>
      <c r="AB451" t="s">
        <v>8830</v>
      </c>
      <c r="AC451" t="s">
        <v>8831</v>
      </c>
      <c r="AD451" t="s">
        <v>8832</v>
      </c>
      <c r="AE451" t="s">
        <v>8833</v>
      </c>
      <c r="AF451" t="s">
        <v>74</v>
      </c>
      <c r="AG451">
        <v>87</v>
      </c>
      <c r="AH451">
        <v>11</v>
      </c>
      <c r="AI451">
        <v>14</v>
      </c>
      <c r="AJ451">
        <v>1</v>
      </c>
      <c r="AK451">
        <v>25</v>
      </c>
      <c r="AL451" t="s">
        <v>7701</v>
      </c>
      <c r="AM451" t="s">
        <v>3008</v>
      </c>
      <c r="AN451" t="s">
        <v>7702</v>
      </c>
      <c r="AO451" t="s">
        <v>8834</v>
      </c>
      <c r="AP451" t="s">
        <v>8835</v>
      </c>
      <c r="AQ451" t="s">
        <v>74</v>
      </c>
      <c r="AR451" t="s">
        <v>8836</v>
      </c>
      <c r="AS451" t="s">
        <v>8837</v>
      </c>
      <c r="AT451" t="s">
        <v>8838</v>
      </c>
      <c r="AU451">
        <v>2018</v>
      </c>
      <c r="AV451">
        <v>430</v>
      </c>
      <c r="AW451">
        <v>24</v>
      </c>
      <c r="AX451" t="s">
        <v>74</v>
      </c>
      <c r="AY451" t="s">
        <v>74</v>
      </c>
      <c r="AZ451" t="s">
        <v>74</v>
      </c>
      <c r="BA451" t="s">
        <v>74</v>
      </c>
      <c r="BB451">
        <v>5151</v>
      </c>
      <c r="BC451">
        <v>5168</v>
      </c>
      <c r="BD451" t="s">
        <v>74</v>
      </c>
      <c r="BE451" t="s">
        <v>8839</v>
      </c>
      <c r="BF451" t="str">
        <f>HYPERLINK("http://dx.doi.org/10.1016/j.jmb.2018.10.023","http://dx.doi.org/10.1016/j.jmb.2018.10.023")</f>
        <v>http://dx.doi.org/10.1016/j.jmb.2018.10.023</v>
      </c>
      <c r="BG451" t="s">
        <v>74</v>
      </c>
      <c r="BH451" t="s">
        <v>74</v>
      </c>
      <c r="BI451">
        <v>18</v>
      </c>
      <c r="BJ451" t="s">
        <v>8840</v>
      </c>
      <c r="BK451" t="s">
        <v>101</v>
      </c>
      <c r="BL451" t="s">
        <v>8840</v>
      </c>
      <c r="BM451" t="s">
        <v>8841</v>
      </c>
      <c r="BN451">
        <v>30414964</v>
      </c>
      <c r="BO451" t="s">
        <v>3810</v>
      </c>
      <c r="BP451" t="s">
        <v>74</v>
      </c>
      <c r="BQ451" t="s">
        <v>74</v>
      </c>
      <c r="BR451" t="s">
        <v>104</v>
      </c>
      <c r="BS451" t="s">
        <v>8842</v>
      </c>
      <c r="BT451" t="str">
        <f>HYPERLINK("https%3A%2F%2Fwww.webofscience.com%2Fwos%2Fwoscc%2Ffull-record%2FWOS:000454377100023","View Full Record in Web of Science")</f>
        <v>View Full Record in Web of Science</v>
      </c>
    </row>
    <row r="452" spans="1:72" x14ac:dyDescent="0.15">
      <c r="A452" t="s">
        <v>72</v>
      </c>
      <c r="B452" t="s">
        <v>8843</v>
      </c>
      <c r="C452" t="s">
        <v>74</v>
      </c>
      <c r="D452" t="s">
        <v>74</v>
      </c>
      <c r="E452" t="s">
        <v>74</v>
      </c>
      <c r="F452" t="s">
        <v>8844</v>
      </c>
      <c r="G452" t="s">
        <v>74</v>
      </c>
      <c r="H452" t="s">
        <v>74</v>
      </c>
      <c r="I452" t="s">
        <v>8845</v>
      </c>
      <c r="J452" t="s">
        <v>8100</v>
      </c>
      <c r="K452" t="s">
        <v>74</v>
      </c>
      <c r="L452" t="s">
        <v>74</v>
      </c>
      <c r="M452" t="s">
        <v>78</v>
      </c>
      <c r="N452" t="s">
        <v>79</v>
      </c>
      <c r="O452" t="s">
        <v>74</v>
      </c>
      <c r="P452" t="s">
        <v>74</v>
      </c>
      <c r="Q452" t="s">
        <v>74</v>
      </c>
      <c r="R452" t="s">
        <v>74</v>
      </c>
      <c r="S452" t="s">
        <v>74</v>
      </c>
      <c r="T452" t="s">
        <v>74</v>
      </c>
      <c r="U452" t="s">
        <v>8846</v>
      </c>
      <c r="V452" t="s">
        <v>8847</v>
      </c>
      <c r="W452" t="s">
        <v>8848</v>
      </c>
      <c r="X452" t="s">
        <v>8849</v>
      </c>
      <c r="Y452" t="s">
        <v>8850</v>
      </c>
      <c r="Z452" t="s">
        <v>8851</v>
      </c>
      <c r="AA452" t="s">
        <v>8852</v>
      </c>
      <c r="AB452" t="s">
        <v>8853</v>
      </c>
      <c r="AC452" t="s">
        <v>8854</v>
      </c>
      <c r="AD452" t="s">
        <v>8855</v>
      </c>
      <c r="AE452" t="s">
        <v>8856</v>
      </c>
      <c r="AF452" t="s">
        <v>74</v>
      </c>
      <c r="AG452">
        <v>63</v>
      </c>
      <c r="AH452">
        <v>35</v>
      </c>
      <c r="AI452">
        <v>36</v>
      </c>
      <c r="AJ452">
        <v>0</v>
      </c>
      <c r="AK452">
        <v>6</v>
      </c>
      <c r="AL452" t="s">
        <v>7866</v>
      </c>
      <c r="AM452" t="s">
        <v>7867</v>
      </c>
      <c r="AN452" t="s">
        <v>7868</v>
      </c>
      <c r="AO452" t="s">
        <v>8112</v>
      </c>
      <c r="AP452" t="s">
        <v>8113</v>
      </c>
      <c r="AQ452" t="s">
        <v>74</v>
      </c>
      <c r="AR452" t="s">
        <v>8100</v>
      </c>
      <c r="AS452" t="s">
        <v>8114</v>
      </c>
      <c r="AT452" t="s">
        <v>8838</v>
      </c>
      <c r="AU452">
        <v>2018</v>
      </c>
      <c r="AV452">
        <v>12</v>
      </c>
      <c r="AW452">
        <v>12</v>
      </c>
      <c r="AX452" t="s">
        <v>74</v>
      </c>
      <c r="AY452" t="s">
        <v>74</v>
      </c>
      <c r="AZ452" t="s">
        <v>74</v>
      </c>
      <c r="BA452" t="s">
        <v>74</v>
      </c>
      <c r="BB452">
        <v>3827</v>
      </c>
      <c r="BC452">
        <v>3839</v>
      </c>
      <c r="BD452" t="s">
        <v>74</v>
      </c>
      <c r="BE452" t="s">
        <v>8857</v>
      </c>
      <c r="BF452" t="str">
        <f>HYPERLINK("http://dx.doi.org/10.5194/tc-12-3827-2018","http://dx.doi.org/10.5194/tc-12-3827-2018")</f>
        <v>http://dx.doi.org/10.5194/tc-12-3827-2018</v>
      </c>
      <c r="BG452" t="s">
        <v>74</v>
      </c>
      <c r="BH452" t="s">
        <v>74</v>
      </c>
      <c r="BI452">
        <v>13</v>
      </c>
      <c r="BJ452" t="s">
        <v>1480</v>
      </c>
      <c r="BK452" t="s">
        <v>101</v>
      </c>
      <c r="BL452" t="s">
        <v>1481</v>
      </c>
      <c r="BM452" t="s">
        <v>8858</v>
      </c>
      <c r="BN452" t="s">
        <v>74</v>
      </c>
      <c r="BO452" t="s">
        <v>8859</v>
      </c>
      <c r="BP452" t="s">
        <v>74</v>
      </c>
      <c r="BQ452" t="s">
        <v>74</v>
      </c>
      <c r="BR452" t="s">
        <v>104</v>
      </c>
      <c r="BS452" t="s">
        <v>8860</v>
      </c>
      <c r="BT452" t="str">
        <f>HYPERLINK("https%3A%2F%2Fwww.webofscience.com%2Fwos%2Fwoscc%2Ffull-record%2FWOS:000452411300001","View Full Record in Web of Science")</f>
        <v>View Full Record in Web of Science</v>
      </c>
    </row>
    <row r="453" spans="1:72" x14ac:dyDescent="0.15">
      <c r="A453" t="s">
        <v>72</v>
      </c>
      <c r="B453" t="s">
        <v>8861</v>
      </c>
      <c r="C453" t="s">
        <v>74</v>
      </c>
      <c r="D453" t="s">
        <v>74</v>
      </c>
      <c r="E453" t="s">
        <v>74</v>
      </c>
      <c r="F453" t="s">
        <v>8862</v>
      </c>
      <c r="G453" t="s">
        <v>74</v>
      </c>
      <c r="H453" t="s">
        <v>74</v>
      </c>
      <c r="I453" t="s">
        <v>8863</v>
      </c>
      <c r="J453" t="s">
        <v>8864</v>
      </c>
      <c r="K453" t="s">
        <v>74</v>
      </c>
      <c r="L453" t="s">
        <v>74</v>
      </c>
      <c r="M453" t="s">
        <v>78</v>
      </c>
      <c r="N453" t="s">
        <v>79</v>
      </c>
      <c r="O453" t="s">
        <v>74</v>
      </c>
      <c r="P453" t="s">
        <v>74</v>
      </c>
      <c r="Q453" t="s">
        <v>74</v>
      </c>
      <c r="R453" t="s">
        <v>74</v>
      </c>
      <c r="S453" t="s">
        <v>74</v>
      </c>
      <c r="T453" t="s">
        <v>8865</v>
      </c>
      <c r="U453" t="s">
        <v>8866</v>
      </c>
      <c r="V453" t="s">
        <v>8867</v>
      </c>
      <c r="W453" t="s">
        <v>8868</v>
      </c>
      <c r="X453" t="s">
        <v>8869</v>
      </c>
      <c r="Y453" t="s">
        <v>8870</v>
      </c>
      <c r="Z453" t="s">
        <v>8871</v>
      </c>
      <c r="AA453" t="s">
        <v>8872</v>
      </c>
      <c r="AB453" t="s">
        <v>8873</v>
      </c>
      <c r="AC453" t="s">
        <v>8874</v>
      </c>
      <c r="AD453" t="s">
        <v>8875</v>
      </c>
      <c r="AE453" t="s">
        <v>8876</v>
      </c>
      <c r="AF453" t="s">
        <v>74</v>
      </c>
      <c r="AG453">
        <v>76</v>
      </c>
      <c r="AH453">
        <v>110</v>
      </c>
      <c r="AI453">
        <v>115</v>
      </c>
      <c r="AJ453">
        <v>4</v>
      </c>
      <c r="AK453">
        <v>28</v>
      </c>
      <c r="AL453" t="s">
        <v>8877</v>
      </c>
      <c r="AM453" t="s">
        <v>8878</v>
      </c>
      <c r="AN453" t="s">
        <v>8879</v>
      </c>
      <c r="AO453" t="s">
        <v>8880</v>
      </c>
      <c r="AP453" t="s">
        <v>74</v>
      </c>
      <c r="AQ453" t="s">
        <v>74</v>
      </c>
      <c r="AR453" t="s">
        <v>8881</v>
      </c>
      <c r="AS453" t="s">
        <v>8882</v>
      </c>
      <c r="AT453" t="s">
        <v>8838</v>
      </c>
      <c r="AU453">
        <v>2018</v>
      </c>
      <c r="AV453">
        <v>6</v>
      </c>
      <c r="AW453" t="s">
        <v>74</v>
      </c>
      <c r="AX453" t="s">
        <v>74</v>
      </c>
      <c r="AY453" t="s">
        <v>74</v>
      </c>
      <c r="AZ453" t="s">
        <v>74</v>
      </c>
      <c r="BA453" t="s">
        <v>74</v>
      </c>
      <c r="BB453" t="s">
        <v>74</v>
      </c>
      <c r="BC453" t="s">
        <v>74</v>
      </c>
      <c r="BD453">
        <v>74</v>
      </c>
      <c r="BE453" t="s">
        <v>8883</v>
      </c>
      <c r="BF453" t="str">
        <f>HYPERLINK("http://dx.doi.org/10.1525/elementa.328","http://dx.doi.org/10.1525/elementa.328")</f>
        <v>http://dx.doi.org/10.1525/elementa.328</v>
      </c>
      <c r="BG453" t="s">
        <v>74</v>
      </c>
      <c r="BH453" t="s">
        <v>74</v>
      </c>
      <c r="BI453">
        <v>20</v>
      </c>
      <c r="BJ453" t="s">
        <v>2635</v>
      </c>
      <c r="BK453" t="s">
        <v>101</v>
      </c>
      <c r="BL453" t="s">
        <v>2636</v>
      </c>
      <c r="BM453" t="s">
        <v>8884</v>
      </c>
      <c r="BN453" t="s">
        <v>74</v>
      </c>
      <c r="BO453" t="s">
        <v>131</v>
      </c>
      <c r="BP453" t="s">
        <v>74</v>
      </c>
      <c r="BQ453" t="s">
        <v>74</v>
      </c>
      <c r="BR453" t="s">
        <v>104</v>
      </c>
      <c r="BS453" t="s">
        <v>8885</v>
      </c>
      <c r="BT453" t="str">
        <f>HYPERLINK("https%3A%2F%2Fwww.webofscience.com%2Fwos%2Fwoscc%2Ffull-record%2FWOS:000452473600002","View Full Record in Web of Science")</f>
        <v>View Full Record in Web of Science</v>
      </c>
    </row>
    <row r="454" spans="1:72" x14ac:dyDescent="0.15">
      <c r="A454" t="s">
        <v>72</v>
      </c>
      <c r="B454" t="s">
        <v>8886</v>
      </c>
      <c r="C454" t="s">
        <v>74</v>
      </c>
      <c r="D454" t="s">
        <v>74</v>
      </c>
      <c r="E454" t="s">
        <v>74</v>
      </c>
      <c r="F454" t="s">
        <v>8887</v>
      </c>
      <c r="G454" t="s">
        <v>74</v>
      </c>
      <c r="H454" t="s">
        <v>74</v>
      </c>
      <c r="I454" t="s">
        <v>8888</v>
      </c>
      <c r="J454" t="s">
        <v>7881</v>
      </c>
      <c r="K454" t="s">
        <v>74</v>
      </c>
      <c r="L454" t="s">
        <v>74</v>
      </c>
      <c r="M454" t="s">
        <v>78</v>
      </c>
      <c r="N454" t="s">
        <v>79</v>
      </c>
      <c r="O454" t="s">
        <v>74</v>
      </c>
      <c r="P454" t="s">
        <v>74</v>
      </c>
      <c r="Q454" t="s">
        <v>74</v>
      </c>
      <c r="R454" t="s">
        <v>74</v>
      </c>
      <c r="S454" t="s">
        <v>74</v>
      </c>
      <c r="T454" t="s">
        <v>74</v>
      </c>
      <c r="U454" t="s">
        <v>8889</v>
      </c>
      <c r="V454" t="s">
        <v>8890</v>
      </c>
      <c r="W454" t="s">
        <v>8891</v>
      </c>
      <c r="X454" t="s">
        <v>8892</v>
      </c>
      <c r="Y454" t="s">
        <v>8893</v>
      </c>
      <c r="Z454" t="s">
        <v>8894</v>
      </c>
      <c r="AA454" t="s">
        <v>8895</v>
      </c>
      <c r="AB454" t="s">
        <v>8896</v>
      </c>
      <c r="AC454" t="s">
        <v>8897</v>
      </c>
      <c r="AD454" t="s">
        <v>8898</v>
      </c>
      <c r="AE454" t="s">
        <v>8899</v>
      </c>
      <c r="AF454" t="s">
        <v>74</v>
      </c>
      <c r="AG454">
        <v>97</v>
      </c>
      <c r="AH454">
        <v>25</v>
      </c>
      <c r="AI454">
        <v>26</v>
      </c>
      <c r="AJ454">
        <v>0</v>
      </c>
      <c r="AK454">
        <v>6</v>
      </c>
      <c r="AL454" t="s">
        <v>7866</v>
      </c>
      <c r="AM454" t="s">
        <v>7867</v>
      </c>
      <c r="AN454" t="s">
        <v>7868</v>
      </c>
      <c r="AO454" t="s">
        <v>7893</v>
      </c>
      <c r="AP454" t="s">
        <v>7894</v>
      </c>
      <c r="AQ454" t="s">
        <v>74</v>
      </c>
      <c r="AR454" t="s">
        <v>7895</v>
      </c>
      <c r="AS454" t="s">
        <v>7896</v>
      </c>
      <c r="AT454" t="s">
        <v>8838</v>
      </c>
      <c r="AU454">
        <v>2018</v>
      </c>
      <c r="AV454">
        <v>11</v>
      </c>
      <c r="AW454">
        <v>12</v>
      </c>
      <c r="AX454" t="s">
        <v>74</v>
      </c>
      <c r="AY454" t="s">
        <v>74</v>
      </c>
      <c r="AZ454" t="s">
        <v>74</v>
      </c>
      <c r="BA454" t="s">
        <v>74</v>
      </c>
      <c r="BB454">
        <v>5003</v>
      </c>
      <c r="BC454">
        <v>5025</v>
      </c>
      <c r="BD454" t="s">
        <v>74</v>
      </c>
      <c r="BE454" t="s">
        <v>8900</v>
      </c>
      <c r="BF454" t="str">
        <f>HYPERLINK("http://dx.doi.org/10.5194/gmd-11-5003-2018","http://dx.doi.org/10.5194/gmd-11-5003-2018")</f>
        <v>http://dx.doi.org/10.5194/gmd-11-5003-2018</v>
      </c>
      <c r="BG454" t="s">
        <v>74</v>
      </c>
      <c r="BH454" t="s">
        <v>74</v>
      </c>
      <c r="BI454">
        <v>23</v>
      </c>
      <c r="BJ454" t="s">
        <v>884</v>
      </c>
      <c r="BK454" t="s">
        <v>101</v>
      </c>
      <c r="BL454" t="s">
        <v>528</v>
      </c>
      <c r="BM454" t="s">
        <v>8901</v>
      </c>
      <c r="BN454" t="s">
        <v>74</v>
      </c>
      <c r="BO454" t="s">
        <v>1556</v>
      </c>
      <c r="BP454" t="s">
        <v>74</v>
      </c>
      <c r="BQ454" t="s">
        <v>74</v>
      </c>
      <c r="BR454" t="s">
        <v>104</v>
      </c>
      <c r="BS454" t="s">
        <v>8902</v>
      </c>
      <c r="BT454" t="str">
        <f>HYPERLINK("https%3A%2F%2Fwww.webofscience.com%2Fwos%2Fwoscc%2Ffull-record%2FWOS:000452406400003","View Full Record in Web of Science")</f>
        <v>View Full Record in Web of Science</v>
      </c>
    </row>
    <row r="455" spans="1:72" x14ac:dyDescent="0.15">
      <c r="A455" t="s">
        <v>72</v>
      </c>
      <c r="B455" t="s">
        <v>8903</v>
      </c>
      <c r="C455" t="s">
        <v>74</v>
      </c>
      <c r="D455" t="s">
        <v>74</v>
      </c>
      <c r="E455" t="s">
        <v>74</v>
      </c>
      <c r="F455" t="s">
        <v>8904</v>
      </c>
      <c r="G455" t="s">
        <v>74</v>
      </c>
      <c r="H455" t="s">
        <v>74</v>
      </c>
      <c r="I455" t="s">
        <v>8905</v>
      </c>
      <c r="J455" t="s">
        <v>7713</v>
      </c>
      <c r="K455" t="s">
        <v>74</v>
      </c>
      <c r="L455" t="s">
        <v>74</v>
      </c>
      <c r="M455" t="s">
        <v>78</v>
      </c>
      <c r="N455" t="s">
        <v>79</v>
      </c>
      <c r="O455" t="s">
        <v>74</v>
      </c>
      <c r="P455" t="s">
        <v>74</v>
      </c>
      <c r="Q455" t="s">
        <v>74</v>
      </c>
      <c r="R455" t="s">
        <v>74</v>
      </c>
      <c r="S455" t="s">
        <v>74</v>
      </c>
      <c r="T455" t="s">
        <v>8906</v>
      </c>
      <c r="U455" t="s">
        <v>8907</v>
      </c>
      <c r="V455" t="s">
        <v>8908</v>
      </c>
      <c r="W455" t="s">
        <v>8909</v>
      </c>
      <c r="X455" t="s">
        <v>8910</v>
      </c>
      <c r="Y455" t="s">
        <v>8911</v>
      </c>
      <c r="Z455" t="s">
        <v>8912</v>
      </c>
      <c r="AA455" t="s">
        <v>74</v>
      </c>
      <c r="AB455" t="s">
        <v>8913</v>
      </c>
      <c r="AC455" t="s">
        <v>74</v>
      </c>
      <c r="AD455" t="s">
        <v>74</v>
      </c>
      <c r="AE455" t="s">
        <v>74</v>
      </c>
      <c r="AF455" t="s">
        <v>74</v>
      </c>
      <c r="AG455">
        <v>121</v>
      </c>
      <c r="AH455">
        <v>5</v>
      </c>
      <c r="AI455">
        <v>5</v>
      </c>
      <c r="AJ455">
        <v>0</v>
      </c>
      <c r="AK455">
        <v>15</v>
      </c>
      <c r="AL455" t="s">
        <v>7723</v>
      </c>
      <c r="AM455" t="s">
        <v>3008</v>
      </c>
      <c r="AN455" t="s">
        <v>7724</v>
      </c>
      <c r="AO455" t="s">
        <v>7725</v>
      </c>
      <c r="AP455" t="s">
        <v>74</v>
      </c>
      <c r="AQ455" t="s">
        <v>74</v>
      </c>
      <c r="AR455" t="s">
        <v>7726</v>
      </c>
      <c r="AS455" t="s">
        <v>7727</v>
      </c>
      <c r="AT455" t="s">
        <v>8838</v>
      </c>
      <c r="AU455">
        <v>2018</v>
      </c>
      <c r="AV455">
        <v>5</v>
      </c>
      <c r="AW455" t="s">
        <v>74</v>
      </c>
      <c r="AX455" t="s">
        <v>74</v>
      </c>
      <c r="AY455" t="s">
        <v>74</v>
      </c>
      <c r="AZ455" t="s">
        <v>74</v>
      </c>
      <c r="BA455" t="s">
        <v>74</v>
      </c>
      <c r="BB455" t="s">
        <v>74</v>
      </c>
      <c r="BC455" t="s">
        <v>74</v>
      </c>
      <c r="BD455" t="s">
        <v>74</v>
      </c>
      <c r="BE455" t="s">
        <v>8914</v>
      </c>
      <c r="BF455" t="str">
        <f>HYPERLINK("http://dx.doi.org/10.1186/s40645-018-0236-z","http://dx.doi.org/10.1186/s40645-018-0236-z")</f>
        <v>http://dx.doi.org/10.1186/s40645-018-0236-z</v>
      </c>
      <c r="BG455" t="s">
        <v>74</v>
      </c>
      <c r="BH455" t="s">
        <v>74</v>
      </c>
      <c r="BI455">
        <v>37</v>
      </c>
      <c r="BJ455" t="s">
        <v>884</v>
      </c>
      <c r="BK455" t="s">
        <v>101</v>
      </c>
      <c r="BL455" t="s">
        <v>528</v>
      </c>
      <c r="BM455" t="s">
        <v>8915</v>
      </c>
      <c r="BN455" t="s">
        <v>74</v>
      </c>
      <c r="BO455" t="s">
        <v>193</v>
      </c>
      <c r="BP455" t="s">
        <v>74</v>
      </c>
      <c r="BQ455" t="s">
        <v>74</v>
      </c>
      <c r="BR455" t="s">
        <v>104</v>
      </c>
      <c r="BS455" t="s">
        <v>8916</v>
      </c>
      <c r="BT455" t="str">
        <f>HYPERLINK("https%3A%2F%2Fwww.webofscience.com%2Fwos%2Fwoscc%2Ffull-record%2FWOS:000452740800001","View Full Record in Web of Science")</f>
        <v>View Full Record in Web of Science</v>
      </c>
    </row>
    <row r="456" spans="1:72" x14ac:dyDescent="0.15">
      <c r="A456" t="s">
        <v>72</v>
      </c>
      <c r="B456" t="s">
        <v>8917</v>
      </c>
      <c r="C456" t="s">
        <v>74</v>
      </c>
      <c r="D456" t="s">
        <v>74</v>
      </c>
      <c r="E456" t="s">
        <v>74</v>
      </c>
      <c r="F456" t="s">
        <v>8918</v>
      </c>
      <c r="G456" t="s">
        <v>74</v>
      </c>
      <c r="H456" t="s">
        <v>74</v>
      </c>
      <c r="I456" t="s">
        <v>8919</v>
      </c>
      <c r="J456" t="s">
        <v>8920</v>
      </c>
      <c r="K456" t="s">
        <v>74</v>
      </c>
      <c r="L456" t="s">
        <v>74</v>
      </c>
      <c r="M456" t="s">
        <v>78</v>
      </c>
      <c r="N456" t="s">
        <v>79</v>
      </c>
      <c r="O456" t="s">
        <v>74</v>
      </c>
      <c r="P456" t="s">
        <v>74</v>
      </c>
      <c r="Q456" t="s">
        <v>74</v>
      </c>
      <c r="R456" t="s">
        <v>74</v>
      </c>
      <c r="S456" t="s">
        <v>74</v>
      </c>
      <c r="T456" t="s">
        <v>74</v>
      </c>
      <c r="U456" t="s">
        <v>8921</v>
      </c>
      <c r="V456" t="s">
        <v>8922</v>
      </c>
      <c r="W456" t="s">
        <v>8923</v>
      </c>
      <c r="X456" t="s">
        <v>8924</v>
      </c>
      <c r="Y456" t="s">
        <v>8925</v>
      </c>
      <c r="Z456" t="s">
        <v>8926</v>
      </c>
      <c r="AA456" t="s">
        <v>8927</v>
      </c>
      <c r="AB456" t="s">
        <v>8928</v>
      </c>
      <c r="AC456" t="s">
        <v>8929</v>
      </c>
      <c r="AD456" t="s">
        <v>8930</v>
      </c>
      <c r="AE456" t="s">
        <v>8931</v>
      </c>
      <c r="AF456" t="s">
        <v>74</v>
      </c>
      <c r="AG456">
        <v>71</v>
      </c>
      <c r="AH456">
        <v>168</v>
      </c>
      <c r="AI456">
        <v>186</v>
      </c>
      <c r="AJ456">
        <v>21</v>
      </c>
      <c r="AK456">
        <v>251</v>
      </c>
      <c r="AL456" t="s">
        <v>8045</v>
      </c>
      <c r="AM456" t="s">
        <v>6186</v>
      </c>
      <c r="AN456" t="s">
        <v>6187</v>
      </c>
      <c r="AO456" t="s">
        <v>8932</v>
      </c>
      <c r="AP456" t="s">
        <v>8933</v>
      </c>
      <c r="AQ456" t="s">
        <v>74</v>
      </c>
      <c r="AR456" t="s">
        <v>8920</v>
      </c>
      <c r="AS456" t="s">
        <v>8934</v>
      </c>
      <c r="AT456" t="s">
        <v>8935</v>
      </c>
      <c r="AU456">
        <v>2018</v>
      </c>
      <c r="AV456">
        <v>564</v>
      </c>
      <c r="AW456">
        <v>7734</v>
      </c>
      <c r="AX456" t="s">
        <v>74</v>
      </c>
      <c r="AY456" t="s">
        <v>74</v>
      </c>
      <c r="AZ456" t="s">
        <v>74</v>
      </c>
      <c r="BA456" t="s">
        <v>74</v>
      </c>
      <c r="BB456">
        <v>53</v>
      </c>
      <c r="BC456" t="s">
        <v>642</v>
      </c>
      <c r="BD456" t="s">
        <v>74</v>
      </c>
      <c r="BE456" t="s">
        <v>8936</v>
      </c>
      <c r="BF456" t="str">
        <f>HYPERLINK("http://dx.doi.org/10.1038/s41586-018-0712-z","http://dx.doi.org/10.1038/s41586-018-0712-z")</f>
        <v>http://dx.doi.org/10.1038/s41586-018-0712-z</v>
      </c>
      <c r="BG456" t="s">
        <v>74</v>
      </c>
      <c r="BH456" t="s">
        <v>74</v>
      </c>
      <c r="BI456">
        <v>19</v>
      </c>
      <c r="BJ456" t="s">
        <v>855</v>
      </c>
      <c r="BK456" t="s">
        <v>101</v>
      </c>
      <c r="BL456" t="s">
        <v>856</v>
      </c>
      <c r="BM456" t="s">
        <v>8937</v>
      </c>
      <c r="BN456">
        <v>30455421</v>
      </c>
      <c r="BO456" t="s">
        <v>74</v>
      </c>
      <c r="BP456" t="s">
        <v>4786</v>
      </c>
      <c r="BQ456" t="s">
        <v>4787</v>
      </c>
      <c r="BR456" t="s">
        <v>104</v>
      </c>
      <c r="BS456" t="s">
        <v>8938</v>
      </c>
      <c r="BT456" t="str">
        <f>HYPERLINK("https%3A%2F%2Fwww.webofscience.com%2Fwos%2Fwoscc%2Ffull-record%2FWOS:000452269400039","View Full Record in Web of Science")</f>
        <v>View Full Record in Web of Science</v>
      </c>
    </row>
    <row r="457" spans="1:72" x14ac:dyDescent="0.15">
      <c r="A457" t="s">
        <v>72</v>
      </c>
      <c r="B457" t="s">
        <v>8939</v>
      </c>
      <c r="C457" t="s">
        <v>74</v>
      </c>
      <c r="D457" t="s">
        <v>74</v>
      </c>
      <c r="E457" t="s">
        <v>74</v>
      </c>
      <c r="F457" t="s">
        <v>8940</v>
      </c>
      <c r="G457" t="s">
        <v>74</v>
      </c>
      <c r="H457" t="s">
        <v>74</v>
      </c>
      <c r="I457" t="s">
        <v>8941</v>
      </c>
      <c r="J457" t="s">
        <v>8160</v>
      </c>
      <c r="K457" t="s">
        <v>74</v>
      </c>
      <c r="L457" t="s">
        <v>74</v>
      </c>
      <c r="M457" t="s">
        <v>78</v>
      </c>
      <c r="N457" t="s">
        <v>79</v>
      </c>
      <c r="O457" t="s">
        <v>74</v>
      </c>
      <c r="P457" t="s">
        <v>74</v>
      </c>
      <c r="Q457" t="s">
        <v>74</v>
      </c>
      <c r="R457" t="s">
        <v>74</v>
      </c>
      <c r="S457" t="s">
        <v>74</v>
      </c>
      <c r="T457" t="s">
        <v>8942</v>
      </c>
      <c r="U457" t="s">
        <v>8943</v>
      </c>
      <c r="V457" t="s">
        <v>8944</v>
      </c>
      <c r="W457" t="s">
        <v>8945</v>
      </c>
      <c r="X457" t="s">
        <v>6557</v>
      </c>
      <c r="Y457" t="s">
        <v>8946</v>
      </c>
      <c r="Z457" t="s">
        <v>8947</v>
      </c>
      <c r="AA457" t="s">
        <v>8948</v>
      </c>
      <c r="AB457" t="s">
        <v>74</v>
      </c>
      <c r="AC457" t="s">
        <v>8949</v>
      </c>
      <c r="AD457" t="s">
        <v>8950</v>
      </c>
      <c r="AE457" t="s">
        <v>8951</v>
      </c>
      <c r="AF457" t="s">
        <v>74</v>
      </c>
      <c r="AG457">
        <v>39</v>
      </c>
      <c r="AH457">
        <v>7</v>
      </c>
      <c r="AI457">
        <v>8</v>
      </c>
      <c r="AJ457">
        <v>0</v>
      </c>
      <c r="AK457">
        <v>13</v>
      </c>
      <c r="AL457" t="s">
        <v>8667</v>
      </c>
      <c r="AM457" t="s">
        <v>8668</v>
      </c>
      <c r="AN457" t="s">
        <v>8669</v>
      </c>
      <c r="AO457" t="s">
        <v>8169</v>
      </c>
      <c r="AP457" t="s">
        <v>8170</v>
      </c>
      <c r="AQ457" t="s">
        <v>74</v>
      </c>
      <c r="AR457" t="s">
        <v>8670</v>
      </c>
      <c r="AS457" t="s">
        <v>8172</v>
      </c>
      <c r="AT457" t="s">
        <v>8952</v>
      </c>
      <c r="AU457">
        <v>2018</v>
      </c>
      <c r="AV457">
        <v>37</v>
      </c>
      <c r="AW457">
        <v>1</v>
      </c>
      <c r="AX457" t="s">
        <v>74</v>
      </c>
      <c r="AY457" t="s">
        <v>74</v>
      </c>
      <c r="AZ457" t="s">
        <v>74</v>
      </c>
      <c r="BA457" t="s">
        <v>74</v>
      </c>
      <c r="BB457" t="s">
        <v>74</v>
      </c>
      <c r="BC457" t="s">
        <v>74</v>
      </c>
      <c r="BD457">
        <v>1521686</v>
      </c>
      <c r="BE457" t="s">
        <v>8953</v>
      </c>
      <c r="BF457" t="str">
        <f>HYPERLINK("http://dx.doi.org/10.1080/17518369.2018.1521686","http://dx.doi.org/10.1080/17518369.2018.1521686")</f>
        <v>http://dx.doi.org/10.1080/17518369.2018.1521686</v>
      </c>
      <c r="BG457" t="s">
        <v>74</v>
      </c>
      <c r="BH457" t="s">
        <v>74</v>
      </c>
      <c r="BI457">
        <v>9</v>
      </c>
      <c r="BJ457" t="s">
        <v>8175</v>
      </c>
      <c r="BK457" t="s">
        <v>101</v>
      </c>
      <c r="BL457" t="s">
        <v>8176</v>
      </c>
      <c r="BM457" t="s">
        <v>8954</v>
      </c>
      <c r="BN457" t="s">
        <v>74</v>
      </c>
      <c r="BO457" t="s">
        <v>8955</v>
      </c>
      <c r="BP457" t="s">
        <v>74</v>
      </c>
      <c r="BQ457" t="s">
        <v>74</v>
      </c>
      <c r="BR457" t="s">
        <v>104</v>
      </c>
      <c r="BS457" t="s">
        <v>8956</v>
      </c>
      <c r="BT457" t="str">
        <f>HYPERLINK("https%3A%2F%2Fwww.webofscience.com%2Fwos%2Fwoscc%2Ffull-record%2FWOS:000452698600001","View Full Record in Web of Science")</f>
        <v>View Full Record in Web of Science</v>
      </c>
    </row>
    <row r="458" spans="1:72" x14ac:dyDescent="0.15">
      <c r="A458" t="s">
        <v>72</v>
      </c>
      <c r="B458" t="s">
        <v>8957</v>
      </c>
      <c r="C458" t="s">
        <v>74</v>
      </c>
      <c r="D458" t="s">
        <v>74</v>
      </c>
      <c r="E458" t="s">
        <v>74</v>
      </c>
      <c r="F458" t="s">
        <v>8958</v>
      </c>
      <c r="G458" t="s">
        <v>74</v>
      </c>
      <c r="H458" t="s">
        <v>74</v>
      </c>
      <c r="I458" t="s">
        <v>8959</v>
      </c>
      <c r="J458" t="s">
        <v>8160</v>
      </c>
      <c r="K458" t="s">
        <v>74</v>
      </c>
      <c r="L458" t="s">
        <v>74</v>
      </c>
      <c r="M458" t="s">
        <v>78</v>
      </c>
      <c r="N458" t="s">
        <v>79</v>
      </c>
      <c r="O458" t="s">
        <v>74</v>
      </c>
      <c r="P458" t="s">
        <v>74</v>
      </c>
      <c r="Q458" t="s">
        <v>74</v>
      </c>
      <c r="R458" t="s">
        <v>74</v>
      </c>
      <c r="S458" t="s">
        <v>74</v>
      </c>
      <c r="T458" t="s">
        <v>8960</v>
      </c>
      <c r="U458" t="s">
        <v>8961</v>
      </c>
      <c r="V458" t="s">
        <v>8962</v>
      </c>
      <c r="W458" t="s">
        <v>8963</v>
      </c>
      <c r="X458" t="s">
        <v>8964</v>
      </c>
      <c r="Y458" t="s">
        <v>8965</v>
      </c>
      <c r="Z458" t="s">
        <v>8966</v>
      </c>
      <c r="AA458" t="s">
        <v>8967</v>
      </c>
      <c r="AB458" t="s">
        <v>8968</v>
      </c>
      <c r="AC458" t="s">
        <v>3555</v>
      </c>
      <c r="AD458" t="s">
        <v>3556</v>
      </c>
      <c r="AE458" t="s">
        <v>8969</v>
      </c>
      <c r="AF458" t="s">
        <v>74</v>
      </c>
      <c r="AG458">
        <v>89</v>
      </c>
      <c r="AH458">
        <v>10</v>
      </c>
      <c r="AI458">
        <v>10</v>
      </c>
      <c r="AJ458">
        <v>0</v>
      </c>
      <c r="AK458">
        <v>8</v>
      </c>
      <c r="AL458" t="s">
        <v>210</v>
      </c>
      <c r="AM458" t="s">
        <v>211</v>
      </c>
      <c r="AN458" t="s">
        <v>212</v>
      </c>
      <c r="AO458" t="s">
        <v>8169</v>
      </c>
      <c r="AP458" t="s">
        <v>8170</v>
      </c>
      <c r="AQ458" t="s">
        <v>74</v>
      </c>
      <c r="AR458" t="s">
        <v>8171</v>
      </c>
      <c r="AS458" t="s">
        <v>8172</v>
      </c>
      <c r="AT458" t="s">
        <v>8952</v>
      </c>
      <c r="AU458">
        <v>2018</v>
      </c>
      <c r="AV458">
        <v>37</v>
      </c>
      <c r="AW458">
        <v>1</v>
      </c>
      <c r="AX458" t="s">
        <v>74</v>
      </c>
      <c r="AY458" t="s">
        <v>74</v>
      </c>
      <c r="AZ458" t="s">
        <v>74</v>
      </c>
      <c r="BA458" t="s">
        <v>74</v>
      </c>
      <c r="BB458" t="s">
        <v>74</v>
      </c>
      <c r="BC458" t="s">
        <v>74</v>
      </c>
      <c r="BD458">
        <v>1495545</v>
      </c>
      <c r="BE458" t="s">
        <v>8970</v>
      </c>
      <c r="BF458" t="str">
        <f>HYPERLINK("http://dx.doi.org/10.1080/17518369.2018.1495545","http://dx.doi.org/10.1080/17518369.2018.1495545")</f>
        <v>http://dx.doi.org/10.1080/17518369.2018.1495545</v>
      </c>
      <c r="BG458" t="s">
        <v>74</v>
      </c>
      <c r="BH458" t="s">
        <v>74</v>
      </c>
      <c r="BI458">
        <v>15</v>
      </c>
      <c r="BJ458" t="s">
        <v>8175</v>
      </c>
      <c r="BK458" t="s">
        <v>101</v>
      </c>
      <c r="BL458" t="s">
        <v>8176</v>
      </c>
      <c r="BM458" t="s">
        <v>8971</v>
      </c>
      <c r="BN458" t="s">
        <v>74</v>
      </c>
      <c r="BO458" t="s">
        <v>131</v>
      </c>
      <c r="BP458" t="s">
        <v>74</v>
      </c>
      <c r="BQ458" t="s">
        <v>74</v>
      </c>
      <c r="BR458" t="s">
        <v>104</v>
      </c>
      <c r="BS458" t="s">
        <v>8972</v>
      </c>
      <c r="BT458" t="str">
        <f>HYPERLINK("https%3A%2F%2Fwww.webofscience.com%2Fwos%2Fwoscc%2Ffull-record%2FWOS:000452308600001","View Full Record in Web of Science")</f>
        <v>View Full Record in Web of Science</v>
      </c>
    </row>
    <row r="459" spans="1:72" x14ac:dyDescent="0.15">
      <c r="A459" t="s">
        <v>72</v>
      </c>
      <c r="B459" t="s">
        <v>8973</v>
      </c>
      <c r="C459" t="s">
        <v>74</v>
      </c>
      <c r="D459" t="s">
        <v>74</v>
      </c>
      <c r="E459" t="s">
        <v>74</v>
      </c>
      <c r="F459" t="s">
        <v>8974</v>
      </c>
      <c r="G459" t="s">
        <v>74</v>
      </c>
      <c r="H459" t="s">
        <v>74</v>
      </c>
      <c r="I459" t="s">
        <v>8975</v>
      </c>
      <c r="J459" t="s">
        <v>8976</v>
      </c>
      <c r="K459" t="s">
        <v>74</v>
      </c>
      <c r="L459" t="s">
        <v>74</v>
      </c>
      <c r="M459" t="s">
        <v>78</v>
      </c>
      <c r="N459" t="s">
        <v>79</v>
      </c>
      <c r="O459" t="s">
        <v>74</v>
      </c>
      <c r="P459" t="s">
        <v>74</v>
      </c>
      <c r="Q459" t="s">
        <v>74</v>
      </c>
      <c r="R459" t="s">
        <v>74</v>
      </c>
      <c r="S459" t="s">
        <v>74</v>
      </c>
      <c r="T459" t="s">
        <v>74</v>
      </c>
      <c r="U459" t="s">
        <v>8977</v>
      </c>
      <c r="V459" t="s">
        <v>8978</v>
      </c>
      <c r="W459" t="s">
        <v>8979</v>
      </c>
      <c r="X459" t="s">
        <v>8980</v>
      </c>
      <c r="Y459" t="s">
        <v>8981</v>
      </c>
      <c r="Z459" t="s">
        <v>8982</v>
      </c>
      <c r="AA459" t="s">
        <v>8983</v>
      </c>
      <c r="AB459" t="s">
        <v>8984</v>
      </c>
      <c r="AC459" t="s">
        <v>8985</v>
      </c>
      <c r="AD459" t="s">
        <v>2819</v>
      </c>
      <c r="AE459" t="s">
        <v>74</v>
      </c>
      <c r="AF459" t="s">
        <v>74</v>
      </c>
      <c r="AG459">
        <v>192</v>
      </c>
      <c r="AH459">
        <v>940</v>
      </c>
      <c r="AI459">
        <v>1027</v>
      </c>
      <c r="AJ459">
        <v>46</v>
      </c>
      <c r="AK459">
        <v>629</v>
      </c>
      <c r="AL459" t="s">
        <v>7866</v>
      </c>
      <c r="AM459" t="s">
        <v>7867</v>
      </c>
      <c r="AN459" t="s">
        <v>7868</v>
      </c>
      <c r="AO459" t="s">
        <v>8986</v>
      </c>
      <c r="AP459" t="s">
        <v>8987</v>
      </c>
      <c r="AQ459" t="s">
        <v>74</v>
      </c>
      <c r="AR459" t="s">
        <v>8988</v>
      </c>
      <c r="AS459" t="s">
        <v>8989</v>
      </c>
      <c r="AT459" t="s">
        <v>8952</v>
      </c>
      <c r="AU459">
        <v>2018</v>
      </c>
      <c r="AV459">
        <v>10</v>
      </c>
      <c r="AW459">
        <v>4</v>
      </c>
      <c r="AX459" t="s">
        <v>74</v>
      </c>
      <c r="AY459" t="s">
        <v>74</v>
      </c>
      <c r="AZ459" t="s">
        <v>74</v>
      </c>
      <c r="BA459" t="s">
        <v>74</v>
      </c>
      <c r="BB459">
        <v>2141</v>
      </c>
      <c r="BC459">
        <v>2194</v>
      </c>
      <c r="BD459" t="s">
        <v>74</v>
      </c>
      <c r="BE459" t="s">
        <v>8990</v>
      </c>
      <c r="BF459" t="str">
        <f>HYPERLINK("http://dx.doi.org/10.5194/essd-10-2141-2018","http://dx.doi.org/10.5194/essd-10-2141-2018")</f>
        <v>http://dx.doi.org/10.5194/essd-10-2141-2018</v>
      </c>
      <c r="BG459" t="s">
        <v>74</v>
      </c>
      <c r="BH459" t="s">
        <v>74</v>
      </c>
      <c r="BI459">
        <v>54</v>
      </c>
      <c r="BJ459" t="s">
        <v>7874</v>
      </c>
      <c r="BK459" t="s">
        <v>101</v>
      </c>
      <c r="BL459" t="s">
        <v>7875</v>
      </c>
      <c r="BM459" t="s">
        <v>8991</v>
      </c>
      <c r="BN459" t="s">
        <v>74</v>
      </c>
      <c r="BO459" t="s">
        <v>8992</v>
      </c>
      <c r="BP459" t="s">
        <v>4786</v>
      </c>
      <c r="BQ459" t="s">
        <v>4787</v>
      </c>
      <c r="BR459" t="s">
        <v>104</v>
      </c>
      <c r="BS459" t="s">
        <v>8993</v>
      </c>
      <c r="BT459" t="str">
        <f>HYPERLINK("https%3A%2F%2Fwww.webofscience.com%2Fwos%2Fwoscc%2Ffull-record%2FWOS:000452233700001","View Full Record in Web of Science")</f>
        <v>View Full Record in Web of Science</v>
      </c>
    </row>
    <row r="460" spans="1:72" x14ac:dyDescent="0.15">
      <c r="A460" t="s">
        <v>72</v>
      </c>
      <c r="B460" t="s">
        <v>8994</v>
      </c>
      <c r="C460" t="s">
        <v>74</v>
      </c>
      <c r="D460" t="s">
        <v>74</v>
      </c>
      <c r="E460" t="s">
        <v>74</v>
      </c>
      <c r="F460" t="s">
        <v>8995</v>
      </c>
      <c r="G460" t="s">
        <v>74</v>
      </c>
      <c r="H460" t="s">
        <v>74</v>
      </c>
      <c r="I460" t="s">
        <v>8996</v>
      </c>
      <c r="J460" t="s">
        <v>8997</v>
      </c>
      <c r="K460" t="s">
        <v>74</v>
      </c>
      <c r="L460" t="s">
        <v>74</v>
      </c>
      <c r="M460" t="s">
        <v>78</v>
      </c>
      <c r="N460" t="s">
        <v>79</v>
      </c>
      <c r="O460" t="s">
        <v>74</v>
      </c>
      <c r="P460" t="s">
        <v>74</v>
      </c>
      <c r="Q460" t="s">
        <v>74</v>
      </c>
      <c r="R460" t="s">
        <v>74</v>
      </c>
      <c r="S460" t="s">
        <v>74</v>
      </c>
      <c r="T460" t="s">
        <v>8998</v>
      </c>
      <c r="U460" t="s">
        <v>8999</v>
      </c>
      <c r="V460" t="s">
        <v>9000</v>
      </c>
      <c r="W460" t="s">
        <v>9001</v>
      </c>
      <c r="X460" t="s">
        <v>9002</v>
      </c>
      <c r="Y460" t="s">
        <v>9003</v>
      </c>
      <c r="Z460" t="s">
        <v>9004</v>
      </c>
      <c r="AA460" t="s">
        <v>9005</v>
      </c>
      <c r="AB460" t="s">
        <v>9006</v>
      </c>
      <c r="AC460" t="s">
        <v>9007</v>
      </c>
      <c r="AD460" t="s">
        <v>9008</v>
      </c>
      <c r="AE460" t="s">
        <v>9009</v>
      </c>
      <c r="AF460" t="s">
        <v>74</v>
      </c>
      <c r="AG460">
        <v>83</v>
      </c>
      <c r="AH460">
        <v>5</v>
      </c>
      <c r="AI460">
        <v>5</v>
      </c>
      <c r="AJ460">
        <v>1</v>
      </c>
      <c r="AK460">
        <v>31</v>
      </c>
      <c r="AL460" t="s">
        <v>3729</v>
      </c>
      <c r="AM460" t="s">
        <v>3353</v>
      </c>
      <c r="AN460" t="s">
        <v>3730</v>
      </c>
      <c r="AO460" t="s">
        <v>9010</v>
      </c>
      <c r="AP460" t="s">
        <v>9011</v>
      </c>
      <c r="AQ460" t="s">
        <v>74</v>
      </c>
      <c r="AR460" t="s">
        <v>9012</v>
      </c>
      <c r="AS460" t="s">
        <v>9013</v>
      </c>
      <c r="AT460" t="s">
        <v>9014</v>
      </c>
      <c r="AU460">
        <v>2018</v>
      </c>
      <c r="AV460">
        <v>122</v>
      </c>
      <c r="AW460">
        <v>7</v>
      </c>
      <c r="AX460" t="s">
        <v>74</v>
      </c>
      <c r="AY460" t="s">
        <v>74</v>
      </c>
      <c r="AZ460" t="s">
        <v>74</v>
      </c>
      <c r="BA460" t="s">
        <v>74</v>
      </c>
      <c r="BB460">
        <v>1263</v>
      </c>
      <c r="BC460">
        <v>1278</v>
      </c>
      <c r="BD460" t="s">
        <v>74</v>
      </c>
      <c r="BE460" t="s">
        <v>9015</v>
      </c>
      <c r="BF460" t="str">
        <f>HYPERLINK("http://dx.doi.org/10.1093/aob/mcy139","http://dx.doi.org/10.1093/aob/mcy139")</f>
        <v>http://dx.doi.org/10.1093/aob/mcy139</v>
      </c>
      <c r="BG460" t="s">
        <v>74</v>
      </c>
      <c r="BH460" t="s">
        <v>74</v>
      </c>
      <c r="BI460">
        <v>16</v>
      </c>
      <c r="BJ460" t="s">
        <v>720</v>
      </c>
      <c r="BK460" t="s">
        <v>101</v>
      </c>
      <c r="BL460" t="s">
        <v>720</v>
      </c>
      <c r="BM460" t="s">
        <v>9016</v>
      </c>
      <c r="BN460">
        <v>30052754</v>
      </c>
      <c r="BO460" t="s">
        <v>4470</v>
      </c>
      <c r="BP460" t="s">
        <v>74</v>
      </c>
      <c r="BQ460" t="s">
        <v>74</v>
      </c>
      <c r="BR460" t="s">
        <v>104</v>
      </c>
      <c r="BS460" t="s">
        <v>9017</v>
      </c>
      <c r="BT460" t="str">
        <f>HYPERLINK("https%3A%2F%2Fwww.webofscience.com%2Fwos%2Fwoscc%2Ffull-record%2FWOS:000457575500016","View Full Record in Web of Science")</f>
        <v>View Full Record in Web of Science</v>
      </c>
    </row>
    <row r="461" spans="1:72" x14ac:dyDescent="0.15">
      <c r="A461" t="s">
        <v>72</v>
      </c>
      <c r="B461" t="s">
        <v>9018</v>
      </c>
      <c r="C461" t="s">
        <v>74</v>
      </c>
      <c r="D461" t="s">
        <v>74</v>
      </c>
      <c r="E461" t="s">
        <v>74</v>
      </c>
      <c r="F461" t="s">
        <v>9019</v>
      </c>
      <c r="G461" t="s">
        <v>74</v>
      </c>
      <c r="H461" t="s">
        <v>74</v>
      </c>
      <c r="I461" t="s">
        <v>9020</v>
      </c>
      <c r="J461" t="s">
        <v>9021</v>
      </c>
      <c r="K461" t="s">
        <v>74</v>
      </c>
      <c r="L461" t="s">
        <v>74</v>
      </c>
      <c r="M461" t="s">
        <v>78</v>
      </c>
      <c r="N461" t="s">
        <v>79</v>
      </c>
      <c r="O461" t="s">
        <v>74</v>
      </c>
      <c r="P461" t="s">
        <v>74</v>
      </c>
      <c r="Q461" t="s">
        <v>74</v>
      </c>
      <c r="R461" t="s">
        <v>74</v>
      </c>
      <c r="S461" t="s">
        <v>74</v>
      </c>
      <c r="T461" t="s">
        <v>9022</v>
      </c>
      <c r="U461" t="s">
        <v>9023</v>
      </c>
      <c r="V461" t="s">
        <v>9024</v>
      </c>
      <c r="W461" t="s">
        <v>9025</v>
      </c>
      <c r="X461" t="s">
        <v>9026</v>
      </c>
      <c r="Y461" t="s">
        <v>9027</v>
      </c>
      <c r="Z461" t="s">
        <v>9028</v>
      </c>
      <c r="AA461" t="s">
        <v>74</v>
      </c>
      <c r="AB461" t="s">
        <v>9029</v>
      </c>
      <c r="AC461" t="s">
        <v>9030</v>
      </c>
      <c r="AD461" t="s">
        <v>9031</v>
      </c>
      <c r="AE461" t="s">
        <v>9032</v>
      </c>
      <c r="AF461" t="s">
        <v>74</v>
      </c>
      <c r="AG461">
        <v>93</v>
      </c>
      <c r="AH461">
        <v>22</v>
      </c>
      <c r="AI461">
        <v>22</v>
      </c>
      <c r="AJ461">
        <v>0</v>
      </c>
      <c r="AK461">
        <v>2</v>
      </c>
      <c r="AL461" t="s">
        <v>9033</v>
      </c>
      <c r="AM461" t="s">
        <v>3008</v>
      </c>
      <c r="AN461" t="s">
        <v>9034</v>
      </c>
      <c r="AO461" t="s">
        <v>9035</v>
      </c>
      <c r="AP461" t="s">
        <v>74</v>
      </c>
      <c r="AQ461" t="s">
        <v>74</v>
      </c>
      <c r="AR461" t="s">
        <v>9021</v>
      </c>
      <c r="AS461" t="s">
        <v>9036</v>
      </c>
      <c r="AT461" t="s">
        <v>9014</v>
      </c>
      <c r="AU461">
        <v>2018</v>
      </c>
      <c r="AV461">
        <v>6</v>
      </c>
      <c r="AW461" t="s">
        <v>74</v>
      </c>
      <c r="AX461" t="s">
        <v>74</v>
      </c>
      <c r="AY461" t="s">
        <v>74</v>
      </c>
      <c r="AZ461" t="s">
        <v>74</v>
      </c>
      <c r="BA461" t="s">
        <v>74</v>
      </c>
      <c r="BB461" t="s">
        <v>74</v>
      </c>
      <c r="BC461" t="s">
        <v>74</v>
      </c>
      <c r="BD461" t="s">
        <v>9037</v>
      </c>
      <c r="BE461" t="s">
        <v>9038</v>
      </c>
      <c r="BF461" t="str">
        <f>HYPERLINK("http://dx.doi.org/10.7717/peerj.6008","http://dx.doi.org/10.7717/peerj.6008")</f>
        <v>http://dx.doi.org/10.7717/peerj.6008</v>
      </c>
      <c r="BG461" t="s">
        <v>74</v>
      </c>
      <c r="BH461" t="s">
        <v>74</v>
      </c>
      <c r="BI461">
        <v>40</v>
      </c>
      <c r="BJ461" t="s">
        <v>855</v>
      </c>
      <c r="BK461" t="s">
        <v>101</v>
      </c>
      <c r="BL461" t="s">
        <v>856</v>
      </c>
      <c r="BM461" t="s">
        <v>9039</v>
      </c>
      <c r="BN461">
        <v>30533306</v>
      </c>
      <c r="BO461" t="s">
        <v>1693</v>
      </c>
      <c r="BP461" t="s">
        <v>74</v>
      </c>
      <c r="BQ461" t="s">
        <v>74</v>
      </c>
      <c r="BR461" t="s">
        <v>104</v>
      </c>
      <c r="BS461" t="s">
        <v>9040</v>
      </c>
      <c r="BT461" t="str">
        <f>HYPERLINK("https%3A%2F%2Fwww.webofscience.com%2Fwos%2Fwoscc%2Ffull-record%2FWOS:000452459800004","View Full Record in Web of Science")</f>
        <v>View Full Record in Web of Science</v>
      </c>
    </row>
    <row r="462" spans="1:72" x14ac:dyDescent="0.15">
      <c r="A462" t="s">
        <v>72</v>
      </c>
      <c r="B462" t="s">
        <v>9041</v>
      </c>
      <c r="C462" t="s">
        <v>74</v>
      </c>
      <c r="D462" t="s">
        <v>74</v>
      </c>
      <c r="E462" t="s">
        <v>74</v>
      </c>
      <c r="F462" t="s">
        <v>9042</v>
      </c>
      <c r="G462" t="s">
        <v>74</v>
      </c>
      <c r="H462" t="s">
        <v>74</v>
      </c>
      <c r="I462" t="s">
        <v>9043</v>
      </c>
      <c r="J462" t="s">
        <v>9044</v>
      </c>
      <c r="K462" t="s">
        <v>74</v>
      </c>
      <c r="L462" t="s">
        <v>74</v>
      </c>
      <c r="M462" t="s">
        <v>78</v>
      </c>
      <c r="N462" t="s">
        <v>79</v>
      </c>
      <c r="O462" t="s">
        <v>74</v>
      </c>
      <c r="P462" t="s">
        <v>74</v>
      </c>
      <c r="Q462" t="s">
        <v>74</v>
      </c>
      <c r="R462" t="s">
        <v>74</v>
      </c>
      <c r="S462" t="s">
        <v>74</v>
      </c>
      <c r="T462" t="s">
        <v>9045</v>
      </c>
      <c r="U462" t="s">
        <v>9046</v>
      </c>
      <c r="V462" t="s">
        <v>9047</v>
      </c>
      <c r="W462" t="s">
        <v>9048</v>
      </c>
      <c r="X462" t="s">
        <v>9049</v>
      </c>
      <c r="Y462" t="s">
        <v>9050</v>
      </c>
      <c r="Z462" t="s">
        <v>9051</v>
      </c>
      <c r="AA462" t="s">
        <v>9052</v>
      </c>
      <c r="AB462" t="s">
        <v>9053</v>
      </c>
      <c r="AC462" t="s">
        <v>9054</v>
      </c>
      <c r="AD462" t="s">
        <v>9055</v>
      </c>
      <c r="AE462" t="s">
        <v>9056</v>
      </c>
      <c r="AF462" t="s">
        <v>74</v>
      </c>
      <c r="AG462">
        <v>59</v>
      </c>
      <c r="AH462">
        <v>16</v>
      </c>
      <c r="AI462">
        <v>18</v>
      </c>
      <c r="AJ462">
        <v>1</v>
      </c>
      <c r="AK462">
        <v>13</v>
      </c>
      <c r="AL462" t="s">
        <v>7949</v>
      </c>
      <c r="AM462" t="s">
        <v>7950</v>
      </c>
      <c r="AN462" t="s">
        <v>7951</v>
      </c>
      <c r="AO462" t="s">
        <v>74</v>
      </c>
      <c r="AP462" t="s">
        <v>9057</v>
      </c>
      <c r="AQ462" t="s">
        <v>74</v>
      </c>
      <c r="AR462" t="s">
        <v>9058</v>
      </c>
      <c r="AS462" t="s">
        <v>9059</v>
      </c>
      <c r="AT462" t="s">
        <v>9060</v>
      </c>
      <c r="AU462">
        <v>2018</v>
      </c>
      <c r="AV462">
        <v>6</v>
      </c>
      <c r="AW462" t="s">
        <v>74</v>
      </c>
      <c r="AX462" t="s">
        <v>74</v>
      </c>
      <c r="AY462" t="s">
        <v>74</v>
      </c>
      <c r="AZ462" t="s">
        <v>74</v>
      </c>
      <c r="BA462" t="s">
        <v>74</v>
      </c>
      <c r="BB462" t="s">
        <v>74</v>
      </c>
      <c r="BC462" t="s">
        <v>74</v>
      </c>
      <c r="BD462">
        <v>207</v>
      </c>
      <c r="BE462" t="s">
        <v>9061</v>
      </c>
      <c r="BF462" t="str">
        <f>HYPERLINK("http://dx.doi.org/10.3389/feart.2018.00207","http://dx.doi.org/10.3389/feart.2018.00207")</f>
        <v>http://dx.doi.org/10.3389/feart.2018.00207</v>
      </c>
      <c r="BG462" t="s">
        <v>74</v>
      </c>
      <c r="BH462" t="s">
        <v>74</v>
      </c>
      <c r="BI462">
        <v>17</v>
      </c>
      <c r="BJ462" t="s">
        <v>884</v>
      </c>
      <c r="BK462" t="s">
        <v>101</v>
      </c>
      <c r="BL462" t="s">
        <v>528</v>
      </c>
      <c r="BM462" t="s">
        <v>9062</v>
      </c>
      <c r="BN462" t="s">
        <v>74</v>
      </c>
      <c r="BO462" t="s">
        <v>221</v>
      </c>
      <c r="BP462" t="s">
        <v>74</v>
      </c>
      <c r="BQ462" t="s">
        <v>74</v>
      </c>
      <c r="BR462" t="s">
        <v>104</v>
      </c>
      <c r="BS462" t="s">
        <v>9063</v>
      </c>
      <c r="BT462" t="str">
        <f>HYPERLINK("https%3A%2F%2Fwww.webofscience.com%2Fwos%2Fwoscc%2Ffull-record%2FWOS:000454144100001","View Full Record in Web of Science")</f>
        <v>View Full Record in Web of Science</v>
      </c>
    </row>
    <row r="463" spans="1:72" x14ac:dyDescent="0.15">
      <c r="A463" t="s">
        <v>72</v>
      </c>
      <c r="B463" t="s">
        <v>9064</v>
      </c>
      <c r="C463" t="s">
        <v>74</v>
      </c>
      <c r="D463" t="s">
        <v>74</v>
      </c>
      <c r="E463" t="s">
        <v>74</v>
      </c>
      <c r="F463" t="s">
        <v>9065</v>
      </c>
      <c r="G463" t="s">
        <v>74</v>
      </c>
      <c r="H463" t="s">
        <v>74</v>
      </c>
      <c r="I463" t="s">
        <v>9066</v>
      </c>
      <c r="J463" t="s">
        <v>9067</v>
      </c>
      <c r="K463" t="s">
        <v>74</v>
      </c>
      <c r="L463" t="s">
        <v>74</v>
      </c>
      <c r="M463" t="s">
        <v>78</v>
      </c>
      <c r="N463" t="s">
        <v>79</v>
      </c>
      <c r="O463" t="s">
        <v>74</v>
      </c>
      <c r="P463" t="s">
        <v>74</v>
      </c>
      <c r="Q463" t="s">
        <v>74</v>
      </c>
      <c r="R463" t="s">
        <v>74</v>
      </c>
      <c r="S463" t="s">
        <v>74</v>
      </c>
      <c r="T463" t="s">
        <v>74</v>
      </c>
      <c r="U463" t="s">
        <v>9068</v>
      </c>
      <c r="V463" t="s">
        <v>9069</v>
      </c>
      <c r="W463" t="s">
        <v>9070</v>
      </c>
      <c r="X463" t="s">
        <v>9071</v>
      </c>
      <c r="Y463" t="s">
        <v>9072</v>
      </c>
      <c r="Z463" t="s">
        <v>9073</v>
      </c>
      <c r="AA463" t="s">
        <v>9074</v>
      </c>
      <c r="AB463" t="s">
        <v>9075</v>
      </c>
      <c r="AC463" t="s">
        <v>9076</v>
      </c>
      <c r="AD463" t="s">
        <v>9077</v>
      </c>
      <c r="AE463" t="s">
        <v>9078</v>
      </c>
      <c r="AF463" t="s">
        <v>74</v>
      </c>
      <c r="AG463">
        <v>63</v>
      </c>
      <c r="AH463">
        <v>50</v>
      </c>
      <c r="AI463">
        <v>54</v>
      </c>
      <c r="AJ463">
        <v>0</v>
      </c>
      <c r="AK463">
        <v>10</v>
      </c>
      <c r="AL463" t="s">
        <v>7949</v>
      </c>
      <c r="AM463" t="s">
        <v>7950</v>
      </c>
      <c r="AN463" t="s">
        <v>7951</v>
      </c>
      <c r="AO463" t="s">
        <v>9079</v>
      </c>
      <c r="AP463" t="s">
        <v>74</v>
      </c>
      <c r="AQ463" t="s">
        <v>74</v>
      </c>
      <c r="AR463" t="s">
        <v>9080</v>
      </c>
      <c r="AS463" t="s">
        <v>9081</v>
      </c>
      <c r="AT463" t="s">
        <v>9060</v>
      </c>
      <c r="AU463">
        <v>2018</v>
      </c>
      <c r="AV463">
        <v>6</v>
      </c>
      <c r="AW463" t="s">
        <v>74</v>
      </c>
      <c r="AX463" t="s">
        <v>74</v>
      </c>
      <c r="AY463" t="s">
        <v>74</v>
      </c>
      <c r="AZ463" t="s">
        <v>74</v>
      </c>
      <c r="BA463" t="s">
        <v>74</v>
      </c>
      <c r="BB463" t="s">
        <v>74</v>
      </c>
      <c r="BC463" t="s">
        <v>74</v>
      </c>
      <c r="BD463">
        <v>185</v>
      </c>
      <c r="BE463" t="s">
        <v>9082</v>
      </c>
      <c r="BF463" t="str">
        <f>HYPERLINK("http://dx.doi.org/10.3389/fbioe.2018.00185","http://dx.doi.org/10.3389/fbioe.2018.00185")</f>
        <v>http://dx.doi.org/10.3389/fbioe.2018.00185</v>
      </c>
      <c r="BG463" t="s">
        <v>74</v>
      </c>
      <c r="BH463" t="s">
        <v>74</v>
      </c>
      <c r="BI463">
        <v>10</v>
      </c>
      <c r="BJ463" t="s">
        <v>9083</v>
      </c>
      <c r="BK463" t="s">
        <v>101</v>
      </c>
      <c r="BL463" t="s">
        <v>9084</v>
      </c>
      <c r="BM463" t="s">
        <v>9085</v>
      </c>
      <c r="BN463">
        <v>30560124</v>
      </c>
      <c r="BO463" t="s">
        <v>221</v>
      </c>
      <c r="BP463" t="s">
        <v>74</v>
      </c>
      <c r="BQ463" t="s">
        <v>74</v>
      </c>
      <c r="BR463" t="s">
        <v>104</v>
      </c>
      <c r="BS463" t="s">
        <v>9086</v>
      </c>
      <c r="BT463" t="str">
        <f>HYPERLINK("https%3A%2F%2Fwww.webofscience.com%2Fwos%2Fwoscc%2Ffull-record%2FWOS:000452139700001","View Full Record in Web of Science")</f>
        <v>View Full Record in Web of Science</v>
      </c>
    </row>
    <row r="464" spans="1:72" x14ac:dyDescent="0.15">
      <c r="A464" t="s">
        <v>72</v>
      </c>
      <c r="B464" t="s">
        <v>9087</v>
      </c>
      <c r="C464" t="s">
        <v>74</v>
      </c>
      <c r="D464" t="s">
        <v>74</v>
      </c>
      <c r="E464" t="s">
        <v>74</v>
      </c>
      <c r="F464" t="s">
        <v>9088</v>
      </c>
      <c r="G464" t="s">
        <v>74</v>
      </c>
      <c r="H464" t="s">
        <v>74</v>
      </c>
      <c r="I464" t="s">
        <v>9089</v>
      </c>
      <c r="J464" t="s">
        <v>8055</v>
      </c>
      <c r="K464" t="s">
        <v>74</v>
      </c>
      <c r="L464" t="s">
        <v>74</v>
      </c>
      <c r="M464" t="s">
        <v>78</v>
      </c>
      <c r="N464" t="s">
        <v>79</v>
      </c>
      <c r="O464" t="s">
        <v>74</v>
      </c>
      <c r="P464" t="s">
        <v>74</v>
      </c>
      <c r="Q464" t="s">
        <v>74</v>
      </c>
      <c r="R464" t="s">
        <v>74</v>
      </c>
      <c r="S464" t="s">
        <v>74</v>
      </c>
      <c r="T464" t="s">
        <v>9090</v>
      </c>
      <c r="U464" t="s">
        <v>9091</v>
      </c>
      <c r="V464" t="s">
        <v>9092</v>
      </c>
      <c r="W464" t="s">
        <v>9093</v>
      </c>
      <c r="X464" t="s">
        <v>9094</v>
      </c>
      <c r="Y464" t="s">
        <v>9095</v>
      </c>
      <c r="Z464" t="s">
        <v>9096</v>
      </c>
      <c r="AA464" t="s">
        <v>9097</v>
      </c>
      <c r="AB464" t="s">
        <v>9098</v>
      </c>
      <c r="AC464" t="s">
        <v>9099</v>
      </c>
      <c r="AD464" t="s">
        <v>9100</v>
      </c>
      <c r="AE464" t="s">
        <v>9101</v>
      </c>
      <c r="AF464" t="s">
        <v>74</v>
      </c>
      <c r="AG464">
        <v>75</v>
      </c>
      <c r="AH464">
        <v>38</v>
      </c>
      <c r="AI464">
        <v>40</v>
      </c>
      <c r="AJ464">
        <v>7</v>
      </c>
      <c r="AK464">
        <v>57</v>
      </c>
      <c r="AL464" t="s">
        <v>7949</v>
      </c>
      <c r="AM464" t="s">
        <v>7950</v>
      </c>
      <c r="AN464" t="s">
        <v>7951</v>
      </c>
      <c r="AO464" t="s">
        <v>74</v>
      </c>
      <c r="AP464" t="s">
        <v>8066</v>
      </c>
      <c r="AQ464" t="s">
        <v>74</v>
      </c>
      <c r="AR464" t="s">
        <v>8067</v>
      </c>
      <c r="AS464" t="s">
        <v>8068</v>
      </c>
      <c r="AT464" t="s">
        <v>9060</v>
      </c>
      <c r="AU464">
        <v>2018</v>
      </c>
      <c r="AV464">
        <v>9</v>
      </c>
      <c r="AW464" t="s">
        <v>74</v>
      </c>
      <c r="AX464" t="s">
        <v>74</v>
      </c>
      <c r="AY464" t="s">
        <v>74</v>
      </c>
      <c r="AZ464" t="s">
        <v>74</v>
      </c>
      <c r="BA464" t="s">
        <v>74</v>
      </c>
      <c r="BB464" t="s">
        <v>74</v>
      </c>
      <c r="BC464" t="s">
        <v>74</v>
      </c>
      <c r="BD464">
        <v>2981</v>
      </c>
      <c r="BE464" t="s">
        <v>9102</v>
      </c>
      <c r="BF464" t="str">
        <f>HYPERLINK("http://dx.doi.org/10.3389/fmicb.2018.02981","http://dx.doi.org/10.3389/fmicb.2018.02981")</f>
        <v>http://dx.doi.org/10.3389/fmicb.2018.02981</v>
      </c>
      <c r="BG464" t="s">
        <v>74</v>
      </c>
      <c r="BH464" t="s">
        <v>74</v>
      </c>
      <c r="BI464">
        <v>17</v>
      </c>
      <c r="BJ464" t="s">
        <v>4119</v>
      </c>
      <c r="BK464" t="s">
        <v>101</v>
      </c>
      <c r="BL464" t="s">
        <v>4119</v>
      </c>
      <c r="BM464" t="s">
        <v>9103</v>
      </c>
      <c r="BN464">
        <v>30559737</v>
      </c>
      <c r="BO464" t="s">
        <v>7920</v>
      </c>
      <c r="BP464" t="s">
        <v>74</v>
      </c>
      <c r="BQ464" t="s">
        <v>74</v>
      </c>
      <c r="BR464" t="s">
        <v>104</v>
      </c>
      <c r="BS464" t="s">
        <v>9104</v>
      </c>
      <c r="BT464" t="str">
        <f>HYPERLINK("https%3A%2F%2Fwww.webofscience.com%2Fwos%2Fwoscc%2Ffull-record%2FWOS:000451944900001","View Full Record in Web of Science")</f>
        <v>View Full Record in Web of Science</v>
      </c>
    </row>
    <row r="465" spans="1:72" x14ac:dyDescent="0.15">
      <c r="A465" t="s">
        <v>72</v>
      </c>
      <c r="B465" t="s">
        <v>9105</v>
      </c>
      <c r="C465" t="s">
        <v>74</v>
      </c>
      <c r="D465" t="s">
        <v>74</v>
      </c>
      <c r="E465" t="s">
        <v>74</v>
      </c>
      <c r="F465" t="s">
        <v>9106</v>
      </c>
      <c r="G465" t="s">
        <v>74</v>
      </c>
      <c r="H465" t="s">
        <v>74</v>
      </c>
      <c r="I465" t="s">
        <v>9107</v>
      </c>
      <c r="J465" t="s">
        <v>9108</v>
      </c>
      <c r="K465" t="s">
        <v>74</v>
      </c>
      <c r="L465" t="s">
        <v>74</v>
      </c>
      <c r="M465" t="s">
        <v>78</v>
      </c>
      <c r="N465" t="s">
        <v>79</v>
      </c>
      <c r="O465" t="s">
        <v>74</v>
      </c>
      <c r="P465" t="s">
        <v>74</v>
      </c>
      <c r="Q465" t="s">
        <v>74</v>
      </c>
      <c r="R465" t="s">
        <v>74</v>
      </c>
      <c r="S465" t="s">
        <v>74</v>
      </c>
      <c r="T465" t="s">
        <v>9109</v>
      </c>
      <c r="U465" t="s">
        <v>9110</v>
      </c>
      <c r="V465" t="s">
        <v>9111</v>
      </c>
      <c r="W465" t="s">
        <v>9112</v>
      </c>
      <c r="X465" t="s">
        <v>9113</v>
      </c>
      <c r="Y465" t="s">
        <v>9114</v>
      </c>
      <c r="Z465" t="s">
        <v>9115</v>
      </c>
      <c r="AA465" t="s">
        <v>9116</v>
      </c>
      <c r="AB465" t="s">
        <v>9117</v>
      </c>
      <c r="AC465" t="s">
        <v>9118</v>
      </c>
      <c r="AD465" t="s">
        <v>9118</v>
      </c>
      <c r="AE465" t="s">
        <v>9119</v>
      </c>
      <c r="AF465" t="s">
        <v>74</v>
      </c>
      <c r="AG465">
        <v>102</v>
      </c>
      <c r="AH465">
        <v>20</v>
      </c>
      <c r="AI465">
        <v>21</v>
      </c>
      <c r="AJ465">
        <v>0</v>
      </c>
      <c r="AK465">
        <v>10</v>
      </c>
      <c r="AL465" t="s">
        <v>7949</v>
      </c>
      <c r="AM465" t="s">
        <v>7950</v>
      </c>
      <c r="AN465" t="s">
        <v>7951</v>
      </c>
      <c r="AO465" t="s">
        <v>9120</v>
      </c>
      <c r="AP465" t="s">
        <v>74</v>
      </c>
      <c r="AQ465" t="s">
        <v>74</v>
      </c>
      <c r="AR465" t="s">
        <v>9121</v>
      </c>
      <c r="AS465" t="s">
        <v>9122</v>
      </c>
      <c r="AT465" t="s">
        <v>9060</v>
      </c>
      <c r="AU465">
        <v>2018</v>
      </c>
      <c r="AV465">
        <v>5</v>
      </c>
      <c r="AW465" t="s">
        <v>74</v>
      </c>
      <c r="AX465" t="s">
        <v>74</v>
      </c>
      <c r="AY465" t="s">
        <v>74</v>
      </c>
      <c r="AZ465" t="s">
        <v>74</v>
      </c>
      <c r="BA465" t="s">
        <v>74</v>
      </c>
      <c r="BB465" t="s">
        <v>74</v>
      </c>
      <c r="BC465" t="s">
        <v>74</v>
      </c>
      <c r="BD465">
        <v>118</v>
      </c>
      <c r="BE465" t="s">
        <v>9123</v>
      </c>
      <c r="BF465" t="str">
        <f>HYPERLINK("http://dx.doi.org/10.3389/fnut.2018.00118","http://dx.doi.org/10.3389/fnut.2018.00118")</f>
        <v>http://dx.doi.org/10.3389/fnut.2018.00118</v>
      </c>
      <c r="BG465" t="s">
        <v>74</v>
      </c>
      <c r="BH465" t="s">
        <v>74</v>
      </c>
      <c r="BI465">
        <v>14</v>
      </c>
      <c r="BJ465" t="s">
        <v>9124</v>
      </c>
      <c r="BK465" t="s">
        <v>101</v>
      </c>
      <c r="BL465" t="s">
        <v>9124</v>
      </c>
      <c r="BM465" t="s">
        <v>9125</v>
      </c>
      <c r="BN465">
        <v>30560133</v>
      </c>
      <c r="BO465" t="s">
        <v>7920</v>
      </c>
      <c r="BP465" t="s">
        <v>74</v>
      </c>
      <c r="BQ465" t="s">
        <v>74</v>
      </c>
      <c r="BR465" t="s">
        <v>104</v>
      </c>
      <c r="BS465" t="s">
        <v>9126</v>
      </c>
      <c r="BT465" t="str">
        <f>HYPERLINK("https%3A%2F%2Fwww.webofscience.com%2Fwos%2Fwoscc%2Ffull-record%2FWOS:000451953300001","View Full Record in Web of Science")</f>
        <v>View Full Record in Web of Science</v>
      </c>
    </row>
    <row r="466" spans="1:72" x14ac:dyDescent="0.15">
      <c r="A466" t="s">
        <v>72</v>
      </c>
      <c r="B466" t="s">
        <v>9127</v>
      </c>
      <c r="C466" t="s">
        <v>74</v>
      </c>
      <c r="D466" t="s">
        <v>74</v>
      </c>
      <c r="E466" t="s">
        <v>74</v>
      </c>
      <c r="F466" t="s">
        <v>9128</v>
      </c>
      <c r="G466" t="s">
        <v>74</v>
      </c>
      <c r="H466" t="s">
        <v>74</v>
      </c>
      <c r="I466" t="s">
        <v>9129</v>
      </c>
      <c r="J466" t="s">
        <v>9130</v>
      </c>
      <c r="K466" t="s">
        <v>74</v>
      </c>
      <c r="L466" t="s">
        <v>74</v>
      </c>
      <c r="M466" t="s">
        <v>78</v>
      </c>
      <c r="N466" t="s">
        <v>79</v>
      </c>
      <c r="O466" t="s">
        <v>74</v>
      </c>
      <c r="P466" t="s">
        <v>74</v>
      </c>
      <c r="Q466" t="s">
        <v>74</v>
      </c>
      <c r="R466" t="s">
        <v>74</v>
      </c>
      <c r="S466" t="s">
        <v>74</v>
      </c>
      <c r="T466" t="s">
        <v>9131</v>
      </c>
      <c r="U466" t="s">
        <v>9132</v>
      </c>
      <c r="V466" t="s">
        <v>9133</v>
      </c>
      <c r="W466" t="s">
        <v>9134</v>
      </c>
      <c r="X466" t="s">
        <v>9135</v>
      </c>
      <c r="Y466" t="s">
        <v>9136</v>
      </c>
      <c r="Z466" t="s">
        <v>9137</v>
      </c>
      <c r="AA466" t="s">
        <v>9138</v>
      </c>
      <c r="AB466" t="s">
        <v>9139</v>
      </c>
      <c r="AC466" t="s">
        <v>9140</v>
      </c>
      <c r="AD466" t="s">
        <v>9140</v>
      </c>
      <c r="AE466" t="s">
        <v>9141</v>
      </c>
      <c r="AF466" t="s">
        <v>74</v>
      </c>
      <c r="AG466">
        <v>108</v>
      </c>
      <c r="AH466">
        <v>14</v>
      </c>
      <c r="AI466">
        <v>15</v>
      </c>
      <c r="AJ466">
        <v>1</v>
      </c>
      <c r="AK466">
        <v>10</v>
      </c>
      <c r="AL466" t="s">
        <v>9142</v>
      </c>
      <c r="AM466" t="s">
        <v>9143</v>
      </c>
      <c r="AN466" t="s">
        <v>9144</v>
      </c>
      <c r="AO466" t="s">
        <v>74</v>
      </c>
      <c r="AP466" t="s">
        <v>9145</v>
      </c>
      <c r="AQ466" t="s">
        <v>74</v>
      </c>
      <c r="AR466" t="s">
        <v>9146</v>
      </c>
      <c r="AS466" t="s">
        <v>9147</v>
      </c>
      <c r="AT466" t="s">
        <v>9060</v>
      </c>
      <c r="AU466">
        <v>2018</v>
      </c>
      <c r="AV466">
        <v>18</v>
      </c>
      <c r="AW466">
        <v>6</v>
      </c>
      <c r="AX466" t="s">
        <v>74</v>
      </c>
      <c r="AY466" t="s">
        <v>74</v>
      </c>
      <c r="AZ466" t="s">
        <v>74</v>
      </c>
      <c r="BA466" t="s">
        <v>74</v>
      </c>
      <c r="BB466" t="s">
        <v>74</v>
      </c>
      <c r="BC466" t="s">
        <v>74</v>
      </c>
      <c r="BD466">
        <v>13</v>
      </c>
      <c r="BE466" t="s">
        <v>9148</v>
      </c>
      <c r="BF466" t="str">
        <f>HYPERLINK("http://dx.doi.org/10.1093/jisesa/iey121","http://dx.doi.org/10.1093/jisesa/iey121")</f>
        <v>http://dx.doi.org/10.1093/jisesa/iey121</v>
      </c>
      <c r="BG466" t="s">
        <v>74</v>
      </c>
      <c r="BH466" t="s">
        <v>74</v>
      </c>
      <c r="BI466">
        <v>10</v>
      </c>
      <c r="BJ466" t="s">
        <v>9149</v>
      </c>
      <c r="BK466" t="s">
        <v>101</v>
      </c>
      <c r="BL466" t="s">
        <v>9149</v>
      </c>
      <c r="BM466" t="s">
        <v>9150</v>
      </c>
      <c r="BN466">
        <v>30508202</v>
      </c>
      <c r="BO466" t="s">
        <v>221</v>
      </c>
      <c r="BP466" t="s">
        <v>74</v>
      </c>
      <c r="BQ466" t="s">
        <v>74</v>
      </c>
      <c r="BR466" t="s">
        <v>104</v>
      </c>
      <c r="BS466" t="s">
        <v>9151</v>
      </c>
      <c r="BT466" t="str">
        <f>HYPERLINK("https%3A%2F%2Fwww.webofscience.com%2Fwos%2Fwoscc%2Ffull-record%2FWOS:000453065800003","View Full Record in Web of Science")</f>
        <v>View Full Record in Web of Science</v>
      </c>
    </row>
    <row r="467" spans="1:72" x14ac:dyDescent="0.15">
      <c r="A467" t="s">
        <v>72</v>
      </c>
      <c r="B467" t="s">
        <v>9152</v>
      </c>
      <c r="C467" t="s">
        <v>74</v>
      </c>
      <c r="D467" t="s">
        <v>74</v>
      </c>
      <c r="E467" t="s">
        <v>74</v>
      </c>
      <c r="F467" t="s">
        <v>9153</v>
      </c>
      <c r="G467" t="s">
        <v>74</v>
      </c>
      <c r="H467" t="s">
        <v>74</v>
      </c>
      <c r="I467" t="s">
        <v>9154</v>
      </c>
      <c r="J467" t="s">
        <v>9155</v>
      </c>
      <c r="K467" t="s">
        <v>74</v>
      </c>
      <c r="L467" t="s">
        <v>74</v>
      </c>
      <c r="M467" t="s">
        <v>78</v>
      </c>
      <c r="N467" t="s">
        <v>79</v>
      </c>
      <c r="O467" t="s">
        <v>74</v>
      </c>
      <c r="P467" t="s">
        <v>74</v>
      </c>
      <c r="Q467" t="s">
        <v>74</v>
      </c>
      <c r="R467" t="s">
        <v>74</v>
      </c>
      <c r="S467" t="s">
        <v>74</v>
      </c>
      <c r="T467" t="s">
        <v>9156</v>
      </c>
      <c r="U467" t="s">
        <v>9157</v>
      </c>
      <c r="V467" t="s">
        <v>9158</v>
      </c>
      <c r="W467" t="s">
        <v>9159</v>
      </c>
      <c r="X467" t="s">
        <v>9160</v>
      </c>
      <c r="Y467" t="s">
        <v>9161</v>
      </c>
      <c r="Z467" t="s">
        <v>9162</v>
      </c>
      <c r="AA467" t="s">
        <v>9163</v>
      </c>
      <c r="AB467" t="s">
        <v>9164</v>
      </c>
      <c r="AC467" t="s">
        <v>9165</v>
      </c>
      <c r="AD467" t="s">
        <v>9166</v>
      </c>
      <c r="AE467" t="s">
        <v>9167</v>
      </c>
      <c r="AF467" t="s">
        <v>74</v>
      </c>
      <c r="AG467">
        <v>82</v>
      </c>
      <c r="AH467">
        <v>78</v>
      </c>
      <c r="AI467">
        <v>81</v>
      </c>
      <c r="AJ467">
        <v>3</v>
      </c>
      <c r="AK467">
        <v>29</v>
      </c>
      <c r="AL467" t="s">
        <v>210</v>
      </c>
      <c r="AM467" t="s">
        <v>211</v>
      </c>
      <c r="AN467" t="s">
        <v>212</v>
      </c>
      <c r="AO467" t="s">
        <v>9168</v>
      </c>
      <c r="AP467" t="s">
        <v>9169</v>
      </c>
      <c r="AQ467" t="s">
        <v>74</v>
      </c>
      <c r="AR467" t="s">
        <v>9170</v>
      </c>
      <c r="AS467" t="s">
        <v>9171</v>
      </c>
      <c r="AT467" t="s">
        <v>9172</v>
      </c>
      <c r="AU467">
        <v>2018</v>
      </c>
      <c r="AV467">
        <v>33</v>
      </c>
      <c r="AW467">
        <v>12</v>
      </c>
      <c r="AX467" t="s">
        <v>74</v>
      </c>
      <c r="AY467" t="s">
        <v>74</v>
      </c>
      <c r="AZ467" t="s">
        <v>74</v>
      </c>
      <c r="BA467" t="s">
        <v>74</v>
      </c>
      <c r="BB467">
        <v>1281</v>
      </c>
      <c r="BC467">
        <v>1306</v>
      </c>
      <c r="BD467" t="s">
        <v>74</v>
      </c>
      <c r="BE467" t="s">
        <v>9173</v>
      </c>
      <c r="BF467" t="str">
        <f>HYPERLINK("http://dx.doi.org/10.1080/10106049.2017.1347207","http://dx.doi.org/10.1080/10106049.2017.1347207")</f>
        <v>http://dx.doi.org/10.1080/10106049.2017.1347207</v>
      </c>
      <c r="BG467" t="s">
        <v>74</v>
      </c>
      <c r="BH467" t="s">
        <v>74</v>
      </c>
      <c r="BI467">
        <v>26</v>
      </c>
      <c r="BJ467" t="s">
        <v>4761</v>
      </c>
      <c r="BK467" t="s">
        <v>101</v>
      </c>
      <c r="BL467" t="s">
        <v>4762</v>
      </c>
      <c r="BM467" t="s">
        <v>9174</v>
      </c>
      <c r="BN467" t="s">
        <v>74</v>
      </c>
      <c r="BO467" t="s">
        <v>74</v>
      </c>
      <c r="BP467" t="s">
        <v>74</v>
      </c>
      <c r="BQ467" t="s">
        <v>74</v>
      </c>
      <c r="BR467" t="s">
        <v>104</v>
      </c>
      <c r="BS467" t="s">
        <v>9175</v>
      </c>
      <c r="BT467" t="str">
        <f>HYPERLINK("https%3A%2F%2Fwww.webofscience.com%2Fwos%2Fwoscc%2Ffull-record%2FWOS:000451689000001","View Full Record in Web of Science")</f>
        <v>View Full Record in Web of Science</v>
      </c>
    </row>
    <row r="468" spans="1:72" x14ac:dyDescent="0.15">
      <c r="A468" t="s">
        <v>72</v>
      </c>
      <c r="B468" t="s">
        <v>9176</v>
      </c>
      <c r="C468" t="s">
        <v>74</v>
      </c>
      <c r="D468" t="s">
        <v>74</v>
      </c>
      <c r="E468" t="s">
        <v>74</v>
      </c>
      <c r="F468" t="s">
        <v>9177</v>
      </c>
      <c r="G468" t="s">
        <v>74</v>
      </c>
      <c r="H468" t="s">
        <v>74</v>
      </c>
      <c r="I468" t="s">
        <v>9178</v>
      </c>
      <c r="J468" t="s">
        <v>9179</v>
      </c>
      <c r="K468" t="s">
        <v>74</v>
      </c>
      <c r="L468" t="s">
        <v>74</v>
      </c>
      <c r="M468" t="s">
        <v>78</v>
      </c>
      <c r="N468" t="s">
        <v>79</v>
      </c>
      <c r="O468" t="s">
        <v>74</v>
      </c>
      <c r="P468" t="s">
        <v>74</v>
      </c>
      <c r="Q468" t="s">
        <v>74</v>
      </c>
      <c r="R468" t="s">
        <v>74</v>
      </c>
      <c r="S468" t="s">
        <v>74</v>
      </c>
      <c r="T468" t="s">
        <v>9180</v>
      </c>
      <c r="U468" t="s">
        <v>9181</v>
      </c>
      <c r="V468" t="s">
        <v>9182</v>
      </c>
      <c r="W468" t="s">
        <v>9183</v>
      </c>
      <c r="X468" t="s">
        <v>9184</v>
      </c>
      <c r="Y468" t="s">
        <v>9185</v>
      </c>
      <c r="Z468" t="s">
        <v>9186</v>
      </c>
      <c r="AA468" t="s">
        <v>9187</v>
      </c>
      <c r="AB468" t="s">
        <v>9188</v>
      </c>
      <c r="AC468" t="s">
        <v>9189</v>
      </c>
      <c r="AD468" t="s">
        <v>9190</v>
      </c>
      <c r="AE468" t="s">
        <v>9191</v>
      </c>
      <c r="AF468" t="s">
        <v>74</v>
      </c>
      <c r="AG468">
        <v>21</v>
      </c>
      <c r="AH468">
        <v>17</v>
      </c>
      <c r="AI468">
        <v>18</v>
      </c>
      <c r="AJ468">
        <v>0</v>
      </c>
      <c r="AK468">
        <v>18</v>
      </c>
      <c r="AL468" t="s">
        <v>210</v>
      </c>
      <c r="AM468" t="s">
        <v>211</v>
      </c>
      <c r="AN468" t="s">
        <v>212</v>
      </c>
      <c r="AO468" t="s">
        <v>9192</v>
      </c>
      <c r="AP468" t="s">
        <v>9193</v>
      </c>
      <c r="AQ468" t="s">
        <v>74</v>
      </c>
      <c r="AR468" t="s">
        <v>9194</v>
      </c>
      <c r="AS468" t="s">
        <v>9195</v>
      </c>
      <c r="AT468" t="s">
        <v>9172</v>
      </c>
      <c r="AU468">
        <v>2018</v>
      </c>
      <c r="AV468">
        <v>20</v>
      </c>
      <c r="AW468">
        <v>12</v>
      </c>
      <c r="AX468" t="s">
        <v>74</v>
      </c>
      <c r="AY468" t="s">
        <v>74</v>
      </c>
      <c r="AZ468" t="s">
        <v>74</v>
      </c>
      <c r="BA468" t="s">
        <v>74</v>
      </c>
      <c r="BB468">
        <v>1108</v>
      </c>
      <c r="BC468">
        <v>1115</v>
      </c>
      <c r="BD468" t="s">
        <v>74</v>
      </c>
      <c r="BE468" t="s">
        <v>9196</v>
      </c>
      <c r="BF468" t="str">
        <f>HYPERLINK("http://dx.doi.org/10.1080/10286020.2017.1385604","http://dx.doi.org/10.1080/10286020.2017.1385604")</f>
        <v>http://dx.doi.org/10.1080/10286020.2017.1385604</v>
      </c>
      <c r="BG468" t="s">
        <v>74</v>
      </c>
      <c r="BH468" t="s">
        <v>74</v>
      </c>
      <c r="BI468">
        <v>8</v>
      </c>
      <c r="BJ468" t="s">
        <v>9197</v>
      </c>
      <c r="BK468" t="s">
        <v>9198</v>
      </c>
      <c r="BL468" t="s">
        <v>9199</v>
      </c>
      <c r="BM468" t="s">
        <v>9200</v>
      </c>
      <c r="BN468">
        <v>28990801</v>
      </c>
      <c r="BO468" t="s">
        <v>74</v>
      </c>
      <c r="BP468" t="s">
        <v>74</v>
      </c>
      <c r="BQ468" t="s">
        <v>74</v>
      </c>
      <c r="BR468" t="s">
        <v>104</v>
      </c>
      <c r="BS468" t="s">
        <v>9201</v>
      </c>
      <c r="BT468" t="str">
        <f>HYPERLINK("https%3A%2F%2Fwww.webofscience.com%2Fwos%2Fwoscc%2Ffull-record%2FWOS:000459882800002","View Full Record in Web of Science")</f>
        <v>View Full Record in Web of Science</v>
      </c>
    </row>
    <row r="469" spans="1:72" x14ac:dyDescent="0.15">
      <c r="A469" t="s">
        <v>72</v>
      </c>
      <c r="B469" t="s">
        <v>9202</v>
      </c>
      <c r="C469" t="s">
        <v>74</v>
      </c>
      <c r="D469" t="s">
        <v>74</v>
      </c>
      <c r="E469" t="s">
        <v>74</v>
      </c>
      <c r="F469" t="s">
        <v>9203</v>
      </c>
      <c r="G469" t="s">
        <v>74</v>
      </c>
      <c r="H469" t="s">
        <v>74</v>
      </c>
      <c r="I469" t="s">
        <v>9204</v>
      </c>
      <c r="J469" t="s">
        <v>9205</v>
      </c>
      <c r="K469" t="s">
        <v>74</v>
      </c>
      <c r="L469" t="s">
        <v>74</v>
      </c>
      <c r="M469" t="s">
        <v>78</v>
      </c>
      <c r="N469" t="s">
        <v>79</v>
      </c>
      <c r="O469" t="s">
        <v>74</v>
      </c>
      <c r="P469" t="s">
        <v>74</v>
      </c>
      <c r="Q469" t="s">
        <v>74</v>
      </c>
      <c r="R469" t="s">
        <v>74</v>
      </c>
      <c r="S469" t="s">
        <v>74</v>
      </c>
      <c r="T469" t="s">
        <v>9206</v>
      </c>
      <c r="U469" t="s">
        <v>9207</v>
      </c>
      <c r="V469" t="s">
        <v>9208</v>
      </c>
      <c r="W469" t="s">
        <v>9209</v>
      </c>
      <c r="X469" t="s">
        <v>9210</v>
      </c>
      <c r="Y469" t="s">
        <v>9211</v>
      </c>
      <c r="Z469" t="s">
        <v>9212</v>
      </c>
      <c r="AA469" t="s">
        <v>9213</v>
      </c>
      <c r="AB469" t="s">
        <v>9214</v>
      </c>
      <c r="AC469" t="s">
        <v>9215</v>
      </c>
      <c r="AD469" t="s">
        <v>9216</v>
      </c>
      <c r="AE469" t="s">
        <v>9217</v>
      </c>
      <c r="AF469" t="s">
        <v>74</v>
      </c>
      <c r="AG469">
        <v>62</v>
      </c>
      <c r="AH469">
        <v>4</v>
      </c>
      <c r="AI469">
        <v>4</v>
      </c>
      <c r="AJ469">
        <v>0</v>
      </c>
      <c r="AK469">
        <v>6</v>
      </c>
      <c r="AL469" t="s">
        <v>3290</v>
      </c>
      <c r="AM469" t="s">
        <v>2520</v>
      </c>
      <c r="AN469" t="s">
        <v>3291</v>
      </c>
      <c r="AO469" t="s">
        <v>9218</v>
      </c>
      <c r="AP469" t="s">
        <v>9219</v>
      </c>
      <c r="AQ469" t="s">
        <v>74</v>
      </c>
      <c r="AR469" t="s">
        <v>9220</v>
      </c>
      <c r="AS469" t="s">
        <v>9221</v>
      </c>
      <c r="AT469" t="s">
        <v>9222</v>
      </c>
      <c r="AU469">
        <v>2018</v>
      </c>
      <c r="AV469">
        <v>18</v>
      </c>
      <c r="AW469" t="s">
        <v>74</v>
      </c>
      <c r="AX469" t="s">
        <v>74</v>
      </c>
      <c r="AY469" t="s">
        <v>74</v>
      </c>
      <c r="AZ469" t="s">
        <v>74</v>
      </c>
      <c r="BA469" t="s">
        <v>74</v>
      </c>
      <c r="BB469">
        <v>63</v>
      </c>
      <c r="BC469">
        <v>71</v>
      </c>
      <c r="BD469" t="s">
        <v>74</v>
      </c>
      <c r="BE469" t="s">
        <v>9223</v>
      </c>
      <c r="BF469" t="str">
        <f>HYPERLINK("http://dx.doi.org/10.1016/j.polar.2018.06.002","http://dx.doi.org/10.1016/j.polar.2018.06.002")</f>
        <v>http://dx.doi.org/10.1016/j.polar.2018.06.002</v>
      </c>
      <c r="BG469" t="s">
        <v>74</v>
      </c>
      <c r="BH469" t="s">
        <v>74</v>
      </c>
      <c r="BI469">
        <v>9</v>
      </c>
      <c r="BJ469" t="s">
        <v>451</v>
      </c>
      <c r="BK469" t="s">
        <v>101</v>
      </c>
      <c r="BL469" t="s">
        <v>452</v>
      </c>
      <c r="BM469" t="s">
        <v>9224</v>
      </c>
      <c r="BN469" t="s">
        <v>74</v>
      </c>
      <c r="BO469" t="s">
        <v>3810</v>
      </c>
      <c r="BP469" t="s">
        <v>74</v>
      </c>
      <c r="BQ469" t="s">
        <v>74</v>
      </c>
      <c r="BR469" t="s">
        <v>104</v>
      </c>
      <c r="BS469" t="s">
        <v>9225</v>
      </c>
      <c r="BT469" t="str">
        <f>HYPERLINK("https%3A%2F%2Fwww.webofscience.com%2Fwos%2Fwoscc%2Ffull-record%2FWOS:000452591600009","View Full Record in Web of Science")</f>
        <v>View Full Record in Web of Science</v>
      </c>
    </row>
    <row r="470" spans="1:72" x14ac:dyDescent="0.15">
      <c r="A470" t="s">
        <v>72</v>
      </c>
      <c r="B470" t="s">
        <v>9226</v>
      </c>
      <c r="C470" t="s">
        <v>74</v>
      </c>
      <c r="D470" t="s">
        <v>74</v>
      </c>
      <c r="E470" t="s">
        <v>74</v>
      </c>
      <c r="F470" t="s">
        <v>9227</v>
      </c>
      <c r="G470" t="s">
        <v>74</v>
      </c>
      <c r="H470" t="s">
        <v>74</v>
      </c>
      <c r="I470" t="s">
        <v>9228</v>
      </c>
      <c r="J470" t="s">
        <v>9229</v>
      </c>
      <c r="K470" t="s">
        <v>74</v>
      </c>
      <c r="L470" t="s">
        <v>74</v>
      </c>
      <c r="M470" t="s">
        <v>9230</v>
      </c>
      <c r="N470" t="s">
        <v>79</v>
      </c>
      <c r="O470" t="s">
        <v>74</v>
      </c>
      <c r="P470" t="s">
        <v>74</v>
      </c>
      <c r="Q470" t="s">
        <v>74</v>
      </c>
      <c r="R470" t="s">
        <v>74</v>
      </c>
      <c r="S470" t="s">
        <v>74</v>
      </c>
      <c r="T470" t="s">
        <v>9231</v>
      </c>
      <c r="U470" t="s">
        <v>9232</v>
      </c>
      <c r="V470" t="s">
        <v>9233</v>
      </c>
      <c r="W470" t="s">
        <v>9234</v>
      </c>
      <c r="X470" t="s">
        <v>9235</v>
      </c>
      <c r="Y470" t="s">
        <v>9236</v>
      </c>
      <c r="Z470" t="s">
        <v>9237</v>
      </c>
      <c r="AA470" t="s">
        <v>9238</v>
      </c>
      <c r="AB470" t="s">
        <v>9239</v>
      </c>
      <c r="AC470" t="s">
        <v>74</v>
      </c>
      <c r="AD470" t="s">
        <v>74</v>
      </c>
      <c r="AE470" t="s">
        <v>74</v>
      </c>
      <c r="AF470" t="s">
        <v>74</v>
      </c>
      <c r="AG470">
        <v>22</v>
      </c>
      <c r="AH470">
        <v>6</v>
      </c>
      <c r="AI470">
        <v>6</v>
      </c>
      <c r="AJ470">
        <v>2</v>
      </c>
      <c r="AK470">
        <v>6</v>
      </c>
      <c r="AL470" t="s">
        <v>9240</v>
      </c>
      <c r="AM470" t="s">
        <v>9241</v>
      </c>
      <c r="AN470" t="s">
        <v>9242</v>
      </c>
      <c r="AO470" t="s">
        <v>9243</v>
      </c>
      <c r="AP470" t="s">
        <v>9244</v>
      </c>
      <c r="AQ470" t="s">
        <v>74</v>
      </c>
      <c r="AR470" t="s">
        <v>9245</v>
      </c>
      <c r="AS470" t="s">
        <v>9246</v>
      </c>
      <c r="AT470" t="s">
        <v>9222</v>
      </c>
      <c r="AU470">
        <v>2018</v>
      </c>
      <c r="AV470">
        <v>34</v>
      </c>
      <c r="AW470">
        <v>6</v>
      </c>
      <c r="AX470" t="s">
        <v>74</v>
      </c>
      <c r="AY470" t="s">
        <v>74</v>
      </c>
      <c r="AZ470" t="s">
        <v>74</v>
      </c>
      <c r="BA470" t="s">
        <v>74</v>
      </c>
      <c r="BB470">
        <v>1165</v>
      </c>
      <c r="BC470">
        <v>1178</v>
      </c>
      <c r="BD470" t="s">
        <v>74</v>
      </c>
      <c r="BE470" t="s">
        <v>9247</v>
      </c>
      <c r="BF470" t="str">
        <f>HYPERLINK("http://dx.doi.org/10.7780/kjrs.2018.34.6.2.2","http://dx.doi.org/10.7780/kjrs.2018.34.6.2.2")</f>
        <v>http://dx.doi.org/10.7780/kjrs.2018.34.6.2.2</v>
      </c>
      <c r="BG470" t="s">
        <v>74</v>
      </c>
      <c r="BH470" t="s">
        <v>74</v>
      </c>
      <c r="BI470">
        <v>14</v>
      </c>
      <c r="BJ470" t="s">
        <v>2323</v>
      </c>
      <c r="BK470" t="s">
        <v>349</v>
      </c>
      <c r="BL470" t="s">
        <v>2323</v>
      </c>
      <c r="BM470" t="s">
        <v>9248</v>
      </c>
      <c r="BN470" t="s">
        <v>74</v>
      </c>
      <c r="BO470" t="s">
        <v>74</v>
      </c>
      <c r="BP470" t="s">
        <v>74</v>
      </c>
      <c r="BQ470" t="s">
        <v>74</v>
      </c>
      <c r="BR470" t="s">
        <v>104</v>
      </c>
      <c r="BS470" t="s">
        <v>9249</v>
      </c>
      <c r="BT470" t="str">
        <f>HYPERLINK("https%3A%2F%2Fwww.webofscience.com%2Fwos%2Fwoscc%2Ffull-record%2FWOS:000454666300025","View Full Record in Web of Science")</f>
        <v>View Full Record in Web of Science</v>
      </c>
    </row>
    <row r="471" spans="1:72" x14ac:dyDescent="0.15">
      <c r="A471" t="s">
        <v>72</v>
      </c>
      <c r="B471" t="s">
        <v>9250</v>
      </c>
      <c r="C471" t="s">
        <v>74</v>
      </c>
      <c r="D471" t="s">
        <v>74</v>
      </c>
      <c r="E471" t="s">
        <v>74</v>
      </c>
      <c r="F471" t="s">
        <v>9251</v>
      </c>
      <c r="G471" t="s">
        <v>74</v>
      </c>
      <c r="H471" t="s">
        <v>74</v>
      </c>
      <c r="I471" t="s">
        <v>9252</v>
      </c>
      <c r="J471" t="s">
        <v>9253</v>
      </c>
      <c r="K471" t="s">
        <v>74</v>
      </c>
      <c r="L471" t="s">
        <v>74</v>
      </c>
      <c r="M471" t="s">
        <v>78</v>
      </c>
      <c r="N471" t="s">
        <v>1003</v>
      </c>
      <c r="O471" t="s">
        <v>74</v>
      </c>
      <c r="P471" t="s">
        <v>74</v>
      </c>
      <c r="Q471" t="s">
        <v>74</v>
      </c>
      <c r="R471" t="s">
        <v>74</v>
      </c>
      <c r="S471" t="s">
        <v>74</v>
      </c>
      <c r="T471" t="s">
        <v>74</v>
      </c>
      <c r="U471" t="s">
        <v>9254</v>
      </c>
      <c r="V471" t="s">
        <v>9255</v>
      </c>
      <c r="W471" t="s">
        <v>9256</v>
      </c>
      <c r="X471" t="s">
        <v>9257</v>
      </c>
      <c r="Y471" t="s">
        <v>9258</v>
      </c>
      <c r="Z471" t="s">
        <v>9259</v>
      </c>
      <c r="AA471" t="s">
        <v>9260</v>
      </c>
      <c r="AB471" t="s">
        <v>9261</v>
      </c>
      <c r="AC471" t="s">
        <v>9262</v>
      </c>
      <c r="AD471" t="s">
        <v>9263</v>
      </c>
      <c r="AE471" t="s">
        <v>9264</v>
      </c>
      <c r="AF471" t="s">
        <v>74</v>
      </c>
      <c r="AG471">
        <v>42</v>
      </c>
      <c r="AH471">
        <v>2</v>
      </c>
      <c r="AI471">
        <v>2</v>
      </c>
      <c r="AJ471">
        <v>0</v>
      </c>
      <c r="AK471">
        <v>6</v>
      </c>
      <c r="AL471" t="s">
        <v>9265</v>
      </c>
      <c r="AM471" t="s">
        <v>9266</v>
      </c>
      <c r="AN471" t="s">
        <v>9267</v>
      </c>
      <c r="AO471" t="s">
        <v>9268</v>
      </c>
      <c r="AP471" t="s">
        <v>74</v>
      </c>
      <c r="AQ471" t="s">
        <v>74</v>
      </c>
      <c r="AR471" t="s">
        <v>9269</v>
      </c>
      <c r="AS471" t="s">
        <v>9270</v>
      </c>
      <c r="AT471" t="s">
        <v>9222</v>
      </c>
      <c r="AU471">
        <v>2018</v>
      </c>
      <c r="AV471">
        <v>35</v>
      </c>
      <c r="AW471">
        <v>4</v>
      </c>
      <c r="AX471" t="s">
        <v>74</v>
      </c>
      <c r="AY471" t="s">
        <v>74</v>
      </c>
      <c r="AZ471" t="s">
        <v>74</v>
      </c>
      <c r="BA471" t="s">
        <v>74</v>
      </c>
      <c r="BB471">
        <v>1007</v>
      </c>
      <c r="BC471">
        <v>1016</v>
      </c>
      <c r="BD471" t="s">
        <v>74</v>
      </c>
      <c r="BE471" t="s">
        <v>74</v>
      </c>
      <c r="BF471" t="s">
        <v>74</v>
      </c>
      <c r="BG471" t="s">
        <v>74</v>
      </c>
      <c r="BH471" t="s">
        <v>74</v>
      </c>
      <c r="BI471">
        <v>10</v>
      </c>
      <c r="BJ471" t="s">
        <v>2975</v>
      </c>
      <c r="BK471" t="s">
        <v>101</v>
      </c>
      <c r="BL471" t="s">
        <v>2975</v>
      </c>
      <c r="BM471" t="s">
        <v>9271</v>
      </c>
      <c r="BN471">
        <v>33601848</v>
      </c>
      <c r="BO471" t="s">
        <v>74</v>
      </c>
      <c r="BP471" t="s">
        <v>74</v>
      </c>
      <c r="BQ471" t="s">
        <v>74</v>
      </c>
      <c r="BR471" t="s">
        <v>104</v>
      </c>
      <c r="BS471" t="s">
        <v>9272</v>
      </c>
      <c r="BT471" t="str">
        <f>HYPERLINK("https%3A%2F%2Fwww.webofscience.com%2Fwos%2Fwoscc%2Ffull-record%2FWOS:000462929600014","View Full Record in Web of Science")</f>
        <v>View Full Record in Web of Science</v>
      </c>
    </row>
    <row r="472" spans="1:72" x14ac:dyDescent="0.15">
      <c r="A472" t="s">
        <v>72</v>
      </c>
      <c r="B472" t="s">
        <v>9273</v>
      </c>
      <c r="C472" t="s">
        <v>74</v>
      </c>
      <c r="D472" t="s">
        <v>74</v>
      </c>
      <c r="E472" t="s">
        <v>74</v>
      </c>
      <c r="F472" t="s">
        <v>9274</v>
      </c>
      <c r="G472" t="s">
        <v>74</v>
      </c>
      <c r="H472" t="s">
        <v>74</v>
      </c>
      <c r="I472" t="s">
        <v>9275</v>
      </c>
      <c r="J472" t="s">
        <v>9276</v>
      </c>
      <c r="K472" t="s">
        <v>74</v>
      </c>
      <c r="L472" t="s">
        <v>74</v>
      </c>
      <c r="M472" t="s">
        <v>78</v>
      </c>
      <c r="N472" t="s">
        <v>79</v>
      </c>
      <c r="O472" t="s">
        <v>74</v>
      </c>
      <c r="P472" t="s">
        <v>74</v>
      </c>
      <c r="Q472" t="s">
        <v>74</v>
      </c>
      <c r="R472" t="s">
        <v>74</v>
      </c>
      <c r="S472" t="s">
        <v>74</v>
      </c>
      <c r="T472" t="s">
        <v>9277</v>
      </c>
      <c r="U472" t="s">
        <v>9278</v>
      </c>
      <c r="V472" t="s">
        <v>9279</v>
      </c>
      <c r="W472" t="s">
        <v>9280</v>
      </c>
      <c r="X472" t="s">
        <v>9281</v>
      </c>
      <c r="Y472" t="s">
        <v>9282</v>
      </c>
      <c r="Z472" t="s">
        <v>9283</v>
      </c>
      <c r="AA472" t="s">
        <v>9284</v>
      </c>
      <c r="AB472" t="s">
        <v>9285</v>
      </c>
      <c r="AC472" t="s">
        <v>9286</v>
      </c>
      <c r="AD472" t="s">
        <v>9287</v>
      </c>
      <c r="AE472" t="s">
        <v>9288</v>
      </c>
      <c r="AF472" t="s">
        <v>74</v>
      </c>
      <c r="AG472">
        <v>140</v>
      </c>
      <c r="AH472">
        <v>116</v>
      </c>
      <c r="AI472">
        <v>130</v>
      </c>
      <c r="AJ472">
        <v>6</v>
      </c>
      <c r="AK472">
        <v>53</v>
      </c>
      <c r="AL472" t="s">
        <v>6114</v>
      </c>
      <c r="AM472" t="s">
        <v>6115</v>
      </c>
      <c r="AN472" t="s">
        <v>6116</v>
      </c>
      <c r="AO472" t="s">
        <v>9289</v>
      </c>
      <c r="AP472" t="s">
        <v>74</v>
      </c>
      <c r="AQ472" t="s">
        <v>74</v>
      </c>
      <c r="AR472" t="s">
        <v>9290</v>
      </c>
      <c r="AS472" t="s">
        <v>9291</v>
      </c>
      <c r="AT472" t="s">
        <v>9222</v>
      </c>
      <c r="AU472">
        <v>2018</v>
      </c>
      <c r="AV472">
        <v>4</v>
      </c>
      <c r="AW472">
        <v>4</v>
      </c>
      <c r="AX472" t="s">
        <v>74</v>
      </c>
      <c r="AY472" t="s">
        <v>74</v>
      </c>
      <c r="AZ472" t="s">
        <v>74</v>
      </c>
      <c r="BA472" t="s">
        <v>74</v>
      </c>
      <c r="BB472">
        <v>383</v>
      </c>
      <c r="BC472">
        <v>395</v>
      </c>
      <c r="BD472" t="s">
        <v>74</v>
      </c>
      <c r="BE472" t="s">
        <v>9292</v>
      </c>
      <c r="BF472" t="str">
        <f>HYPERLINK("http://dx.doi.org/10.1007/s40641-018-0111-4","http://dx.doi.org/10.1007/s40641-018-0111-4")</f>
        <v>http://dx.doi.org/10.1007/s40641-018-0111-4</v>
      </c>
      <c r="BG472" t="s">
        <v>74</v>
      </c>
      <c r="BH472" t="s">
        <v>74</v>
      </c>
      <c r="BI472">
        <v>13</v>
      </c>
      <c r="BJ472" t="s">
        <v>3037</v>
      </c>
      <c r="BK472" t="s">
        <v>101</v>
      </c>
      <c r="BL472" t="s">
        <v>3037</v>
      </c>
      <c r="BM472" t="s">
        <v>9293</v>
      </c>
      <c r="BN472">
        <v>30931245</v>
      </c>
      <c r="BO472" t="s">
        <v>9294</v>
      </c>
      <c r="BP472" t="s">
        <v>74</v>
      </c>
      <c r="BQ472" t="s">
        <v>74</v>
      </c>
      <c r="BR472" t="s">
        <v>104</v>
      </c>
      <c r="BS472" t="s">
        <v>9295</v>
      </c>
      <c r="BT472" t="str">
        <f>HYPERLINK("https%3A%2F%2Fwww.webofscience.com%2Fwos%2Fwoscc%2Ffull-record%2FWOS:000461111800008","View Full Record in Web of Science")</f>
        <v>View Full Record in Web of Science</v>
      </c>
    </row>
    <row r="473" spans="1:72" x14ac:dyDescent="0.15">
      <c r="A473" t="s">
        <v>72</v>
      </c>
      <c r="B473" t="s">
        <v>9296</v>
      </c>
      <c r="C473" t="s">
        <v>74</v>
      </c>
      <c r="D473" t="s">
        <v>74</v>
      </c>
      <c r="E473" t="s">
        <v>74</v>
      </c>
      <c r="F473" t="s">
        <v>9297</v>
      </c>
      <c r="G473" t="s">
        <v>74</v>
      </c>
      <c r="H473" t="s">
        <v>74</v>
      </c>
      <c r="I473" t="s">
        <v>9298</v>
      </c>
      <c r="J473" t="s">
        <v>9299</v>
      </c>
      <c r="K473" t="s">
        <v>74</v>
      </c>
      <c r="L473" t="s">
        <v>74</v>
      </c>
      <c r="M473" t="s">
        <v>78</v>
      </c>
      <c r="N473" t="s">
        <v>9300</v>
      </c>
      <c r="O473" t="s">
        <v>74</v>
      </c>
      <c r="P473" t="s">
        <v>74</v>
      </c>
      <c r="Q473" t="s">
        <v>74</v>
      </c>
      <c r="R473" t="s">
        <v>74</v>
      </c>
      <c r="S473" t="s">
        <v>74</v>
      </c>
      <c r="T473" t="s">
        <v>74</v>
      </c>
      <c r="U473" t="s">
        <v>9301</v>
      </c>
      <c r="V473" t="s">
        <v>9302</v>
      </c>
      <c r="W473" t="s">
        <v>9303</v>
      </c>
      <c r="X473" t="s">
        <v>9304</v>
      </c>
      <c r="Y473" t="s">
        <v>9305</v>
      </c>
      <c r="Z473" t="s">
        <v>9306</v>
      </c>
      <c r="AA473" t="s">
        <v>9307</v>
      </c>
      <c r="AB473" t="s">
        <v>9308</v>
      </c>
      <c r="AC473" t="s">
        <v>9309</v>
      </c>
      <c r="AD473" t="s">
        <v>9310</v>
      </c>
      <c r="AE473" t="s">
        <v>9311</v>
      </c>
      <c r="AF473" t="s">
        <v>74</v>
      </c>
      <c r="AG473">
        <v>80</v>
      </c>
      <c r="AH473">
        <v>0</v>
      </c>
      <c r="AI473">
        <v>1</v>
      </c>
      <c r="AJ473">
        <v>2</v>
      </c>
      <c r="AK473">
        <v>11</v>
      </c>
      <c r="AL473" t="s">
        <v>3290</v>
      </c>
      <c r="AM473" t="s">
        <v>2520</v>
      </c>
      <c r="AN473" t="s">
        <v>3291</v>
      </c>
      <c r="AO473" t="s">
        <v>9312</v>
      </c>
      <c r="AP473" t="s">
        <v>74</v>
      </c>
      <c r="AQ473" t="s">
        <v>74</v>
      </c>
      <c r="AR473" t="s">
        <v>9313</v>
      </c>
      <c r="AS473" t="s">
        <v>9314</v>
      </c>
      <c r="AT473" t="s">
        <v>9222</v>
      </c>
      <c r="AU473">
        <v>2018</v>
      </c>
      <c r="AV473">
        <v>21</v>
      </c>
      <c r="AW473" t="s">
        <v>74</v>
      </c>
      <c r="AX473" t="s">
        <v>74</v>
      </c>
      <c r="AY473" t="s">
        <v>74</v>
      </c>
      <c r="AZ473" t="s">
        <v>74</v>
      </c>
      <c r="BA473" t="s">
        <v>74</v>
      </c>
      <c r="BB473">
        <v>1764</v>
      </c>
      <c r="BC473">
        <v>1770</v>
      </c>
      <c r="BD473" t="s">
        <v>74</v>
      </c>
      <c r="BE473" t="s">
        <v>9315</v>
      </c>
      <c r="BF473" t="str">
        <f>HYPERLINK("http://dx.doi.org/10.1016/j.dib.2018.11.008","http://dx.doi.org/10.1016/j.dib.2018.11.008")</f>
        <v>http://dx.doi.org/10.1016/j.dib.2018.11.008</v>
      </c>
      <c r="BG473" t="s">
        <v>74</v>
      </c>
      <c r="BH473" t="s">
        <v>74</v>
      </c>
      <c r="BI473">
        <v>7</v>
      </c>
      <c r="BJ473" t="s">
        <v>855</v>
      </c>
      <c r="BK473" t="s">
        <v>349</v>
      </c>
      <c r="BL473" t="s">
        <v>856</v>
      </c>
      <c r="BM473" t="s">
        <v>9316</v>
      </c>
      <c r="BN473">
        <v>30505913</v>
      </c>
      <c r="BO473" t="s">
        <v>8859</v>
      </c>
      <c r="BP473" t="s">
        <v>74</v>
      </c>
      <c r="BQ473" t="s">
        <v>74</v>
      </c>
      <c r="BR473" t="s">
        <v>104</v>
      </c>
      <c r="BS473" t="s">
        <v>9317</v>
      </c>
      <c r="BT473" t="str">
        <f>HYPERLINK("https%3A%2F%2Fwww.webofscience.com%2Fwos%2Fwoscc%2Ffull-record%2FWOS:000457925900245","View Full Record in Web of Science")</f>
        <v>View Full Record in Web of Science</v>
      </c>
    </row>
    <row r="474" spans="1:72" x14ac:dyDescent="0.15">
      <c r="A474" t="s">
        <v>72</v>
      </c>
      <c r="B474" t="s">
        <v>9318</v>
      </c>
      <c r="C474" t="s">
        <v>74</v>
      </c>
      <c r="D474" t="s">
        <v>74</v>
      </c>
      <c r="E474" t="s">
        <v>74</v>
      </c>
      <c r="F474" t="s">
        <v>9319</v>
      </c>
      <c r="G474" t="s">
        <v>74</v>
      </c>
      <c r="H474" t="s">
        <v>74</v>
      </c>
      <c r="I474" t="s">
        <v>9320</v>
      </c>
      <c r="J474" t="s">
        <v>9321</v>
      </c>
      <c r="K474" t="s">
        <v>74</v>
      </c>
      <c r="L474" t="s">
        <v>74</v>
      </c>
      <c r="M474" t="s">
        <v>78</v>
      </c>
      <c r="N474" t="s">
        <v>79</v>
      </c>
      <c r="O474" t="s">
        <v>74</v>
      </c>
      <c r="P474" t="s">
        <v>74</v>
      </c>
      <c r="Q474" t="s">
        <v>74</v>
      </c>
      <c r="R474" t="s">
        <v>74</v>
      </c>
      <c r="S474" t="s">
        <v>74</v>
      </c>
      <c r="T474" t="s">
        <v>74</v>
      </c>
      <c r="U474" t="s">
        <v>9322</v>
      </c>
      <c r="V474" t="s">
        <v>9323</v>
      </c>
      <c r="W474" t="s">
        <v>9324</v>
      </c>
      <c r="X474" t="s">
        <v>9325</v>
      </c>
      <c r="Y474" t="s">
        <v>9326</v>
      </c>
      <c r="Z474" t="s">
        <v>9327</v>
      </c>
      <c r="AA474" t="s">
        <v>9328</v>
      </c>
      <c r="AB474" t="s">
        <v>9329</v>
      </c>
      <c r="AC474" t="s">
        <v>9330</v>
      </c>
      <c r="AD474" t="s">
        <v>2890</v>
      </c>
      <c r="AE474" t="s">
        <v>9331</v>
      </c>
      <c r="AF474" t="s">
        <v>74</v>
      </c>
      <c r="AG474">
        <v>17</v>
      </c>
      <c r="AH474">
        <v>0</v>
      </c>
      <c r="AI474">
        <v>0</v>
      </c>
      <c r="AJ474">
        <v>0</v>
      </c>
      <c r="AK474">
        <v>1</v>
      </c>
      <c r="AL474" t="s">
        <v>3423</v>
      </c>
      <c r="AM474" t="s">
        <v>1080</v>
      </c>
      <c r="AN474" t="s">
        <v>3424</v>
      </c>
      <c r="AO474" t="s">
        <v>9332</v>
      </c>
      <c r="AP474" t="s">
        <v>9333</v>
      </c>
      <c r="AQ474" t="s">
        <v>74</v>
      </c>
      <c r="AR474" t="s">
        <v>9334</v>
      </c>
      <c r="AS474" t="s">
        <v>9335</v>
      </c>
      <c r="AT474" t="s">
        <v>9222</v>
      </c>
      <c r="AU474">
        <v>2018</v>
      </c>
      <c r="AV474">
        <v>58</v>
      </c>
      <c r="AW474">
        <v>8</v>
      </c>
      <c r="AX474" t="s">
        <v>74</v>
      </c>
      <c r="AY474" t="s">
        <v>74</v>
      </c>
      <c r="AZ474" t="s">
        <v>74</v>
      </c>
      <c r="BA474" t="s">
        <v>74</v>
      </c>
      <c r="BB474">
        <v>1081</v>
      </c>
      <c r="BC474">
        <v>1086</v>
      </c>
      <c r="BD474" t="s">
        <v>74</v>
      </c>
      <c r="BE474" t="s">
        <v>9336</v>
      </c>
      <c r="BF474" t="str">
        <f>HYPERLINK("http://dx.doi.org/10.1134/S0016793218080157","http://dx.doi.org/10.1134/S0016793218080157")</f>
        <v>http://dx.doi.org/10.1134/S0016793218080157</v>
      </c>
      <c r="BG474" t="s">
        <v>74</v>
      </c>
      <c r="BH474" t="s">
        <v>74</v>
      </c>
      <c r="BI474">
        <v>6</v>
      </c>
      <c r="BJ474" t="s">
        <v>746</v>
      </c>
      <c r="BK474" t="s">
        <v>101</v>
      </c>
      <c r="BL474" t="s">
        <v>746</v>
      </c>
      <c r="BM474" t="s">
        <v>9337</v>
      </c>
      <c r="BN474" t="s">
        <v>74</v>
      </c>
      <c r="BO474" t="s">
        <v>74</v>
      </c>
      <c r="BP474" t="s">
        <v>74</v>
      </c>
      <c r="BQ474" t="s">
        <v>74</v>
      </c>
      <c r="BR474" t="s">
        <v>104</v>
      </c>
      <c r="BS474" t="s">
        <v>9338</v>
      </c>
      <c r="BT474" t="str">
        <f>HYPERLINK("https%3A%2F%2Fwww.webofscience.com%2Fwos%2Fwoscc%2Ffull-record%2FWOS:000458511900010","View Full Record in Web of Science")</f>
        <v>View Full Record in Web of Science</v>
      </c>
    </row>
    <row r="475" spans="1:72" x14ac:dyDescent="0.15">
      <c r="A475" t="s">
        <v>72</v>
      </c>
      <c r="B475" t="s">
        <v>9339</v>
      </c>
      <c r="C475" t="s">
        <v>74</v>
      </c>
      <c r="D475" t="s">
        <v>74</v>
      </c>
      <c r="E475" t="s">
        <v>74</v>
      </c>
      <c r="F475" t="s">
        <v>9340</v>
      </c>
      <c r="G475" t="s">
        <v>74</v>
      </c>
      <c r="H475" t="s">
        <v>74</v>
      </c>
      <c r="I475" t="s">
        <v>9341</v>
      </c>
      <c r="J475" t="s">
        <v>9321</v>
      </c>
      <c r="K475" t="s">
        <v>74</v>
      </c>
      <c r="L475" t="s">
        <v>74</v>
      </c>
      <c r="M475" t="s">
        <v>78</v>
      </c>
      <c r="N475" t="s">
        <v>79</v>
      </c>
      <c r="O475" t="s">
        <v>74</v>
      </c>
      <c r="P475" t="s">
        <v>74</v>
      </c>
      <c r="Q475" t="s">
        <v>74</v>
      </c>
      <c r="R475" t="s">
        <v>74</v>
      </c>
      <c r="S475" t="s">
        <v>74</v>
      </c>
      <c r="T475" t="s">
        <v>74</v>
      </c>
      <c r="U475" t="s">
        <v>9342</v>
      </c>
      <c r="V475" t="s">
        <v>9343</v>
      </c>
      <c r="W475" t="s">
        <v>9344</v>
      </c>
      <c r="X475" t="s">
        <v>9345</v>
      </c>
      <c r="Y475" t="s">
        <v>9346</v>
      </c>
      <c r="Z475" t="s">
        <v>9347</v>
      </c>
      <c r="AA475" t="s">
        <v>9348</v>
      </c>
      <c r="AB475" t="s">
        <v>9329</v>
      </c>
      <c r="AC475" t="s">
        <v>9349</v>
      </c>
      <c r="AD475" t="s">
        <v>9350</v>
      </c>
      <c r="AE475" t="s">
        <v>9351</v>
      </c>
      <c r="AF475" t="s">
        <v>74</v>
      </c>
      <c r="AG475">
        <v>38</v>
      </c>
      <c r="AH475">
        <v>3</v>
      </c>
      <c r="AI475">
        <v>3</v>
      </c>
      <c r="AJ475">
        <v>0</v>
      </c>
      <c r="AK475">
        <v>5</v>
      </c>
      <c r="AL475" t="s">
        <v>3423</v>
      </c>
      <c r="AM475" t="s">
        <v>1080</v>
      </c>
      <c r="AN475" t="s">
        <v>3424</v>
      </c>
      <c r="AO475" t="s">
        <v>9332</v>
      </c>
      <c r="AP475" t="s">
        <v>9333</v>
      </c>
      <c r="AQ475" t="s">
        <v>74</v>
      </c>
      <c r="AR475" t="s">
        <v>9334</v>
      </c>
      <c r="AS475" t="s">
        <v>9335</v>
      </c>
      <c r="AT475" t="s">
        <v>9222</v>
      </c>
      <c r="AU475">
        <v>2018</v>
      </c>
      <c r="AV475">
        <v>58</v>
      </c>
      <c r="AW475">
        <v>8</v>
      </c>
      <c r="AX475" t="s">
        <v>74</v>
      </c>
      <c r="AY475" t="s">
        <v>74</v>
      </c>
      <c r="AZ475" t="s">
        <v>74</v>
      </c>
      <c r="BA475" t="s">
        <v>74</v>
      </c>
      <c r="BB475">
        <v>1175</v>
      </c>
      <c r="BC475">
        <v>1186</v>
      </c>
      <c r="BD475" t="s">
        <v>74</v>
      </c>
      <c r="BE475" t="s">
        <v>9352</v>
      </c>
      <c r="BF475" t="str">
        <f>HYPERLINK("http://dx.doi.org/10.1134/S0016793218080248","http://dx.doi.org/10.1134/S0016793218080248")</f>
        <v>http://dx.doi.org/10.1134/S0016793218080248</v>
      </c>
      <c r="BG475" t="s">
        <v>74</v>
      </c>
      <c r="BH475" t="s">
        <v>74</v>
      </c>
      <c r="BI475">
        <v>12</v>
      </c>
      <c r="BJ475" t="s">
        <v>746</v>
      </c>
      <c r="BK475" t="s">
        <v>101</v>
      </c>
      <c r="BL475" t="s">
        <v>746</v>
      </c>
      <c r="BM475" t="s">
        <v>9337</v>
      </c>
      <c r="BN475" t="s">
        <v>74</v>
      </c>
      <c r="BO475" t="s">
        <v>74</v>
      </c>
      <c r="BP475" t="s">
        <v>74</v>
      </c>
      <c r="BQ475" t="s">
        <v>74</v>
      </c>
      <c r="BR475" t="s">
        <v>104</v>
      </c>
      <c r="BS475" t="s">
        <v>9353</v>
      </c>
      <c r="BT475" t="str">
        <f>HYPERLINK("https%3A%2F%2Fwww.webofscience.com%2Fwos%2Fwoscc%2Ffull-record%2FWOS:000458511900023","View Full Record in Web of Science")</f>
        <v>View Full Record in Web of Science</v>
      </c>
    </row>
    <row r="476" spans="1:72" x14ac:dyDescent="0.15">
      <c r="A476" t="s">
        <v>72</v>
      </c>
      <c r="B476" t="s">
        <v>9354</v>
      </c>
      <c r="C476" t="s">
        <v>74</v>
      </c>
      <c r="D476" t="s">
        <v>74</v>
      </c>
      <c r="E476" t="s">
        <v>74</v>
      </c>
      <c r="F476" t="s">
        <v>9355</v>
      </c>
      <c r="G476" t="s">
        <v>74</v>
      </c>
      <c r="H476" t="s">
        <v>74</v>
      </c>
      <c r="I476" t="s">
        <v>9356</v>
      </c>
      <c r="J476" t="s">
        <v>9357</v>
      </c>
      <c r="K476" t="s">
        <v>74</v>
      </c>
      <c r="L476" t="s">
        <v>74</v>
      </c>
      <c r="M476" t="s">
        <v>78</v>
      </c>
      <c r="N476" t="s">
        <v>79</v>
      </c>
      <c r="O476" t="s">
        <v>74</v>
      </c>
      <c r="P476" t="s">
        <v>74</v>
      </c>
      <c r="Q476" t="s">
        <v>74</v>
      </c>
      <c r="R476" t="s">
        <v>74</v>
      </c>
      <c r="S476" t="s">
        <v>74</v>
      </c>
      <c r="T476" t="s">
        <v>9358</v>
      </c>
      <c r="U476" t="s">
        <v>74</v>
      </c>
      <c r="V476" t="s">
        <v>9359</v>
      </c>
      <c r="W476" t="s">
        <v>9360</v>
      </c>
      <c r="X476" t="s">
        <v>2625</v>
      </c>
      <c r="Y476" t="s">
        <v>9361</v>
      </c>
      <c r="Z476" t="s">
        <v>2627</v>
      </c>
      <c r="AA476" t="s">
        <v>9362</v>
      </c>
      <c r="AB476" t="s">
        <v>9363</v>
      </c>
      <c r="AC476" t="s">
        <v>9364</v>
      </c>
      <c r="AD476" t="s">
        <v>9365</v>
      </c>
      <c r="AE476" t="s">
        <v>9366</v>
      </c>
      <c r="AF476" t="s">
        <v>74</v>
      </c>
      <c r="AG476">
        <v>7</v>
      </c>
      <c r="AH476">
        <v>1</v>
      </c>
      <c r="AI476">
        <v>1</v>
      </c>
      <c r="AJ476">
        <v>0</v>
      </c>
      <c r="AK476">
        <v>0</v>
      </c>
      <c r="AL476" t="s">
        <v>3423</v>
      </c>
      <c r="AM476" t="s">
        <v>1080</v>
      </c>
      <c r="AN476" t="s">
        <v>3424</v>
      </c>
      <c r="AO476" t="s">
        <v>9367</v>
      </c>
      <c r="AP476" t="s">
        <v>9368</v>
      </c>
      <c r="AQ476" t="s">
        <v>74</v>
      </c>
      <c r="AR476" t="s">
        <v>9369</v>
      </c>
      <c r="AS476" t="s">
        <v>9370</v>
      </c>
      <c r="AT476" t="s">
        <v>9222</v>
      </c>
      <c r="AU476">
        <v>2018</v>
      </c>
      <c r="AV476">
        <v>54</v>
      </c>
      <c r="AW476">
        <v>9</v>
      </c>
      <c r="AX476" t="s">
        <v>74</v>
      </c>
      <c r="AY476" t="s">
        <v>74</v>
      </c>
      <c r="AZ476" t="s">
        <v>74</v>
      </c>
      <c r="BA476" t="s">
        <v>74</v>
      </c>
      <c r="BB476">
        <v>1266</v>
      </c>
      <c r="BC476">
        <v>1271</v>
      </c>
      <c r="BD476" t="s">
        <v>74</v>
      </c>
      <c r="BE476" t="s">
        <v>9371</v>
      </c>
      <c r="BF476" t="str">
        <f>HYPERLINK("http://dx.doi.org/10.1134/S0001433818090463","http://dx.doi.org/10.1134/S0001433818090463")</f>
        <v>http://dx.doi.org/10.1134/S0001433818090463</v>
      </c>
      <c r="BG476" t="s">
        <v>74</v>
      </c>
      <c r="BH476" t="s">
        <v>74</v>
      </c>
      <c r="BI476">
        <v>6</v>
      </c>
      <c r="BJ476" t="s">
        <v>9372</v>
      </c>
      <c r="BK476" t="s">
        <v>101</v>
      </c>
      <c r="BL476" t="s">
        <v>9372</v>
      </c>
      <c r="BM476" t="s">
        <v>9373</v>
      </c>
      <c r="BN476" t="s">
        <v>74</v>
      </c>
      <c r="BO476" t="s">
        <v>74</v>
      </c>
      <c r="BP476" t="s">
        <v>74</v>
      </c>
      <c r="BQ476" t="s">
        <v>74</v>
      </c>
      <c r="BR476" t="s">
        <v>104</v>
      </c>
      <c r="BS476" t="s">
        <v>9374</v>
      </c>
      <c r="BT476" t="str">
        <f>HYPERLINK("https%3A%2F%2Fwww.webofscience.com%2Fwos%2Fwoscc%2Ffull-record%2FWOS:000458442000033","View Full Record in Web of Science")</f>
        <v>View Full Record in Web of Science</v>
      </c>
    </row>
    <row r="477" spans="1:72" x14ac:dyDescent="0.15">
      <c r="A477" t="s">
        <v>72</v>
      </c>
      <c r="B477" t="s">
        <v>9375</v>
      </c>
      <c r="C477" t="s">
        <v>74</v>
      </c>
      <c r="D477" t="s">
        <v>74</v>
      </c>
      <c r="E477" t="s">
        <v>74</v>
      </c>
      <c r="F477" t="s">
        <v>9376</v>
      </c>
      <c r="G477" t="s">
        <v>74</v>
      </c>
      <c r="H477" t="s">
        <v>74</v>
      </c>
      <c r="I477" t="s">
        <v>9377</v>
      </c>
      <c r="J477" t="s">
        <v>9378</v>
      </c>
      <c r="K477" t="s">
        <v>74</v>
      </c>
      <c r="L477" t="s">
        <v>74</v>
      </c>
      <c r="M477" t="s">
        <v>78</v>
      </c>
      <c r="N477" t="s">
        <v>52</v>
      </c>
      <c r="O477" t="s">
        <v>9379</v>
      </c>
      <c r="P477" t="s">
        <v>9380</v>
      </c>
      <c r="Q477" t="s">
        <v>2621</v>
      </c>
      <c r="R477" t="s">
        <v>74</v>
      </c>
      <c r="S477" t="s">
        <v>74</v>
      </c>
      <c r="T477" t="s">
        <v>74</v>
      </c>
      <c r="U477" t="s">
        <v>74</v>
      </c>
      <c r="V477" t="s">
        <v>74</v>
      </c>
      <c r="W477" t="s">
        <v>9381</v>
      </c>
      <c r="X477" t="s">
        <v>9382</v>
      </c>
      <c r="Y477" t="s">
        <v>74</v>
      </c>
      <c r="Z477" t="s">
        <v>9383</v>
      </c>
      <c r="AA477" t="s">
        <v>9384</v>
      </c>
      <c r="AB477" t="s">
        <v>9385</v>
      </c>
      <c r="AC477" t="s">
        <v>9386</v>
      </c>
      <c r="AD477" t="s">
        <v>9387</v>
      </c>
      <c r="AE477" t="s">
        <v>9388</v>
      </c>
      <c r="AF477" t="s">
        <v>74</v>
      </c>
      <c r="AG477">
        <v>3</v>
      </c>
      <c r="AH477">
        <v>0</v>
      </c>
      <c r="AI477">
        <v>0</v>
      </c>
      <c r="AJ477">
        <v>1</v>
      </c>
      <c r="AK477">
        <v>4</v>
      </c>
      <c r="AL477" t="s">
        <v>9389</v>
      </c>
      <c r="AM477" t="s">
        <v>1080</v>
      </c>
      <c r="AN477" t="s">
        <v>1081</v>
      </c>
      <c r="AO477" t="s">
        <v>9390</v>
      </c>
      <c r="AP477" t="s">
        <v>9391</v>
      </c>
      <c r="AQ477" t="s">
        <v>74</v>
      </c>
      <c r="AR477" t="s">
        <v>9392</v>
      </c>
      <c r="AS477" t="s">
        <v>9393</v>
      </c>
      <c r="AT477" t="s">
        <v>9222</v>
      </c>
      <c r="AU477">
        <v>2018</v>
      </c>
      <c r="AV477">
        <v>50</v>
      </c>
      <c r="AW477">
        <v>6</v>
      </c>
      <c r="AX477" t="s">
        <v>74</v>
      </c>
      <c r="AY477" t="s">
        <v>74</v>
      </c>
      <c r="AZ477" t="s">
        <v>74</v>
      </c>
      <c r="BA477" t="s">
        <v>74</v>
      </c>
      <c r="BB477">
        <v>561</v>
      </c>
      <c r="BC477">
        <v>561</v>
      </c>
      <c r="BD477" t="s">
        <v>74</v>
      </c>
      <c r="BE477" t="s">
        <v>74</v>
      </c>
      <c r="BF477" t="s">
        <v>74</v>
      </c>
      <c r="BG477" t="s">
        <v>74</v>
      </c>
      <c r="BH477" t="s">
        <v>74</v>
      </c>
      <c r="BI477">
        <v>1</v>
      </c>
      <c r="BJ477" t="s">
        <v>9394</v>
      </c>
      <c r="BK477" t="s">
        <v>5354</v>
      </c>
      <c r="BL477" t="s">
        <v>9394</v>
      </c>
      <c r="BM477" t="s">
        <v>9395</v>
      </c>
      <c r="BN477" t="s">
        <v>74</v>
      </c>
      <c r="BO477" t="s">
        <v>74</v>
      </c>
      <c r="BP477" t="s">
        <v>74</v>
      </c>
      <c r="BQ477" t="s">
        <v>74</v>
      </c>
      <c r="BR477" t="s">
        <v>104</v>
      </c>
      <c r="BS477" t="s">
        <v>9396</v>
      </c>
      <c r="BT477" t="str">
        <f>HYPERLINK("https%3A%2F%2Fwww.webofscience.com%2Fwos%2Fwoscc%2Ffull-record%2FWOS:000458294600187","View Full Record in Web of Science")</f>
        <v>View Full Record in Web of Science</v>
      </c>
    </row>
    <row r="478" spans="1:72" x14ac:dyDescent="0.15">
      <c r="A478" t="s">
        <v>72</v>
      </c>
      <c r="B478" t="s">
        <v>9397</v>
      </c>
      <c r="C478" t="s">
        <v>74</v>
      </c>
      <c r="D478" t="s">
        <v>74</v>
      </c>
      <c r="E478" t="s">
        <v>74</v>
      </c>
      <c r="F478" t="s">
        <v>9398</v>
      </c>
      <c r="G478" t="s">
        <v>74</v>
      </c>
      <c r="H478" t="s">
        <v>74</v>
      </c>
      <c r="I478" t="s">
        <v>9399</v>
      </c>
      <c r="J478" t="s">
        <v>9400</v>
      </c>
      <c r="K478" t="s">
        <v>74</v>
      </c>
      <c r="L478" t="s">
        <v>74</v>
      </c>
      <c r="M478" t="s">
        <v>78</v>
      </c>
      <c r="N478" t="s">
        <v>79</v>
      </c>
      <c r="O478" t="s">
        <v>74</v>
      </c>
      <c r="P478" t="s">
        <v>74</v>
      </c>
      <c r="Q478" t="s">
        <v>74</v>
      </c>
      <c r="R478" t="s">
        <v>74</v>
      </c>
      <c r="S478" t="s">
        <v>74</v>
      </c>
      <c r="T478" t="s">
        <v>9401</v>
      </c>
      <c r="U478" t="s">
        <v>74</v>
      </c>
      <c r="V478" t="s">
        <v>9402</v>
      </c>
      <c r="W478" t="s">
        <v>9403</v>
      </c>
      <c r="X478" t="s">
        <v>893</v>
      </c>
      <c r="Y478" t="s">
        <v>9404</v>
      </c>
      <c r="Z478" t="s">
        <v>9405</v>
      </c>
      <c r="AA478" t="s">
        <v>74</v>
      </c>
      <c r="AB478" t="s">
        <v>74</v>
      </c>
      <c r="AC478" t="s">
        <v>9406</v>
      </c>
      <c r="AD478" t="s">
        <v>2890</v>
      </c>
      <c r="AE478" t="s">
        <v>9407</v>
      </c>
      <c r="AF478" t="s">
        <v>74</v>
      </c>
      <c r="AG478">
        <v>18</v>
      </c>
      <c r="AH478">
        <v>3</v>
      </c>
      <c r="AI478">
        <v>3</v>
      </c>
      <c r="AJ478">
        <v>0</v>
      </c>
      <c r="AK478">
        <v>1</v>
      </c>
      <c r="AL478" t="s">
        <v>3239</v>
      </c>
      <c r="AM478" t="s">
        <v>877</v>
      </c>
      <c r="AN478" t="s">
        <v>3240</v>
      </c>
      <c r="AO478" t="s">
        <v>9408</v>
      </c>
      <c r="AP478" t="s">
        <v>9409</v>
      </c>
      <c r="AQ478" t="s">
        <v>74</v>
      </c>
      <c r="AR478" t="s">
        <v>9410</v>
      </c>
      <c r="AS478" t="s">
        <v>9411</v>
      </c>
      <c r="AT478" t="s">
        <v>9222</v>
      </c>
      <c r="AU478">
        <v>2018</v>
      </c>
      <c r="AV478">
        <v>43</v>
      </c>
      <c r="AW478">
        <v>12</v>
      </c>
      <c r="AX478" t="s">
        <v>74</v>
      </c>
      <c r="AY478" t="s">
        <v>74</v>
      </c>
      <c r="AZ478" t="s">
        <v>74</v>
      </c>
      <c r="BA478" t="s">
        <v>74</v>
      </c>
      <c r="BB478">
        <v>852</v>
      </c>
      <c r="BC478">
        <v>861</v>
      </c>
      <c r="BD478" t="s">
        <v>74</v>
      </c>
      <c r="BE478" t="s">
        <v>9412</v>
      </c>
      <c r="BF478" t="str">
        <f>HYPERLINK("http://dx.doi.org/10.3103/S1068373918120063","http://dx.doi.org/10.3103/S1068373918120063")</f>
        <v>http://dx.doi.org/10.3103/S1068373918120063</v>
      </c>
      <c r="BG478" t="s">
        <v>74</v>
      </c>
      <c r="BH478" t="s">
        <v>74</v>
      </c>
      <c r="BI478">
        <v>10</v>
      </c>
      <c r="BJ478" t="s">
        <v>3037</v>
      </c>
      <c r="BK478" t="s">
        <v>101</v>
      </c>
      <c r="BL478" t="s">
        <v>3037</v>
      </c>
      <c r="BM478" t="s">
        <v>9413</v>
      </c>
      <c r="BN478" t="s">
        <v>74</v>
      </c>
      <c r="BO478" t="s">
        <v>74</v>
      </c>
      <c r="BP478" t="s">
        <v>74</v>
      </c>
      <c r="BQ478" t="s">
        <v>74</v>
      </c>
      <c r="BR478" t="s">
        <v>104</v>
      </c>
      <c r="BS478" t="s">
        <v>9414</v>
      </c>
      <c r="BT478" t="str">
        <f>HYPERLINK("https%3A%2F%2Fwww.webofscience.com%2Fwos%2Fwoscc%2Ffull-record%2FWOS:000458686300006","View Full Record in Web of Science")</f>
        <v>View Full Record in Web of Science</v>
      </c>
    </row>
    <row r="479" spans="1:72" x14ac:dyDescent="0.15">
      <c r="A479" t="s">
        <v>72</v>
      </c>
      <c r="B479" t="s">
        <v>9415</v>
      </c>
      <c r="C479" t="s">
        <v>74</v>
      </c>
      <c r="D479" t="s">
        <v>74</v>
      </c>
      <c r="E479" t="s">
        <v>74</v>
      </c>
      <c r="F479" t="s">
        <v>9416</v>
      </c>
      <c r="G479" t="s">
        <v>74</v>
      </c>
      <c r="H479" t="s">
        <v>74</v>
      </c>
      <c r="I479" t="s">
        <v>9417</v>
      </c>
      <c r="J479" t="s">
        <v>9418</v>
      </c>
      <c r="K479" t="s">
        <v>74</v>
      </c>
      <c r="L479" t="s">
        <v>74</v>
      </c>
      <c r="M479" t="s">
        <v>78</v>
      </c>
      <c r="N479" t="s">
        <v>3586</v>
      </c>
      <c r="O479" t="s">
        <v>74</v>
      </c>
      <c r="P479" t="s">
        <v>74</v>
      </c>
      <c r="Q479" t="s">
        <v>74</v>
      </c>
      <c r="R479" t="s">
        <v>74</v>
      </c>
      <c r="S479" t="s">
        <v>74</v>
      </c>
      <c r="T479" t="s">
        <v>74</v>
      </c>
      <c r="U479" t="s">
        <v>74</v>
      </c>
      <c r="V479" t="s">
        <v>74</v>
      </c>
      <c r="W479" t="s">
        <v>9419</v>
      </c>
      <c r="X479" t="s">
        <v>9420</v>
      </c>
      <c r="Y479" t="s">
        <v>9421</v>
      </c>
      <c r="Z479" t="s">
        <v>74</v>
      </c>
      <c r="AA479" t="s">
        <v>74</v>
      </c>
      <c r="AB479" t="s">
        <v>74</v>
      </c>
      <c r="AC479" t="s">
        <v>74</v>
      </c>
      <c r="AD479" t="s">
        <v>74</v>
      </c>
      <c r="AE479" t="s">
        <v>74</v>
      </c>
      <c r="AF479" t="s">
        <v>74</v>
      </c>
      <c r="AG479">
        <v>1</v>
      </c>
      <c r="AH479">
        <v>0</v>
      </c>
      <c r="AI479">
        <v>0</v>
      </c>
      <c r="AJ479">
        <v>0</v>
      </c>
      <c r="AK479">
        <v>0</v>
      </c>
      <c r="AL479" t="s">
        <v>3729</v>
      </c>
      <c r="AM479" t="s">
        <v>3353</v>
      </c>
      <c r="AN479" t="s">
        <v>3730</v>
      </c>
      <c r="AO479" t="s">
        <v>9422</v>
      </c>
      <c r="AP479" t="s">
        <v>9423</v>
      </c>
      <c r="AQ479" t="s">
        <v>74</v>
      </c>
      <c r="AR479" t="s">
        <v>9424</v>
      </c>
      <c r="AS479" t="s">
        <v>9425</v>
      </c>
      <c r="AT479" t="s">
        <v>9222</v>
      </c>
      <c r="AU479">
        <v>2018</v>
      </c>
      <c r="AV479">
        <v>133</v>
      </c>
      <c r="AW479">
        <v>565</v>
      </c>
      <c r="AX479" t="s">
        <v>74</v>
      </c>
      <c r="AY479" t="s">
        <v>74</v>
      </c>
      <c r="AZ479" t="s">
        <v>74</v>
      </c>
      <c r="BA479" t="s">
        <v>74</v>
      </c>
      <c r="BB479">
        <v>1656</v>
      </c>
      <c r="BC479">
        <v>1658</v>
      </c>
      <c r="BD479" t="s">
        <v>74</v>
      </c>
      <c r="BE479" t="s">
        <v>9426</v>
      </c>
      <c r="BF479" t="str">
        <f>HYPERLINK("http://dx.doi.org/10.1093/ehr/cey326","http://dx.doi.org/10.1093/ehr/cey326")</f>
        <v>http://dx.doi.org/10.1093/ehr/cey326</v>
      </c>
      <c r="BG479" t="s">
        <v>74</v>
      </c>
      <c r="BH479" t="s">
        <v>74</v>
      </c>
      <c r="BI479">
        <v>4</v>
      </c>
      <c r="BJ479" t="s">
        <v>348</v>
      </c>
      <c r="BK479" t="s">
        <v>9427</v>
      </c>
      <c r="BL479" t="s">
        <v>348</v>
      </c>
      <c r="BM479" t="s">
        <v>9428</v>
      </c>
      <c r="BN479" t="s">
        <v>74</v>
      </c>
      <c r="BO479" t="s">
        <v>162</v>
      </c>
      <c r="BP479" t="s">
        <v>74</v>
      </c>
      <c r="BQ479" t="s">
        <v>74</v>
      </c>
      <c r="BR479" t="s">
        <v>104</v>
      </c>
      <c r="BS479" t="s">
        <v>9429</v>
      </c>
      <c r="BT479" t="str">
        <f>HYPERLINK("https%3A%2F%2Fwww.webofscience.com%2Fwos%2Fwoscc%2Ffull-record%2FWOS:000457613200059","View Full Record in Web of Science")</f>
        <v>View Full Record in Web of Science</v>
      </c>
    </row>
    <row r="480" spans="1:72" x14ac:dyDescent="0.15">
      <c r="A480" t="s">
        <v>72</v>
      </c>
      <c r="B480" t="s">
        <v>9430</v>
      </c>
      <c r="C480" t="s">
        <v>74</v>
      </c>
      <c r="D480" t="s">
        <v>74</v>
      </c>
      <c r="E480" t="s">
        <v>74</v>
      </c>
      <c r="F480" t="s">
        <v>9431</v>
      </c>
      <c r="G480" t="s">
        <v>74</v>
      </c>
      <c r="H480" t="s">
        <v>74</v>
      </c>
      <c r="I480" t="s">
        <v>9432</v>
      </c>
      <c r="J480" t="s">
        <v>9433</v>
      </c>
      <c r="K480" t="s">
        <v>74</v>
      </c>
      <c r="L480" t="s">
        <v>74</v>
      </c>
      <c r="M480" t="s">
        <v>78</v>
      </c>
      <c r="N480" t="s">
        <v>79</v>
      </c>
      <c r="O480" t="s">
        <v>74</v>
      </c>
      <c r="P480" t="s">
        <v>74</v>
      </c>
      <c r="Q480" t="s">
        <v>74</v>
      </c>
      <c r="R480" t="s">
        <v>74</v>
      </c>
      <c r="S480" t="s">
        <v>74</v>
      </c>
      <c r="T480" t="s">
        <v>9434</v>
      </c>
      <c r="U480" t="s">
        <v>9435</v>
      </c>
      <c r="V480" t="s">
        <v>9436</v>
      </c>
      <c r="W480" t="s">
        <v>9437</v>
      </c>
      <c r="X480" t="s">
        <v>9438</v>
      </c>
      <c r="Y480" t="s">
        <v>9439</v>
      </c>
      <c r="Z480" t="s">
        <v>9440</v>
      </c>
      <c r="AA480" t="s">
        <v>74</v>
      </c>
      <c r="AB480" t="s">
        <v>74</v>
      </c>
      <c r="AC480" t="s">
        <v>74</v>
      </c>
      <c r="AD480" t="s">
        <v>74</v>
      </c>
      <c r="AE480" t="s">
        <v>74</v>
      </c>
      <c r="AF480" t="s">
        <v>74</v>
      </c>
      <c r="AG480">
        <v>28</v>
      </c>
      <c r="AH480">
        <v>0</v>
      </c>
      <c r="AI480">
        <v>0</v>
      </c>
      <c r="AJ480">
        <v>0</v>
      </c>
      <c r="AK480">
        <v>1</v>
      </c>
      <c r="AL480" t="s">
        <v>9441</v>
      </c>
      <c r="AM480" t="s">
        <v>9442</v>
      </c>
      <c r="AN480" t="s">
        <v>9443</v>
      </c>
      <c r="AO480" t="s">
        <v>9444</v>
      </c>
      <c r="AP480" t="s">
        <v>74</v>
      </c>
      <c r="AQ480" t="s">
        <v>74</v>
      </c>
      <c r="AR480" t="s">
        <v>9445</v>
      </c>
      <c r="AS480" t="s">
        <v>9446</v>
      </c>
      <c r="AT480" t="s">
        <v>9222</v>
      </c>
      <c r="AU480">
        <v>2018</v>
      </c>
      <c r="AV480">
        <v>101</v>
      </c>
      <c r="AW480">
        <v>4</v>
      </c>
      <c r="AX480" t="s">
        <v>74</v>
      </c>
      <c r="AY480" t="s">
        <v>74</v>
      </c>
      <c r="AZ480" t="s">
        <v>74</v>
      </c>
      <c r="BA480" t="s">
        <v>74</v>
      </c>
      <c r="BB480">
        <v>363</v>
      </c>
      <c r="BC480">
        <v>368</v>
      </c>
      <c r="BD480" t="s">
        <v>74</v>
      </c>
      <c r="BE480" t="s">
        <v>74</v>
      </c>
      <c r="BF480" t="s">
        <v>74</v>
      </c>
      <c r="BG480" t="s">
        <v>74</v>
      </c>
      <c r="BH480" t="s">
        <v>74</v>
      </c>
      <c r="BI480">
        <v>6</v>
      </c>
      <c r="BJ480" t="s">
        <v>9447</v>
      </c>
      <c r="BK480" t="s">
        <v>101</v>
      </c>
      <c r="BL480" t="s">
        <v>3409</v>
      </c>
      <c r="BM480" t="s">
        <v>9448</v>
      </c>
      <c r="BN480" t="s">
        <v>74</v>
      </c>
      <c r="BO480" t="s">
        <v>74</v>
      </c>
      <c r="BP480" t="s">
        <v>74</v>
      </c>
      <c r="BQ480" t="s">
        <v>74</v>
      </c>
      <c r="BR480" t="s">
        <v>104</v>
      </c>
      <c r="BS480" t="s">
        <v>9449</v>
      </c>
      <c r="BT480" t="str">
        <f>HYPERLINK("https%3A%2F%2Fwww.webofscience.com%2Fwos%2Fwoscc%2Ffull-record%2FWOS:000458096000006","View Full Record in Web of Science")</f>
        <v>View Full Record in Web of Science</v>
      </c>
    </row>
    <row r="481" spans="1:72" x14ac:dyDescent="0.15">
      <c r="A481" t="s">
        <v>72</v>
      </c>
      <c r="B481" t="s">
        <v>9450</v>
      </c>
      <c r="C481" t="s">
        <v>74</v>
      </c>
      <c r="D481" t="s">
        <v>74</v>
      </c>
      <c r="E481" t="s">
        <v>74</v>
      </c>
      <c r="F481" t="s">
        <v>9451</v>
      </c>
      <c r="G481" t="s">
        <v>74</v>
      </c>
      <c r="H481" t="s">
        <v>74</v>
      </c>
      <c r="I481" t="s">
        <v>9452</v>
      </c>
      <c r="J481" t="s">
        <v>9453</v>
      </c>
      <c r="K481" t="s">
        <v>74</v>
      </c>
      <c r="L481" t="s">
        <v>74</v>
      </c>
      <c r="M481" t="s">
        <v>78</v>
      </c>
      <c r="N481" t="s">
        <v>1003</v>
      </c>
      <c r="O481" t="s">
        <v>74</v>
      </c>
      <c r="P481" t="s">
        <v>74</v>
      </c>
      <c r="Q481" t="s">
        <v>74</v>
      </c>
      <c r="R481" t="s">
        <v>74</v>
      </c>
      <c r="S481" t="s">
        <v>74</v>
      </c>
      <c r="T481" t="s">
        <v>9454</v>
      </c>
      <c r="U481" t="s">
        <v>9455</v>
      </c>
      <c r="V481" t="s">
        <v>9456</v>
      </c>
      <c r="W481" t="s">
        <v>9457</v>
      </c>
      <c r="X481" t="s">
        <v>9458</v>
      </c>
      <c r="Y481" t="s">
        <v>9459</v>
      </c>
      <c r="Z481" t="s">
        <v>9460</v>
      </c>
      <c r="AA481" t="s">
        <v>9461</v>
      </c>
      <c r="AB481" t="s">
        <v>9462</v>
      </c>
      <c r="AC481" t="s">
        <v>9463</v>
      </c>
      <c r="AD481" t="s">
        <v>9464</v>
      </c>
      <c r="AE481" t="s">
        <v>9465</v>
      </c>
      <c r="AF481" t="s">
        <v>74</v>
      </c>
      <c r="AG481">
        <v>116</v>
      </c>
      <c r="AH481">
        <v>47</v>
      </c>
      <c r="AI481">
        <v>48</v>
      </c>
      <c r="AJ481">
        <v>3</v>
      </c>
      <c r="AK481">
        <v>49</v>
      </c>
      <c r="AL481" t="s">
        <v>4010</v>
      </c>
      <c r="AM481" t="s">
        <v>4011</v>
      </c>
      <c r="AN481" t="s">
        <v>4012</v>
      </c>
      <c r="AO481" t="s">
        <v>74</v>
      </c>
      <c r="AP481" t="s">
        <v>9466</v>
      </c>
      <c r="AQ481" t="s">
        <v>74</v>
      </c>
      <c r="AR481" t="s">
        <v>9453</v>
      </c>
      <c r="AS481" t="s">
        <v>9467</v>
      </c>
      <c r="AT481" t="s">
        <v>9222</v>
      </c>
      <c r="AU481">
        <v>2018</v>
      </c>
      <c r="AV481">
        <v>7</v>
      </c>
      <c r="AW481">
        <v>4</v>
      </c>
      <c r="AX481" t="s">
        <v>74</v>
      </c>
      <c r="AY481" t="s">
        <v>74</v>
      </c>
      <c r="AZ481" t="s">
        <v>74</v>
      </c>
      <c r="BA481" t="s">
        <v>74</v>
      </c>
      <c r="BB481" t="s">
        <v>74</v>
      </c>
      <c r="BC481" t="s">
        <v>74</v>
      </c>
      <c r="BD481">
        <v>90</v>
      </c>
      <c r="BE481" t="s">
        <v>9468</v>
      </c>
      <c r="BF481" t="str">
        <f>HYPERLINK("http://dx.doi.org/10.3390/antibiotics7040090","http://dx.doi.org/10.3390/antibiotics7040090")</f>
        <v>http://dx.doi.org/10.3390/antibiotics7040090</v>
      </c>
      <c r="BG481" t="s">
        <v>74</v>
      </c>
      <c r="BH481" t="s">
        <v>74</v>
      </c>
      <c r="BI481">
        <v>23</v>
      </c>
      <c r="BJ481" t="s">
        <v>9469</v>
      </c>
      <c r="BK481" t="s">
        <v>101</v>
      </c>
      <c r="BL481" t="s">
        <v>9469</v>
      </c>
      <c r="BM481" t="s">
        <v>9470</v>
      </c>
      <c r="BN481">
        <v>30347637</v>
      </c>
      <c r="BO481" t="s">
        <v>3454</v>
      </c>
      <c r="BP481" t="s">
        <v>74</v>
      </c>
      <c r="BQ481" t="s">
        <v>74</v>
      </c>
      <c r="BR481" t="s">
        <v>104</v>
      </c>
      <c r="BS481" t="s">
        <v>9471</v>
      </c>
      <c r="BT481" t="str">
        <f>HYPERLINK("https%3A%2F%2Fwww.webofscience.com%2Fwos%2Fwoscc%2Ffull-record%2FWOS:000457062100006","View Full Record in Web of Science")</f>
        <v>View Full Record in Web of Science</v>
      </c>
    </row>
    <row r="482" spans="1:72" x14ac:dyDescent="0.15">
      <c r="A482" t="s">
        <v>72</v>
      </c>
      <c r="B482" t="s">
        <v>9472</v>
      </c>
      <c r="C482" t="s">
        <v>74</v>
      </c>
      <c r="D482" t="s">
        <v>74</v>
      </c>
      <c r="E482" t="s">
        <v>74</v>
      </c>
      <c r="F482" t="s">
        <v>9473</v>
      </c>
      <c r="G482" t="s">
        <v>74</v>
      </c>
      <c r="H482" t="s">
        <v>74</v>
      </c>
      <c r="I482" t="s">
        <v>9474</v>
      </c>
      <c r="J482" t="s">
        <v>9475</v>
      </c>
      <c r="K482" t="s">
        <v>74</v>
      </c>
      <c r="L482" t="s">
        <v>74</v>
      </c>
      <c r="M482" t="s">
        <v>78</v>
      </c>
      <c r="N482" t="s">
        <v>79</v>
      </c>
      <c r="O482" t="s">
        <v>74</v>
      </c>
      <c r="P482" t="s">
        <v>74</v>
      </c>
      <c r="Q482" t="s">
        <v>74</v>
      </c>
      <c r="R482" t="s">
        <v>74</v>
      </c>
      <c r="S482" t="s">
        <v>74</v>
      </c>
      <c r="T482" t="s">
        <v>74</v>
      </c>
      <c r="U482" t="s">
        <v>9476</v>
      </c>
      <c r="V482" t="s">
        <v>9477</v>
      </c>
      <c r="W482" t="s">
        <v>9478</v>
      </c>
      <c r="X482" t="s">
        <v>9479</v>
      </c>
      <c r="Y482" t="s">
        <v>9480</v>
      </c>
      <c r="Z482" t="s">
        <v>9481</v>
      </c>
      <c r="AA482" t="s">
        <v>74</v>
      </c>
      <c r="AB482" t="s">
        <v>74</v>
      </c>
      <c r="AC482" t="s">
        <v>9482</v>
      </c>
      <c r="AD482" t="s">
        <v>8513</v>
      </c>
      <c r="AE482" t="s">
        <v>9483</v>
      </c>
      <c r="AF482" t="s">
        <v>74</v>
      </c>
      <c r="AG482">
        <v>156</v>
      </c>
      <c r="AH482">
        <v>7</v>
      </c>
      <c r="AI482">
        <v>10</v>
      </c>
      <c r="AJ482">
        <v>0</v>
      </c>
      <c r="AK482">
        <v>6</v>
      </c>
      <c r="AL482" t="s">
        <v>9484</v>
      </c>
      <c r="AM482" t="s">
        <v>9485</v>
      </c>
      <c r="AN482" t="s">
        <v>9486</v>
      </c>
      <c r="AO482" t="s">
        <v>9487</v>
      </c>
      <c r="AP482" t="s">
        <v>74</v>
      </c>
      <c r="AQ482" t="s">
        <v>74</v>
      </c>
      <c r="AR482" t="s">
        <v>9475</v>
      </c>
      <c r="AS482" t="s">
        <v>9488</v>
      </c>
      <c r="AT482" t="s">
        <v>9222</v>
      </c>
      <c r="AU482">
        <v>2018</v>
      </c>
      <c r="AV482">
        <v>14</v>
      </c>
      <c r="AW482">
        <v>6</v>
      </c>
      <c r="AX482" t="s">
        <v>74</v>
      </c>
      <c r="AY482" t="s">
        <v>74</v>
      </c>
      <c r="AZ482" t="s">
        <v>74</v>
      </c>
      <c r="BA482" t="s">
        <v>74</v>
      </c>
      <c r="BB482">
        <v>2407</v>
      </c>
      <c r="BC482">
        <v>2429</v>
      </c>
      <c r="BD482" t="s">
        <v>74</v>
      </c>
      <c r="BE482" t="s">
        <v>9489</v>
      </c>
      <c r="BF482" t="str">
        <f>HYPERLINK("http://dx.doi.org/10.1130/GES01594.1","http://dx.doi.org/10.1130/GES01594.1")</f>
        <v>http://dx.doi.org/10.1130/GES01594.1</v>
      </c>
      <c r="BG482" t="s">
        <v>74</v>
      </c>
      <c r="BH482" t="s">
        <v>74</v>
      </c>
      <c r="BI482">
        <v>23</v>
      </c>
      <c r="BJ482" t="s">
        <v>884</v>
      </c>
      <c r="BK482" t="s">
        <v>101</v>
      </c>
      <c r="BL482" t="s">
        <v>528</v>
      </c>
      <c r="BM482" t="s">
        <v>9490</v>
      </c>
      <c r="BN482" t="s">
        <v>74</v>
      </c>
      <c r="BO482" t="s">
        <v>131</v>
      </c>
      <c r="BP482" t="s">
        <v>74</v>
      </c>
      <c r="BQ482" t="s">
        <v>74</v>
      </c>
      <c r="BR482" t="s">
        <v>104</v>
      </c>
      <c r="BS482" t="s">
        <v>9491</v>
      </c>
      <c r="BT482" t="str">
        <f>HYPERLINK("https%3A%2F%2Fwww.webofscience.com%2Fwos%2Fwoscc%2Ffull-record%2FWOS:000457106600007","View Full Record in Web of Science")</f>
        <v>View Full Record in Web of Science</v>
      </c>
    </row>
    <row r="483" spans="1:72" x14ac:dyDescent="0.15">
      <c r="A483" t="s">
        <v>72</v>
      </c>
      <c r="B483" t="s">
        <v>4935</v>
      </c>
      <c r="C483" t="s">
        <v>74</v>
      </c>
      <c r="D483" t="s">
        <v>74</v>
      </c>
      <c r="E483" t="s">
        <v>74</v>
      </c>
      <c r="F483" t="s">
        <v>4935</v>
      </c>
      <c r="G483" t="s">
        <v>74</v>
      </c>
      <c r="H483" t="s">
        <v>74</v>
      </c>
      <c r="I483" t="s">
        <v>9492</v>
      </c>
      <c r="J483" t="s">
        <v>9493</v>
      </c>
      <c r="K483" t="s">
        <v>74</v>
      </c>
      <c r="L483" t="s">
        <v>74</v>
      </c>
      <c r="M483" t="s">
        <v>78</v>
      </c>
      <c r="N483" t="s">
        <v>4937</v>
      </c>
      <c r="O483" t="s">
        <v>74</v>
      </c>
      <c r="P483" t="s">
        <v>74</v>
      </c>
      <c r="Q483" t="s">
        <v>74</v>
      </c>
      <c r="R483" t="s">
        <v>74</v>
      </c>
      <c r="S483" t="s">
        <v>74</v>
      </c>
      <c r="T483" t="s">
        <v>74</v>
      </c>
      <c r="U483" t="s">
        <v>74</v>
      </c>
      <c r="V483" t="s">
        <v>74</v>
      </c>
      <c r="W483" t="s">
        <v>74</v>
      </c>
      <c r="X483" t="s">
        <v>74</v>
      </c>
      <c r="Y483" t="s">
        <v>74</v>
      </c>
      <c r="Z483" t="s">
        <v>74</v>
      </c>
      <c r="AA483" t="s">
        <v>74</v>
      </c>
      <c r="AB483" t="s">
        <v>74</v>
      </c>
      <c r="AC483" t="s">
        <v>74</v>
      </c>
      <c r="AD483" t="s">
        <v>74</v>
      </c>
      <c r="AE483" t="s">
        <v>74</v>
      </c>
      <c r="AF483" t="s">
        <v>74</v>
      </c>
      <c r="AG483">
        <v>3</v>
      </c>
      <c r="AH483">
        <v>0</v>
      </c>
      <c r="AI483">
        <v>0</v>
      </c>
      <c r="AJ483">
        <v>0</v>
      </c>
      <c r="AK483">
        <v>1</v>
      </c>
      <c r="AL483" t="s">
        <v>9494</v>
      </c>
      <c r="AM483" t="s">
        <v>9495</v>
      </c>
      <c r="AN483" t="s">
        <v>9496</v>
      </c>
      <c r="AO483" t="s">
        <v>9497</v>
      </c>
      <c r="AP483" t="s">
        <v>9498</v>
      </c>
      <c r="AQ483" t="s">
        <v>74</v>
      </c>
      <c r="AR483" t="s">
        <v>9493</v>
      </c>
      <c r="AS483" t="s">
        <v>9499</v>
      </c>
      <c r="AT483" t="s">
        <v>9222</v>
      </c>
      <c r="AU483">
        <v>2018</v>
      </c>
      <c r="AV483">
        <v>9</v>
      </c>
      <c r="AW483">
        <v>2</v>
      </c>
      <c r="AX483" t="s">
        <v>74</v>
      </c>
      <c r="AY483" t="s">
        <v>74</v>
      </c>
      <c r="AZ483" t="s">
        <v>74</v>
      </c>
      <c r="BA483" t="s">
        <v>74</v>
      </c>
      <c r="BB483">
        <v>69</v>
      </c>
      <c r="BC483">
        <v>70</v>
      </c>
      <c r="BD483" t="s">
        <v>74</v>
      </c>
      <c r="BE483" t="s">
        <v>74</v>
      </c>
      <c r="BF483" t="s">
        <v>74</v>
      </c>
      <c r="BG483" t="s">
        <v>74</v>
      </c>
      <c r="BH483" t="s">
        <v>74</v>
      </c>
      <c r="BI483">
        <v>2</v>
      </c>
      <c r="BJ483" t="s">
        <v>7667</v>
      </c>
      <c r="BK483" t="s">
        <v>101</v>
      </c>
      <c r="BL483" t="s">
        <v>7667</v>
      </c>
      <c r="BM483" t="s">
        <v>9500</v>
      </c>
      <c r="BN483" t="s">
        <v>74</v>
      </c>
      <c r="BO483" t="s">
        <v>74</v>
      </c>
      <c r="BP483" t="s">
        <v>74</v>
      </c>
      <c r="BQ483" t="s">
        <v>74</v>
      </c>
      <c r="BR483" t="s">
        <v>104</v>
      </c>
      <c r="BS483" t="s">
        <v>9501</v>
      </c>
      <c r="BT483" t="str">
        <f>HYPERLINK("https%3A%2F%2Fwww.webofscience.com%2Fwos%2Fwoscc%2Ffull-record%2FWOS:000457315600012","View Full Record in Web of Science")</f>
        <v>View Full Record in Web of Science</v>
      </c>
    </row>
    <row r="484" spans="1:72" x14ac:dyDescent="0.15">
      <c r="A484" t="s">
        <v>72</v>
      </c>
      <c r="B484" t="s">
        <v>9502</v>
      </c>
      <c r="C484" t="s">
        <v>74</v>
      </c>
      <c r="D484" t="s">
        <v>74</v>
      </c>
      <c r="E484" t="s">
        <v>74</v>
      </c>
      <c r="F484" t="s">
        <v>9503</v>
      </c>
      <c r="G484" t="s">
        <v>74</v>
      </c>
      <c r="H484" t="s">
        <v>74</v>
      </c>
      <c r="I484" t="s">
        <v>9504</v>
      </c>
      <c r="J484" t="s">
        <v>9505</v>
      </c>
      <c r="K484" t="s">
        <v>74</v>
      </c>
      <c r="L484" t="s">
        <v>74</v>
      </c>
      <c r="M484" t="s">
        <v>78</v>
      </c>
      <c r="N484" t="s">
        <v>79</v>
      </c>
      <c r="O484" t="s">
        <v>74</v>
      </c>
      <c r="P484" t="s">
        <v>74</v>
      </c>
      <c r="Q484" t="s">
        <v>74</v>
      </c>
      <c r="R484" t="s">
        <v>74</v>
      </c>
      <c r="S484" t="s">
        <v>74</v>
      </c>
      <c r="T484" t="s">
        <v>9506</v>
      </c>
      <c r="U484" t="s">
        <v>9507</v>
      </c>
      <c r="V484" t="s">
        <v>9508</v>
      </c>
      <c r="W484" t="s">
        <v>9509</v>
      </c>
      <c r="X484" t="s">
        <v>9510</v>
      </c>
      <c r="Y484" t="s">
        <v>9511</v>
      </c>
      <c r="Z484" t="s">
        <v>9512</v>
      </c>
      <c r="AA484" t="s">
        <v>74</v>
      </c>
      <c r="AB484" t="s">
        <v>74</v>
      </c>
      <c r="AC484" t="s">
        <v>9513</v>
      </c>
      <c r="AD484" t="s">
        <v>9514</v>
      </c>
      <c r="AE484" t="s">
        <v>9515</v>
      </c>
      <c r="AF484" t="s">
        <v>74</v>
      </c>
      <c r="AG484">
        <v>45</v>
      </c>
      <c r="AH484">
        <v>10</v>
      </c>
      <c r="AI484">
        <v>12</v>
      </c>
      <c r="AJ484">
        <v>1</v>
      </c>
      <c r="AK484">
        <v>31</v>
      </c>
      <c r="AL484" t="s">
        <v>4010</v>
      </c>
      <c r="AM484" t="s">
        <v>4011</v>
      </c>
      <c r="AN484" t="s">
        <v>4012</v>
      </c>
      <c r="AO484" t="s">
        <v>74</v>
      </c>
      <c r="AP484" t="s">
        <v>9516</v>
      </c>
      <c r="AQ484" t="s">
        <v>74</v>
      </c>
      <c r="AR484" t="s">
        <v>9517</v>
      </c>
      <c r="AS484" t="s">
        <v>9518</v>
      </c>
      <c r="AT484" t="s">
        <v>9222</v>
      </c>
      <c r="AU484">
        <v>2018</v>
      </c>
      <c r="AV484">
        <v>15</v>
      </c>
      <c r="AW484">
        <v>12</v>
      </c>
      <c r="AX484" t="s">
        <v>74</v>
      </c>
      <c r="AY484" t="s">
        <v>74</v>
      </c>
      <c r="AZ484" t="s">
        <v>74</v>
      </c>
      <c r="BA484" t="s">
        <v>74</v>
      </c>
      <c r="BB484" t="s">
        <v>74</v>
      </c>
      <c r="BC484" t="s">
        <v>74</v>
      </c>
      <c r="BD484">
        <v>2661</v>
      </c>
      <c r="BE484" t="s">
        <v>9519</v>
      </c>
      <c r="BF484" t="str">
        <f>HYPERLINK("http://dx.doi.org/10.3390/ijerph15122661","http://dx.doi.org/10.3390/ijerph15122661")</f>
        <v>http://dx.doi.org/10.3390/ijerph15122661</v>
      </c>
      <c r="BG484" t="s">
        <v>74</v>
      </c>
      <c r="BH484" t="s">
        <v>74</v>
      </c>
      <c r="BI484">
        <v>15</v>
      </c>
      <c r="BJ484" t="s">
        <v>158</v>
      </c>
      <c r="BK484" t="s">
        <v>3493</v>
      </c>
      <c r="BL484" t="s">
        <v>160</v>
      </c>
      <c r="BM484" t="s">
        <v>9520</v>
      </c>
      <c r="BN484">
        <v>30486379</v>
      </c>
      <c r="BO484" t="s">
        <v>8859</v>
      </c>
      <c r="BP484" t="s">
        <v>74</v>
      </c>
      <c r="BQ484" t="s">
        <v>74</v>
      </c>
      <c r="BR484" t="s">
        <v>104</v>
      </c>
      <c r="BS484" t="s">
        <v>9521</v>
      </c>
      <c r="BT484" t="str">
        <f>HYPERLINK("https%3A%2F%2Fwww.webofscience.com%2Fwos%2Fwoscc%2Ffull-record%2FWOS:000456527000052","View Full Record in Web of Science")</f>
        <v>View Full Record in Web of Science</v>
      </c>
    </row>
    <row r="485" spans="1:72" x14ac:dyDescent="0.15">
      <c r="A485" t="s">
        <v>72</v>
      </c>
      <c r="B485" t="s">
        <v>9522</v>
      </c>
      <c r="C485" t="s">
        <v>74</v>
      </c>
      <c r="D485" t="s">
        <v>74</v>
      </c>
      <c r="E485" t="s">
        <v>74</v>
      </c>
      <c r="F485" t="s">
        <v>9523</v>
      </c>
      <c r="G485" t="s">
        <v>74</v>
      </c>
      <c r="H485" t="s">
        <v>74</v>
      </c>
      <c r="I485" t="s">
        <v>9524</v>
      </c>
      <c r="J485" t="s">
        <v>9525</v>
      </c>
      <c r="K485" t="s">
        <v>74</v>
      </c>
      <c r="L485" t="s">
        <v>74</v>
      </c>
      <c r="M485" t="s">
        <v>78</v>
      </c>
      <c r="N485" t="s">
        <v>79</v>
      </c>
      <c r="O485" t="s">
        <v>74</v>
      </c>
      <c r="P485" t="s">
        <v>74</v>
      </c>
      <c r="Q485" t="s">
        <v>74</v>
      </c>
      <c r="R485" t="s">
        <v>74</v>
      </c>
      <c r="S485" t="s">
        <v>74</v>
      </c>
      <c r="T485" t="s">
        <v>9526</v>
      </c>
      <c r="U485" t="s">
        <v>9527</v>
      </c>
      <c r="V485" t="s">
        <v>9528</v>
      </c>
      <c r="W485" t="s">
        <v>9529</v>
      </c>
      <c r="X485" t="s">
        <v>9530</v>
      </c>
      <c r="Y485" t="s">
        <v>9531</v>
      </c>
      <c r="Z485" t="s">
        <v>9532</v>
      </c>
      <c r="AA485" t="s">
        <v>9533</v>
      </c>
      <c r="AB485" t="s">
        <v>9534</v>
      </c>
      <c r="AC485" t="s">
        <v>9535</v>
      </c>
      <c r="AD485" t="s">
        <v>9536</v>
      </c>
      <c r="AE485" t="s">
        <v>9537</v>
      </c>
      <c r="AF485" t="s">
        <v>74</v>
      </c>
      <c r="AG485">
        <v>42</v>
      </c>
      <c r="AH485">
        <v>8</v>
      </c>
      <c r="AI485">
        <v>10</v>
      </c>
      <c r="AJ485">
        <v>2</v>
      </c>
      <c r="AK485">
        <v>30</v>
      </c>
      <c r="AL485" t="s">
        <v>3670</v>
      </c>
      <c r="AM485" t="s">
        <v>3671</v>
      </c>
      <c r="AN485" t="s">
        <v>3672</v>
      </c>
      <c r="AO485" t="s">
        <v>9538</v>
      </c>
      <c r="AP485" t="s">
        <v>9539</v>
      </c>
      <c r="AQ485" t="s">
        <v>74</v>
      </c>
      <c r="AR485" t="s">
        <v>9540</v>
      </c>
      <c r="AS485" t="s">
        <v>9541</v>
      </c>
      <c r="AT485" t="s">
        <v>9222</v>
      </c>
      <c r="AU485">
        <v>2018</v>
      </c>
      <c r="AV485">
        <v>42</v>
      </c>
      <c r="AW485">
        <v>6</v>
      </c>
      <c r="AX485" t="s">
        <v>74</v>
      </c>
      <c r="AY485" t="s">
        <v>74</v>
      </c>
      <c r="AZ485" t="s">
        <v>74</v>
      </c>
      <c r="BA485" t="s">
        <v>74</v>
      </c>
      <c r="BB485" t="s">
        <v>74</v>
      </c>
      <c r="BC485" t="s">
        <v>74</v>
      </c>
      <c r="BD485" t="s">
        <v>9542</v>
      </c>
      <c r="BE485" t="s">
        <v>9543</v>
      </c>
      <c r="BF485" t="str">
        <f>HYPERLINK("http://dx.doi.org/10.1111/jfbc.12691","http://dx.doi.org/10.1111/jfbc.12691")</f>
        <v>http://dx.doi.org/10.1111/jfbc.12691</v>
      </c>
      <c r="BG485" t="s">
        <v>74</v>
      </c>
      <c r="BH485" t="s">
        <v>74</v>
      </c>
      <c r="BI485">
        <v>12</v>
      </c>
      <c r="BJ485" t="s">
        <v>9544</v>
      </c>
      <c r="BK485" t="s">
        <v>101</v>
      </c>
      <c r="BL485" t="s">
        <v>9544</v>
      </c>
      <c r="BM485" t="s">
        <v>9545</v>
      </c>
      <c r="BN485" t="s">
        <v>74</v>
      </c>
      <c r="BO485" t="s">
        <v>131</v>
      </c>
      <c r="BP485" t="s">
        <v>74</v>
      </c>
      <c r="BQ485" t="s">
        <v>74</v>
      </c>
      <c r="BR485" t="s">
        <v>104</v>
      </c>
      <c r="BS485" t="s">
        <v>9546</v>
      </c>
      <c r="BT485" t="str">
        <f>HYPERLINK("https%3A%2F%2Fwww.webofscience.com%2Fwos%2Fwoscc%2Ffull-record%2FWOS:000456942100053","View Full Record in Web of Science")</f>
        <v>View Full Record in Web of Science</v>
      </c>
    </row>
    <row r="486" spans="1:72" x14ac:dyDescent="0.15">
      <c r="A486" t="s">
        <v>72</v>
      </c>
      <c r="B486" t="s">
        <v>9547</v>
      </c>
      <c r="C486" t="s">
        <v>74</v>
      </c>
      <c r="D486" t="s">
        <v>74</v>
      </c>
      <c r="E486" t="s">
        <v>74</v>
      </c>
      <c r="F486" t="s">
        <v>9548</v>
      </c>
      <c r="G486" t="s">
        <v>74</v>
      </c>
      <c r="H486" t="s">
        <v>74</v>
      </c>
      <c r="I486" t="s">
        <v>9549</v>
      </c>
      <c r="J486" t="s">
        <v>4496</v>
      </c>
      <c r="K486" t="s">
        <v>74</v>
      </c>
      <c r="L486" t="s">
        <v>74</v>
      </c>
      <c r="M486" t="s">
        <v>78</v>
      </c>
      <c r="N486" t="s">
        <v>79</v>
      </c>
      <c r="O486" t="s">
        <v>74</v>
      </c>
      <c r="P486" t="s">
        <v>74</v>
      </c>
      <c r="Q486" t="s">
        <v>74</v>
      </c>
      <c r="R486" t="s">
        <v>74</v>
      </c>
      <c r="S486" t="s">
        <v>74</v>
      </c>
      <c r="T486" t="s">
        <v>9550</v>
      </c>
      <c r="U486" t="s">
        <v>9551</v>
      </c>
      <c r="V486" t="s">
        <v>9552</v>
      </c>
      <c r="W486" t="s">
        <v>9553</v>
      </c>
      <c r="X486" t="s">
        <v>9554</v>
      </c>
      <c r="Y486" t="s">
        <v>9555</v>
      </c>
      <c r="Z486" t="s">
        <v>9556</v>
      </c>
      <c r="AA486" t="s">
        <v>74</v>
      </c>
      <c r="AB486" t="s">
        <v>9557</v>
      </c>
      <c r="AC486" t="s">
        <v>74</v>
      </c>
      <c r="AD486" t="s">
        <v>74</v>
      </c>
      <c r="AE486" t="s">
        <v>74</v>
      </c>
      <c r="AF486" t="s">
        <v>74</v>
      </c>
      <c r="AG486">
        <v>44</v>
      </c>
      <c r="AH486">
        <v>4</v>
      </c>
      <c r="AI486">
        <v>4</v>
      </c>
      <c r="AJ486">
        <v>0</v>
      </c>
      <c r="AK486">
        <v>11</v>
      </c>
      <c r="AL486" t="s">
        <v>4034</v>
      </c>
      <c r="AM486" t="s">
        <v>4035</v>
      </c>
      <c r="AN486" t="s">
        <v>4036</v>
      </c>
      <c r="AO486" t="s">
        <v>4507</v>
      </c>
      <c r="AP486" t="s">
        <v>4508</v>
      </c>
      <c r="AQ486" t="s">
        <v>74</v>
      </c>
      <c r="AR486" t="s">
        <v>4509</v>
      </c>
      <c r="AS486" t="s">
        <v>4510</v>
      </c>
      <c r="AT486" t="s">
        <v>9222</v>
      </c>
      <c r="AU486">
        <v>2018</v>
      </c>
      <c r="AV486">
        <v>123</v>
      </c>
      <c r="AW486">
        <v>12</v>
      </c>
      <c r="AX486" t="s">
        <v>74</v>
      </c>
      <c r="AY486" t="s">
        <v>74</v>
      </c>
      <c r="AZ486" t="s">
        <v>74</v>
      </c>
      <c r="BA486" t="s">
        <v>74</v>
      </c>
      <c r="BB486">
        <v>8688</v>
      </c>
      <c r="BC486">
        <v>8700</v>
      </c>
      <c r="BD486" t="s">
        <v>74</v>
      </c>
      <c r="BE486" t="s">
        <v>9558</v>
      </c>
      <c r="BF486" t="str">
        <f>HYPERLINK("http://dx.doi.org/10.1029/2018JC014142","http://dx.doi.org/10.1029/2018JC014142")</f>
        <v>http://dx.doi.org/10.1029/2018JC014142</v>
      </c>
      <c r="BG486" t="s">
        <v>74</v>
      </c>
      <c r="BH486" t="s">
        <v>74</v>
      </c>
      <c r="BI486">
        <v>13</v>
      </c>
      <c r="BJ486" t="s">
        <v>773</v>
      </c>
      <c r="BK486" t="s">
        <v>101</v>
      </c>
      <c r="BL486" t="s">
        <v>773</v>
      </c>
      <c r="BM486" t="s">
        <v>9559</v>
      </c>
      <c r="BN486" t="s">
        <v>74</v>
      </c>
      <c r="BO486" t="s">
        <v>162</v>
      </c>
      <c r="BP486" t="s">
        <v>74</v>
      </c>
      <c r="BQ486" t="s">
        <v>74</v>
      </c>
      <c r="BR486" t="s">
        <v>104</v>
      </c>
      <c r="BS486" t="s">
        <v>9560</v>
      </c>
      <c r="BT486" t="str">
        <f>HYPERLINK("https%3A%2F%2Fwww.webofscience.com%2Fwos%2Fwoscc%2Ffull-record%2FWOS:000456405900002","View Full Record in Web of Science")</f>
        <v>View Full Record in Web of Science</v>
      </c>
    </row>
    <row r="487" spans="1:72" x14ac:dyDescent="0.15">
      <c r="A487" t="s">
        <v>72</v>
      </c>
      <c r="B487" t="s">
        <v>9561</v>
      </c>
      <c r="C487" t="s">
        <v>74</v>
      </c>
      <c r="D487" t="s">
        <v>74</v>
      </c>
      <c r="E487" t="s">
        <v>74</v>
      </c>
      <c r="F487" t="s">
        <v>9562</v>
      </c>
      <c r="G487" t="s">
        <v>74</v>
      </c>
      <c r="H487" t="s">
        <v>74</v>
      </c>
      <c r="I487" t="s">
        <v>9563</v>
      </c>
      <c r="J487" t="s">
        <v>4496</v>
      </c>
      <c r="K487" t="s">
        <v>74</v>
      </c>
      <c r="L487" t="s">
        <v>74</v>
      </c>
      <c r="M487" t="s">
        <v>78</v>
      </c>
      <c r="N487" t="s">
        <v>79</v>
      </c>
      <c r="O487" t="s">
        <v>74</v>
      </c>
      <c r="P487" t="s">
        <v>74</v>
      </c>
      <c r="Q487" t="s">
        <v>74</v>
      </c>
      <c r="R487" t="s">
        <v>74</v>
      </c>
      <c r="S487" t="s">
        <v>74</v>
      </c>
      <c r="T487" t="s">
        <v>9564</v>
      </c>
      <c r="U487" t="s">
        <v>9565</v>
      </c>
      <c r="V487" t="s">
        <v>9566</v>
      </c>
      <c r="W487" t="s">
        <v>9567</v>
      </c>
      <c r="X487" t="s">
        <v>9568</v>
      </c>
      <c r="Y487" t="s">
        <v>9569</v>
      </c>
      <c r="Z487" t="s">
        <v>9570</v>
      </c>
      <c r="AA487" t="s">
        <v>9571</v>
      </c>
      <c r="AB487" t="s">
        <v>9572</v>
      </c>
      <c r="AC487" t="s">
        <v>9573</v>
      </c>
      <c r="AD487" t="s">
        <v>9574</v>
      </c>
      <c r="AE487" t="s">
        <v>9575</v>
      </c>
      <c r="AF487" t="s">
        <v>74</v>
      </c>
      <c r="AG487">
        <v>55</v>
      </c>
      <c r="AH487">
        <v>10</v>
      </c>
      <c r="AI487">
        <v>10</v>
      </c>
      <c r="AJ487">
        <v>1</v>
      </c>
      <c r="AK487">
        <v>13</v>
      </c>
      <c r="AL487" t="s">
        <v>4034</v>
      </c>
      <c r="AM487" t="s">
        <v>4035</v>
      </c>
      <c r="AN487" t="s">
        <v>4036</v>
      </c>
      <c r="AO487" t="s">
        <v>4507</v>
      </c>
      <c r="AP487" t="s">
        <v>4508</v>
      </c>
      <c r="AQ487" t="s">
        <v>74</v>
      </c>
      <c r="AR487" t="s">
        <v>4509</v>
      </c>
      <c r="AS487" t="s">
        <v>4510</v>
      </c>
      <c r="AT487" t="s">
        <v>9222</v>
      </c>
      <c r="AU487">
        <v>2018</v>
      </c>
      <c r="AV487">
        <v>123</v>
      </c>
      <c r="AW487">
        <v>12</v>
      </c>
      <c r="AX487" t="s">
        <v>74</v>
      </c>
      <c r="AY487" t="s">
        <v>74</v>
      </c>
      <c r="AZ487" t="s">
        <v>74</v>
      </c>
      <c r="BA487" t="s">
        <v>74</v>
      </c>
      <c r="BB487">
        <v>8714</v>
      </c>
      <c r="BC487">
        <v>8729</v>
      </c>
      <c r="BD487" t="s">
        <v>74</v>
      </c>
      <c r="BE487" t="s">
        <v>9576</v>
      </c>
      <c r="BF487" t="str">
        <f>HYPERLINK("http://dx.doi.org/10.1029/2018JC014320","http://dx.doi.org/10.1029/2018JC014320")</f>
        <v>http://dx.doi.org/10.1029/2018JC014320</v>
      </c>
      <c r="BG487" t="s">
        <v>74</v>
      </c>
      <c r="BH487" t="s">
        <v>74</v>
      </c>
      <c r="BI487">
        <v>16</v>
      </c>
      <c r="BJ487" t="s">
        <v>773</v>
      </c>
      <c r="BK487" t="s">
        <v>101</v>
      </c>
      <c r="BL487" t="s">
        <v>773</v>
      </c>
      <c r="BM487" t="s">
        <v>9559</v>
      </c>
      <c r="BN487" t="s">
        <v>74</v>
      </c>
      <c r="BO487" t="s">
        <v>9577</v>
      </c>
      <c r="BP487" t="s">
        <v>74</v>
      </c>
      <c r="BQ487" t="s">
        <v>74</v>
      </c>
      <c r="BR487" t="s">
        <v>104</v>
      </c>
      <c r="BS487" t="s">
        <v>9578</v>
      </c>
      <c r="BT487" t="str">
        <f>HYPERLINK("https%3A%2F%2Fwww.webofscience.com%2Fwos%2Fwoscc%2Ffull-record%2FWOS:000456405900004","View Full Record in Web of Science")</f>
        <v>View Full Record in Web of Science</v>
      </c>
    </row>
    <row r="488" spans="1:72" x14ac:dyDescent="0.15">
      <c r="A488" t="s">
        <v>72</v>
      </c>
      <c r="B488" t="s">
        <v>9579</v>
      </c>
      <c r="C488" t="s">
        <v>74</v>
      </c>
      <c r="D488" t="s">
        <v>74</v>
      </c>
      <c r="E488" t="s">
        <v>74</v>
      </c>
      <c r="F488" t="s">
        <v>9580</v>
      </c>
      <c r="G488" t="s">
        <v>74</v>
      </c>
      <c r="H488" t="s">
        <v>74</v>
      </c>
      <c r="I488" t="s">
        <v>9581</v>
      </c>
      <c r="J488" t="s">
        <v>4496</v>
      </c>
      <c r="K488" t="s">
        <v>74</v>
      </c>
      <c r="L488" t="s">
        <v>74</v>
      </c>
      <c r="M488" t="s">
        <v>78</v>
      </c>
      <c r="N488" t="s">
        <v>79</v>
      </c>
      <c r="O488" t="s">
        <v>74</v>
      </c>
      <c r="P488" t="s">
        <v>74</v>
      </c>
      <c r="Q488" t="s">
        <v>74</v>
      </c>
      <c r="R488" t="s">
        <v>74</v>
      </c>
      <c r="S488" t="s">
        <v>74</v>
      </c>
      <c r="T488" t="s">
        <v>9582</v>
      </c>
      <c r="U488" t="s">
        <v>9583</v>
      </c>
      <c r="V488" t="s">
        <v>9584</v>
      </c>
      <c r="W488" t="s">
        <v>9585</v>
      </c>
      <c r="X488" t="s">
        <v>9586</v>
      </c>
      <c r="Y488" t="s">
        <v>9587</v>
      </c>
      <c r="Z488" t="s">
        <v>9588</v>
      </c>
      <c r="AA488" t="s">
        <v>74</v>
      </c>
      <c r="AB488" t="s">
        <v>9589</v>
      </c>
      <c r="AC488" t="s">
        <v>9590</v>
      </c>
      <c r="AD488" t="s">
        <v>9591</v>
      </c>
      <c r="AE488" t="s">
        <v>9592</v>
      </c>
      <c r="AF488" t="s">
        <v>74</v>
      </c>
      <c r="AG488">
        <v>96</v>
      </c>
      <c r="AH488">
        <v>11</v>
      </c>
      <c r="AI488">
        <v>15</v>
      </c>
      <c r="AJ488">
        <v>0</v>
      </c>
      <c r="AK488">
        <v>15</v>
      </c>
      <c r="AL488" t="s">
        <v>4034</v>
      </c>
      <c r="AM488" t="s">
        <v>4035</v>
      </c>
      <c r="AN488" t="s">
        <v>4036</v>
      </c>
      <c r="AO488" t="s">
        <v>4507</v>
      </c>
      <c r="AP488" t="s">
        <v>4508</v>
      </c>
      <c r="AQ488" t="s">
        <v>74</v>
      </c>
      <c r="AR488" t="s">
        <v>4509</v>
      </c>
      <c r="AS488" t="s">
        <v>4510</v>
      </c>
      <c r="AT488" t="s">
        <v>9222</v>
      </c>
      <c r="AU488">
        <v>2018</v>
      </c>
      <c r="AV488">
        <v>123</v>
      </c>
      <c r="AW488">
        <v>12</v>
      </c>
      <c r="AX488" t="s">
        <v>74</v>
      </c>
      <c r="AY488" t="s">
        <v>74</v>
      </c>
      <c r="AZ488" t="s">
        <v>74</v>
      </c>
      <c r="BA488" t="s">
        <v>74</v>
      </c>
      <c r="BB488">
        <v>8812</v>
      </c>
      <c r="BC488">
        <v>8827</v>
      </c>
      <c r="BD488" t="s">
        <v>74</v>
      </c>
      <c r="BE488" t="s">
        <v>9593</v>
      </c>
      <c r="BF488" t="str">
        <f>HYPERLINK("http://dx.doi.org/10.1029/2018JC014388","http://dx.doi.org/10.1029/2018JC014388")</f>
        <v>http://dx.doi.org/10.1029/2018JC014388</v>
      </c>
      <c r="BG488" t="s">
        <v>74</v>
      </c>
      <c r="BH488" t="s">
        <v>74</v>
      </c>
      <c r="BI488">
        <v>16</v>
      </c>
      <c r="BJ488" t="s">
        <v>773</v>
      </c>
      <c r="BK488" t="s">
        <v>101</v>
      </c>
      <c r="BL488" t="s">
        <v>773</v>
      </c>
      <c r="BM488" t="s">
        <v>9559</v>
      </c>
      <c r="BN488" t="s">
        <v>74</v>
      </c>
      <c r="BO488" t="s">
        <v>428</v>
      </c>
      <c r="BP488" t="s">
        <v>74</v>
      </c>
      <c r="BQ488" t="s">
        <v>74</v>
      </c>
      <c r="BR488" t="s">
        <v>104</v>
      </c>
      <c r="BS488" t="s">
        <v>9594</v>
      </c>
      <c r="BT488" t="str">
        <f>HYPERLINK("https%3A%2F%2Fwww.webofscience.com%2Fwos%2Fwoscc%2Ffull-record%2FWOS:000456405900009","View Full Record in Web of Science")</f>
        <v>View Full Record in Web of Science</v>
      </c>
    </row>
    <row r="489" spans="1:72" x14ac:dyDescent="0.15">
      <c r="A489" t="s">
        <v>72</v>
      </c>
      <c r="B489" t="s">
        <v>9595</v>
      </c>
      <c r="C489" t="s">
        <v>74</v>
      </c>
      <c r="D489" t="s">
        <v>74</v>
      </c>
      <c r="E489" t="s">
        <v>74</v>
      </c>
      <c r="F489" t="s">
        <v>9596</v>
      </c>
      <c r="G489" t="s">
        <v>74</v>
      </c>
      <c r="H489" t="s">
        <v>74</v>
      </c>
      <c r="I489" t="s">
        <v>9597</v>
      </c>
      <c r="J489" t="s">
        <v>4496</v>
      </c>
      <c r="K489" t="s">
        <v>74</v>
      </c>
      <c r="L489" t="s">
        <v>74</v>
      </c>
      <c r="M489" t="s">
        <v>78</v>
      </c>
      <c r="N489" t="s">
        <v>79</v>
      </c>
      <c r="O489" t="s">
        <v>74</v>
      </c>
      <c r="P489" t="s">
        <v>74</v>
      </c>
      <c r="Q489" t="s">
        <v>74</v>
      </c>
      <c r="R489" t="s">
        <v>74</v>
      </c>
      <c r="S489" t="s">
        <v>74</v>
      </c>
      <c r="T489" t="s">
        <v>9598</v>
      </c>
      <c r="U489" t="s">
        <v>9599</v>
      </c>
      <c r="V489" t="s">
        <v>9600</v>
      </c>
      <c r="W489" t="s">
        <v>9601</v>
      </c>
      <c r="X489" t="s">
        <v>9602</v>
      </c>
      <c r="Y489" t="s">
        <v>9603</v>
      </c>
      <c r="Z489" t="s">
        <v>9604</v>
      </c>
      <c r="AA489" t="s">
        <v>9605</v>
      </c>
      <c r="AB489" t="s">
        <v>9606</v>
      </c>
      <c r="AC489" t="s">
        <v>9607</v>
      </c>
      <c r="AD489" t="s">
        <v>9608</v>
      </c>
      <c r="AE489" t="s">
        <v>9609</v>
      </c>
      <c r="AF489" t="s">
        <v>74</v>
      </c>
      <c r="AG489">
        <v>48</v>
      </c>
      <c r="AH489">
        <v>12</v>
      </c>
      <c r="AI489">
        <v>13</v>
      </c>
      <c r="AJ489">
        <v>0</v>
      </c>
      <c r="AK489">
        <v>4</v>
      </c>
      <c r="AL489" t="s">
        <v>4034</v>
      </c>
      <c r="AM489" t="s">
        <v>4035</v>
      </c>
      <c r="AN489" t="s">
        <v>4036</v>
      </c>
      <c r="AO489" t="s">
        <v>4507</v>
      </c>
      <c r="AP489" t="s">
        <v>4508</v>
      </c>
      <c r="AQ489" t="s">
        <v>74</v>
      </c>
      <c r="AR489" t="s">
        <v>4509</v>
      </c>
      <c r="AS489" t="s">
        <v>4510</v>
      </c>
      <c r="AT489" t="s">
        <v>9222</v>
      </c>
      <c r="AU489">
        <v>2018</v>
      </c>
      <c r="AV489">
        <v>123</v>
      </c>
      <c r="AW489">
        <v>12</v>
      </c>
      <c r="AX489" t="s">
        <v>74</v>
      </c>
      <c r="AY489" t="s">
        <v>74</v>
      </c>
      <c r="AZ489" t="s">
        <v>74</v>
      </c>
      <c r="BA489" t="s">
        <v>74</v>
      </c>
      <c r="BB489">
        <v>8862</v>
      </c>
      <c r="BC489">
        <v>8876</v>
      </c>
      <c r="BD489" t="s">
        <v>74</v>
      </c>
      <c r="BE489" t="s">
        <v>9610</v>
      </c>
      <c r="BF489" t="str">
        <f>HYPERLINK("http://dx.doi.org/10.1029/2018JC014447","http://dx.doi.org/10.1029/2018JC014447")</f>
        <v>http://dx.doi.org/10.1029/2018JC014447</v>
      </c>
      <c r="BG489" t="s">
        <v>74</v>
      </c>
      <c r="BH489" t="s">
        <v>74</v>
      </c>
      <c r="BI489">
        <v>15</v>
      </c>
      <c r="BJ489" t="s">
        <v>773</v>
      </c>
      <c r="BK489" t="s">
        <v>101</v>
      </c>
      <c r="BL489" t="s">
        <v>773</v>
      </c>
      <c r="BM489" t="s">
        <v>9559</v>
      </c>
      <c r="BN489" t="s">
        <v>74</v>
      </c>
      <c r="BO489" t="s">
        <v>3810</v>
      </c>
      <c r="BP489" t="s">
        <v>74</v>
      </c>
      <c r="BQ489" t="s">
        <v>74</v>
      </c>
      <c r="BR489" t="s">
        <v>104</v>
      </c>
      <c r="BS489" t="s">
        <v>9611</v>
      </c>
      <c r="BT489" t="str">
        <f>HYPERLINK("https%3A%2F%2Fwww.webofscience.com%2Fwos%2Fwoscc%2Ffull-record%2FWOS:000456405900012","View Full Record in Web of Science")</f>
        <v>View Full Record in Web of Science</v>
      </c>
    </row>
    <row r="490" spans="1:72" x14ac:dyDescent="0.15">
      <c r="A490" t="s">
        <v>72</v>
      </c>
      <c r="B490" t="s">
        <v>9612</v>
      </c>
      <c r="C490" t="s">
        <v>74</v>
      </c>
      <c r="D490" t="s">
        <v>74</v>
      </c>
      <c r="E490" t="s">
        <v>74</v>
      </c>
      <c r="F490" t="s">
        <v>9613</v>
      </c>
      <c r="G490" t="s">
        <v>74</v>
      </c>
      <c r="H490" t="s">
        <v>74</v>
      </c>
      <c r="I490" t="s">
        <v>9614</v>
      </c>
      <c r="J490" t="s">
        <v>4496</v>
      </c>
      <c r="K490" t="s">
        <v>74</v>
      </c>
      <c r="L490" t="s">
        <v>74</v>
      </c>
      <c r="M490" t="s">
        <v>78</v>
      </c>
      <c r="N490" t="s">
        <v>79</v>
      </c>
      <c r="O490" t="s">
        <v>74</v>
      </c>
      <c r="P490" t="s">
        <v>74</v>
      </c>
      <c r="Q490" t="s">
        <v>74</v>
      </c>
      <c r="R490" t="s">
        <v>74</v>
      </c>
      <c r="S490" t="s">
        <v>74</v>
      </c>
      <c r="T490" t="s">
        <v>9615</v>
      </c>
      <c r="U490" t="s">
        <v>9616</v>
      </c>
      <c r="V490" t="s">
        <v>9617</v>
      </c>
      <c r="W490" t="s">
        <v>9618</v>
      </c>
      <c r="X490" t="s">
        <v>9619</v>
      </c>
      <c r="Y490" t="s">
        <v>9620</v>
      </c>
      <c r="Z490" t="s">
        <v>9621</v>
      </c>
      <c r="AA490" t="s">
        <v>9622</v>
      </c>
      <c r="AB490" t="s">
        <v>9623</v>
      </c>
      <c r="AC490" t="s">
        <v>9624</v>
      </c>
      <c r="AD490" t="s">
        <v>9624</v>
      </c>
      <c r="AE490" t="s">
        <v>9625</v>
      </c>
      <c r="AF490" t="s">
        <v>74</v>
      </c>
      <c r="AG490">
        <v>34</v>
      </c>
      <c r="AH490">
        <v>3</v>
      </c>
      <c r="AI490">
        <v>3</v>
      </c>
      <c r="AJ490">
        <v>1</v>
      </c>
      <c r="AK490">
        <v>8</v>
      </c>
      <c r="AL490" t="s">
        <v>4034</v>
      </c>
      <c r="AM490" t="s">
        <v>4035</v>
      </c>
      <c r="AN490" t="s">
        <v>4036</v>
      </c>
      <c r="AO490" t="s">
        <v>4507</v>
      </c>
      <c r="AP490" t="s">
        <v>4508</v>
      </c>
      <c r="AQ490" t="s">
        <v>74</v>
      </c>
      <c r="AR490" t="s">
        <v>4509</v>
      </c>
      <c r="AS490" t="s">
        <v>4510</v>
      </c>
      <c r="AT490" t="s">
        <v>9222</v>
      </c>
      <c r="AU490">
        <v>2018</v>
      </c>
      <c r="AV490">
        <v>123</v>
      </c>
      <c r="AW490">
        <v>12</v>
      </c>
      <c r="AX490" t="s">
        <v>74</v>
      </c>
      <c r="AY490" t="s">
        <v>74</v>
      </c>
      <c r="AZ490" t="s">
        <v>74</v>
      </c>
      <c r="BA490" t="s">
        <v>74</v>
      </c>
      <c r="BB490">
        <v>8958</v>
      </c>
      <c r="BC490">
        <v>8969</v>
      </c>
      <c r="BD490" t="s">
        <v>74</v>
      </c>
      <c r="BE490" t="s">
        <v>9626</v>
      </c>
      <c r="BF490" t="str">
        <f>HYPERLINK("http://dx.doi.org/10.1029/2017JC013272","http://dx.doi.org/10.1029/2017JC013272")</f>
        <v>http://dx.doi.org/10.1029/2017JC013272</v>
      </c>
      <c r="BG490" t="s">
        <v>74</v>
      </c>
      <c r="BH490" t="s">
        <v>74</v>
      </c>
      <c r="BI490">
        <v>12</v>
      </c>
      <c r="BJ490" t="s">
        <v>773</v>
      </c>
      <c r="BK490" t="s">
        <v>101</v>
      </c>
      <c r="BL490" t="s">
        <v>773</v>
      </c>
      <c r="BM490" t="s">
        <v>9559</v>
      </c>
      <c r="BN490" t="s">
        <v>74</v>
      </c>
      <c r="BO490" t="s">
        <v>162</v>
      </c>
      <c r="BP490" t="s">
        <v>74</v>
      </c>
      <c r="BQ490" t="s">
        <v>74</v>
      </c>
      <c r="BR490" t="s">
        <v>104</v>
      </c>
      <c r="BS490" t="s">
        <v>9627</v>
      </c>
      <c r="BT490" t="str">
        <f>HYPERLINK("https%3A%2F%2Fwww.webofscience.com%2Fwos%2Fwoscc%2Ffull-record%2FWOS:000456405900018","View Full Record in Web of Science")</f>
        <v>View Full Record in Web of Science</v>
      </c>
    </row>
    <row r="491" spans="1:72" x14ac:dyDescent="0.15">
      <c r="A491" t="s">
        <v>72</v>
      </c>
      <c r="B491" t="s">
        <v>9628</v>
      </c>
      <c r="C491" t="s">
        <v>74</v>
      </c>
      <c r="D491" t="s">
        <v>74</v>
      </c>
      <c r="E491" t="s">
        <v>74</v>
      </c>
      <c r="F491" t="s">
        <v>9629</v>
      </c>
      <c r="G491" t="s">
        <v>74</v>
      </c>
      <c r="H491" t="s">
        <v>74</v>
      </c>
      <c r="I491" t="s">
        <v>9630</v>
      </c>
      <c r="J491" t="s">
        <v>4496</v>
      </c>
      <c r="K491" t="s">
        <v>74</v>
      </c>
      <c r="L491" t="s">
        <v>74</v>
      </c>
      <c r="M491" t="s">
        <v>78</v>
      </c>
      <c r="N491" t="s">
        <v>79</v>
      </c>
      <c r="O491" t="s">
        <v>74</v>
      </c>
      <c r="P491" t="s">
        <v>74</v>
      </c>
      <c r="Q491" t="s">
        <v>74</v>
      </c>
      <c r="R491" t="s">
        <v>74</v>
      </c>
      <c r="S491" t="s">
        <v>74</v>
      </c>
      <c r="T491" t="s">
        <v>9631</v>
      </c>
      <c r="U491" t="s">
        <v>9632</v>
      </c>
      <c r="V491" t="s">
        <v>9633</v>
      </c>
      <c r="W491" t="s">
        <v>9634</v>
      </c>
      <c r="X491" t="s">
        <v>9635</v>
      </c>
      <c r="Y491" t="s">
        <v>9636</v>
      </c>
      <c r="Z491" t="s">
        <v>9637</v>
      </c>
      <c r="AA491" t="s">
        <v>9638</v>
      </c>
      <c r="AB491" t="s">
        <v>9639</v>
      </c>
      <c r="AC491" t="s">
        <v>9640</v>
      </c>
      <c r="AD491" t="s">
        <v>9641</v>
      </c>
      <c r="AE491" t="s">
        <v>9642</v>
      </c>
      <c r="AF491" t="s">
        <v>74</v>
      </c>
      <c r="AG491">
        <v>44</v>
      </c>
      <c r="AH491">
        <v>10</v>
      </c>
      <c r="AI491">
        <v>10</v>
      </c>
      <c r="AJ491">
        <v>3</v>
      </c>
      <c r="AK491">
        <v>13</v>
      </c>
      <c r="AL491" t="s">
        <v>4034</v>
      </c>
      <c r="AM491" t="s">
        <v>4035</v>
      </c>
      <c r="AN491" t="s">
        <v>4036</v>
      </c>
      <c r="AO491" t="s">
        <v>4507</v>
      </c>
      <c r="AP491" t="s">
        <v>4508</v>
      </c>
      <c r="AQ491" t="s">
        <v>74</v>
      </c>
      <c r="AR491" t="s">
        <v>4509</v>
      </c>
      <c r="AS491" t="s">
        <v>4510</v>
      </c>
      <c r="AT491" t="s">
        <v>9222</v>
      </c>
      <c r="AU491">
        <v>2018</v>
      </c>
      <c r="AV491">
        <v>123</v>
      </c>
      <c r="AW491">
        <v>12</v>
      </c>
      <c r="AX491" t="s">
        <v>74</v>
      </c>
      <c r="AY491" t="s">
        <v>74</v>
      </c>
      <c r="AZ491" t="s">
        <v>74</v>
      </c>
      <c r="BA491" t="s">
        <v>74</v>
      </c>
      <c r="BB491">
        <v>9283</v>
      </c>
      <c r="BC491">
        <v>9304</v>
      </c>
      <c r="BD491" t="s">
        <v>74</v>
      </c>
      <c r="BE491" t="s">
        <v>9643</v>
      </c>
      <c r="BF491" t="str">
        <f>HYPERLINK("http://dx.doi.org/10.1029/2018JC014191","http://dx.doi.org/10.1029/2018JC014191")</f>
        <v>http://dx.doi.org/10.1029/2018JC014191</v>
      </c>
      <c r="BG491" t="s">
        <v>74</v>
      </c>
      <c r="BH491" t="s">
        <v>74</v>
      </c>
      <c r="BI491">
        <v>22</v>
      </c>
      <c r="BJ491" t="s">
        <v>773</v>
      </c>
      <c r="BK491" t="s">
        <v>101</v>
      </c>
      <c r="BL491" t="s">
        <v>773</v>
      </c>
      <c r="BM491" t="s">
        <v>9559</v>
      </c>
      <c r="BN491" t="s">
        <v>74</v>
      </c>
      <c r="BO491" t="s">
        <v>4244</v>
      </c>
      <c r="BP491" t="s">
        <v>74</v>
      </c>
      <c r="BQ491" t="s">
        <v>74</v>
      </c>
      <c r="BR491" t="s">
        <v>104</v>
      </c>
      <c r="BS491" t="s">
        <v>9644</v>
      </c>
      <c r="BT491" t="str">
        <f>HYPERLINK("https%3A%2F%2Fwww.webofscience.com%2Fwos%2Fwoscc%2Ffull-record%2FWOS:000456405900035","View Full Record in Web of Science")</f>
        <v>View Full Record in Web of Science</v>
      </c>
    </row>
    <row r="492" spans="1:72" x14ac:dyDescent="0.15">
      <c r="A492" t="s">
        <v>72</v>
      </c>
      <c r="B492" t="s">
        <v>9645</v>
      </c>
      <c r="C492" t="s">
        <v>74</v>
      </c>
      <c r="D492" t="s">
        <v>74</v>
      </c>
      <c r="E492" t="s">
        <v>74</v>
      </c>
      <c r="F492" t="s">
        <v>9646</v>
      </c>
      <c r="G492" t="s">
        <v>74</v>
      </c>
      <c r="H492" t="s">
        <v>74</v>
      </c>
      <c r="I492" t="s">
        <v>9647</v>
      </c>
      <c r="J492" t="s">
        <v>9648</v>
      </c>
      <c r="K492" t="s">
        <v>74</v>
      </c>
      <c r="L492" t="s">
        <v>74</v>
      </c>
      <c r="M492" t="s">
        <v>78</v>
      </c>
      <c r="N492" t="s">
        <v>79</v>
      </c>
      <c r="O492" t="s">
        <v>74</v>
      </c>
      <c r="P492" t="s">
        <v>74</v>
      </c>
      <c r="Q492" t="s">
        <v>74</v>
      </c>
      <c r="R492" t="s">
        <v>74</v>
      </c>
      <c r="S492" t="s">
        <v>74</v>
      </c>
      <c r="T492" t="s">
        <v>9649</v>
      </c>
      <c r="U492" t="s">
        <v>74</v>
      </c>
      <c r="V492" t="s">
        <v>9650</v>
      </c>
      <c r="W492" t="s">
        <v>9651</v>
      </c>
      <c r="X492" t="s">
        <v>9652</v>
      </c>
      <c r="Y492" t="s">
        <v>9653</v>
      </c>
      <c r="Z492" t="s">
        <v>9654</v>
      </c>
      <c r="AA492" t="s">
        <v>74</v>
      </c>
      <c r="AB492" t="s">
        <v>74</v>
      </c>
      <c r="AC492" t="s">
        <v>74</v>
      </c>
      <c r="AD492" t="s">
        <v>74</v>
      </c>
      <c r="AE492" t="s">
        <v>74</v>
      </c>
      <c r="AF492" t="s">
        <v>74</v>
      </c>
      <c r="AG492">
        <v>53</v>
      </c>
      <c r="AH492">
        <v>9</v>
      </c>
      <c r="AI492">
        <v>9</v>
      </c>
      <c r="AJ492">
        <v>0</v>
      </c>
      <c r="AK492">
        <v>6</v>
      </c>
      <c r="AL492" t="s">
        <v>3511</v>
      </c>
      <c r="AM492" t="s">
        <v>547</v>
      </c>
      <c r="AN492" t="s">
        <v>3512</v>
      </c>
      <c r="AO492" t="s">
        <v>9655</v>
      </c>
      <c r="AP492" t="s">
        <v>9656</v>
      </c>
      <c r="AQ492" t="s">
        <v>74</v>
      </c>
      <c r="AR492" t="s">
        <v>9657</v>
      </c>
      <c r="AS492" t="s">
        <v>9658</v>
      </c>
      <c r="AT492" t="s">
        <v>9222</v>
      </c>
      <c r="AU492">
        <v>2018</v>
      </c>
      <c r="AV492">
        <v>17</v>
      </c>
      <c r="AW492">
        <v>3</v>
      </c>
      <c r="AX492" t="s">
        <v>74</v>
      </c>
      <c r="AY492" t="s">
        <v>74</v>
      </c>
      <c r="AZ492" t="s">
        <v>74</v>
      </c>
      <c r="BA492" t="s">
        <v>74</v>
      </c>
      <c r="BB492">
        <v>527</v>
      </c>
      <c r="BC492">
        <v>554</v>
      </c>
      <c r="BD492" t="s">
        <v>74</v>
      </c>
      <c r="BE492" t="s">
        <v>9659</v>
      </c>
      <c r="BF492" t="str">
        <f>HYPERLINK("http://dx.doi.org/10.1163/15718034-12341391","http://dx.doi.org/10.1163/15718034-12341391")</f>
        <v>http://dx.doi.org/10.1163/15718034-12341391</v>
      </c>
      <c r="BG492" t="s">
        <v>74</v>
      </c>
      <c r="BH492" t="s">
        <v>74</v>
      </c>
      <c r="BI492">
        <v>28</v>
      </c>
      <c r="BJ492" t="s">
        <v>9660</v>
      </c>
      <c r="BK492" t="s">
        <v>349</v>
      </c>
      <c r="BL492" t="s">
        <v>9661</v>
      </c>
      <c r="BM492" t="s">
        <v>9662</v>
      </c>
      <c r="BN492" t="s">
        <v>74</v>
      </c>
      <c r="BO492" t="s">
        <v>74</v>
      </c>
      <c r="BP492" t="s">
        <v>74</v>
      </c>
      <c r="BQ492" t="s">
        <v>74</v>
      </c>
      <c r="BR492" t="s">
        <v>104</v>
      </c>
      <c r="BS492" t="s">
        <v>9663</v>
      </c>
      <c r="BT492" t="str">
        <f>HYPERLINK("https%3A%2F%2Fwww.webofscience.com%2Fwos%2Fwoscc%2Ffull-record%2FWOS:000456804600004","View Full Record in Web of Science")</f>
        <v>View Full Record in Web of Science</v>
      </c>
    </row>
    <row r="493" spans="1:72" x14ac:dyDescent="0.15">
      <c r="A493" t="s">
        <v>72</v>
      </c>
      <c r="B493" t="s">
        <v>9664</v>
      </c>
      <c r="C493" t="s">
        <v>74</v>
      </c>
      <c r="D493" t="s">
        <v>74</v>
      </c>
      <c r="E493" t="s">
        <v>74</v>
      </c>
      <c r="F493" t="s">
        <v>9665</v>
      </c>
      <c r="G493" t="s">
        <v>74</v>
      </c>
      <c r="H493" t="s">
        <v>74</v>
      </c>
      <c r="I493" t="s">
        <v>9666</v>
      </c>
      <c r="J493" t="s">
        <v>9667</v>
      </c>
      <c r="K493" t="s">
        <v>74</v>
      </c>
      <c r="L493" t="s">
        <v>74</v>
      </c>
      <c r="M493" t="s">
        <v>78</v>
      </c>
      <c r="N493" t="s">
        <v>79</v>
      </c>
      <c r="O493" t="s">
        <v>74</v>
      </c>
      <c r="P493" t="s">
        <v>74</v>
      </c>
      <c r="Q493" t="s">
        <v>74</v>
      </c>
      <c r="R493" t="s">
        <v>74</v>
      </c>
      <c r="S493" t="s">
        <v>74</v>
      </c>
      <c r="T493" t="s">
        <v>74</v>
      </c>
      <c r="U493" t="s">
        <v>9668</v>
      </c>
      <c r="V493" t="s">
        <v>9669</v>
      </c>
      <c r="W493" t="s">
        <v>9670</v>
      </c>
      <c r="X493" t="s">
        <v>9671</v>
      </c>
      <c r="Y493" t="s">
        <v>9672</v>
      </c>
      <c r="Z493" t="s">
        <v>9673</v>
      </c>
      <c r="AA493" t="s">
        <v>9674</v>
      </c>
      <c r="AB493" t="s">
        <v>9675</v>
      </c>
      <c r="AC493" t="s">
        <v>9676</v>
      </c>
      <c r="AD493" t="s">
        <v>9677</v>
      </c>
      <c r="AE493" t="s">
        <v>9678</v>
      </c>
      <c r="AF493" t="s">
        <v>74</v>
      </c>
      <c r="AG493">
        <v>40</v>
      </c>
      <c r="AH493">
        <v>1</v>
      </c>
      <c r="AI493">
        <v>1</v>
      </c>
      <c r="AJ493">
        <v>0</v>
      </c>
      <c r="AK493">
        <v>1</v>
      </c>
      <c r="AL493" t="s">
        <v>3670</v>
      </c>
      <c r="AM493" t="s">
        <v>3671</v>
      </c>
      <c r="AN493" t="s">
        <v>3672</v>
      </c>
      <c r="AO493" t="s">
        <v>9679</v>
      </c>
      <c r="AP493" t="s">
        <v>74</v>
      </c>
      <c r="AQ493" t="s">
        <v>74</v>
      </c>
      <c r="AR493" t="s">
        <v>9680</v>
      </c>
      <c r="AS493" t="s">
        <v>9681</v>
      </c>
      <c r="AT493" t="s">
        <v>9222</v>
      </c>
      <c r="AU493">
        <v>2018</v>
      </c>
      <c r="AV493">
        <v>16</v>
      </c>
      <c r="AW493">
        <v>12</v>
      </c>
      <c r="AX493" t="s">
        <v>74</v>
      </c>
      <c r="AY493" t="s">
        <v>74</v>
      </c>
      <c r="AZ493" t="s">
        <v>74</v>
      </c>
      <c r="BA493" t="s">
        <v>74</v>
      </c>
      <c r="BB493">
        <v>856</v>
      </c>
      <c r="BC493">
        <v>867</v>
      </c>
      <c r="BD493" t="s">
        <v>74</v>
      </c>
      <c r="BE493" t="s">
        <v>9682</v>
      </c>
      <c r="BF493" t="str">
        <f>HYPERLINK("http://dx.doi.org/10.1002/lom3.10288","http://dx.doi.org/10.1002/lom3.10288")</f>
        <v>http://dx.doi.org/10.1002/lom3.10288</v>
      </c>
      <c r="BG493" t="s">
        <v>74</v>
      </c>
      <c r="BH493" t="s">
        <v>74</v>
      </c>
      <c r="BI493">
        <v>12</v>
      </c>
      <c r="BJ493" t="s">
        <v>5006</v>
      </c>
      <c r="BK493" t="s">
        <v>101</v>
      </c>
      <c r="BL493" t="s">
        <v>827</v>
      </c>
      <c r="BM493" t="s">
        <v>9683</v>
      </c>
      <c r="BN493" t="s">
        <v>74</v>
      </c>
      <c r="BO493" t="s">
        <v>5627</v>
      </c>
      <c r="BP493" t="s">
        <v>74</v>
      </c>
      <c r="BQ493" t="s">
        <v>74</v>
      </c>
      <c r="BR493" t="s">
        <v>104</v>
      </c>
      <c r="BS493" t="s">
        <v>9684</v>
      </c>
      <c r="BT493" t="str">
        <f>HYPERLINK("https%3A%2F%2Fwww.webofscience.com%2Fwos%2Fwoscc%2Ffull-record%2FWOS:000456997200005","View Full Record in Web of Science")</f>
        <v>View Full Record in Web of Science</v>
      </c>
    </row>
    <row r="494" spans="1:72" x14ac:dyDescent="0.15">
      <c r="A494" t="s">
        <v>72</v>
      </c>
      <c r="B494" t="s">
        <v>9685</v>
      </c>
      <c r="C494" t="s">
        <v>74</v>
      </c>
      <c r="D494" t="s">
        <v>74</v>
      </c>
      <c r="E494" t="s">
        <v>74</v>
      </c>
      <c r="F494" t="s">
        <v>9686</v>
      </c>
      <c r="G494" t="s">
        <v>74</v>
      </c>
      <c r="H494" t="s">
        <v>74</v>
      </c>
      <c r="I494" t="s">
        <v>9687</v>
      </c>
      <c r="J494" t="s">
        <v>4745</v>
      </c>
      <c r="K494" t="s">
        <v>74</v>
      </c>
      <c r="L494" t="s">
        <v>74</v>
      </c>
      <c r="M494" t="s">
        <v>78</v>
      </c>
      <c r="N494" t="s">
        <v>79</v>
      </c>
      <c r="O494" t="s">
        <v>74</v>
      </c>
      <c r="P494" t="s">
        <v>74</v>
      </c>
      <c r="Q494" t="s">
        <v>74</v>
      </c>
      <c r="R494" t="s">
        <v>74</v>
      </c>
      <c r="S494" t="s">
        <v>74</v>
      </c>
      <c r="T494" t="s">
        <v>9688</v>
      </c>
      <c r="U494" t="s">
        <v>9689</v>
      </c>
      <c r="V494" t="s">
        <v>9690</v>
      </c>
      <c r="W494" t="s">
        <v>9691</v>
      </c>
      <c r="X494" t="s">
        <v>9692</v>
      </c>
      <c r="Y494" t="s">
        <v>9693</v>
      </c>
      <c r="Z494" t="s">
        <v>9694</v>
      </c>
      <c r="AA494" t="s">
        <v>9695</v>
      </c>
      <c r="AB494" t="s">
        <v>9696</v>
      </c>
      <c r="AC494" t="s">
        <v>9697</v>
      </c>
      <c r="AD494" t="s">
        <v>9698</v>
      </c>
      <c r="AE494" t="s">
        <v>9699</v>
      </c>
      <c r="AF494" t="s">
        <v>74</v>
      </c>
      <c r="AG494">
        <v>89</v>
      </c>
      <c r="AH494">
        <v>10</v>
      </c>
      <c r="AI494">
        <v>10</v>
      </c>
      <c r="AJ494">
        <v>1</v>
      </c>
      <c r="AK494">
        <v>7</v>
      </c>
      <c r="AL494" t="s">
        <v>4010</v>
      </c>
      <c r="AM494" t="s">
        <v>4011</v>
      </c>
      <c r="AN494" t="s">
        <v>4012</v>
      </c>
      <c r="AO494" t="s">
        <v>74</v>
      </c>
      <c r="AP494" t="s">
        <v>4757</v>
      </c>
      <c r="AQ494" t="s">
        <v>74</v>
      </c>
      <c r="AR494" t="s">
        <v>4758</v>
      </c>
      <c r="AS494" t="s">
        <v>4759</v>
      </c>
      <c r="AT494" t="s">
        <v>9222</v>
      </c>
      <c r="AU494">
        <v>2018</v>
      </c>
      <c r="AV494">
        <v>10</v>
      </c>
      <c r="AW494">
        <v>12</v>
      </c>
      <c r="AX494" t="s">
        <v>74</v>
      </c>
      <c r="AY494" t="s">
        <v>74</v>
      </c>
      <c r="AZ494" t="s">
        <v>74</v>
      </c>
      <c r="BA494" t="s">
        <v>74</v>
      </c>
      <c r="BB494" t="s">
        <v>74</v>
      </c>
      <c r="BC494" t="s">
        <v>74</v>
      </c>
      <c r="BD494">
        <v>1937</v>
      </c>
      <c r="BE494" t="s">
        <v>9700</v>
      </c>
      <c r="BF494" t="str">
        <f>HYPERLINK("http://dx.doi.org/10.3390/rs10121937","http://dx.doi.org/10.3390/rs10121937")</f>
        <v>http://dx.doi.org/10.3390/rs10121937</v>
      </c>
      <c r="BG494" t="s">
        <v>74</v>
      </c>
      <c r="BH494" t="s">
        <v>74</v>
      </c>
      <c r="BI494">
        <v>24</v>
      </c>
      <c r="BJ494" t="s">
        <v>4761</v>
      </c>
      <c r="BK494" t="s">
        <v>101</v>
      </c>
      <c r="BL494" t="s">
        <v>4762</v>
      </c>
      <c r="BM494" t="s">
        <v>9701</v>
      </c>
      <c r="BN494" t="s">
        <v>74</v>
      </c>
      <c r="BO494" t="s">
        <v>1556</v>
      </c>
      <c r="BP494" t="s">
        <v>74</v>
      </c>
      <c r="BQ494" t="s">
        <v>74</v>
      </c>
      <c r="BR494" t="s">
        <v>104</v>
      </c>
      <c r="BS494" t="s">
        <v>9702</v>
      </c>
      <c r="BT494" t="str">
        <f>HYPERLINK("https%3A%2F%2Fwww.webofscience.com%2Fwos%2Fwoscc%2Ffull-record%2FWOS:000455637600079","View Full Record in Web of Science")</f>
        <v>View Full Record in Web of Science</v>
      </c>
    </row>
    <row r="495" spans="1:72" x14ac:dyDescent="0.15">
      <c r="A495" t="s">
        <v>72</v>
      </c>
      <c r="B495" t="s">
        <v>9703</v>
      </c>
      <c r="C495" t="s">
        <v>74</v>
      </c>
      <c r="D495" t="s">
        <v>74</v>
      </c>
      <c r="E495" t="s">
        <v>74</v>
      </c>
      <c r="F495" t="s">
        <v>9704</v>
      </c>
      <c r="G495" t="s">
        <v>74</v>
      </c>
      <c r="H495" t="s">
        <v>74</v>
      </c>
      <c r="I495" t="s">
        <v>9705</v>
      </c>
      <c r="J495" t="s">
        <v>4745</v>
      </c>
      <c r="K495" t="s">
        <v>74</v>
      </c>
      <c r="L495" t="s">
        <v>74</v>
      </c>
      <c r="M495" t="s">
        <v>78</v>
      </c>
      <c r="N495" t="s">
        <v>79</v>
      </c>
      <c r="O495" t="s">
        <v>74</v>
      </c>
      <c r="P495" t="s">
        <v>74</v>
      </c>
      <c r="Q495" t="s">
        <v>74</v>
      </c>
      <c r="R495" t="s">
        <v>74</v>
      </c>
      <c r="S495" t="s">
        <v>74</v>
      </c>
      <c r="T495" t="s">
        <v>9706</v>
      </c>
      <c r="U495" t="s">
        <v>9707</v>
      </c>
      <c r="V495" t="s">
        <v>9708</v>
      </c>
      <c r="W495" t="s">
        <v>9709</v>
      </c>
      <c r="X495" t="s">
        <v>9710</v>
      </c>
      <c r="Y495" t="s">
        <v>9711</v>
      </c>
      <c r="Z495" t="s">
        <v>9712</v>
      </c>
      <c r="AA495" t="s">
        <v>9713</v>
      </c>
      <c r="AB495" t="s">
        <v>9714</v>
      </c>
      <c r="AC495" t="s">
        <v>9715</v>
      </c>
      <c r="AD495" t="s">
        <v>9716</v>
      </c>
      <c r="AE495" t="s">
        <v>9717</v>
      </c>
      <c r="AF495" t="s">
        <v>74</v>
      </c>
      <c r="AG495">
        <v>83</v>
      </c>
      <c r="AH495">
        <v>39</v>
      </c>
      <c r="AI495">
        <v>43</v>
      </c>
      <c r="AJ495">
        <v>3</v>
      </c>
      <c r="AK495">
        <v>50</v>
      </c>
      <c r="AL495" t="s">
        <v>4010</v>
      </c>
      <c r="AM495" t="s">
        <v>4011</v>
      </c>
      <c r="AN495" t="s">
        <v>4012</v>
      </c>
      <c r="AO495" t="s">
        <v>4757</v>
      </c>
      <c r="AP495" t="s">
        <v>74</v>
      </c>
      <c r="AQ495" t="s">
        <v>74</v>
      </c>
      <c r="AR495" t="s">
        <v>4758</v>
      </c>
      <c r="AS495" t="s">
        <v>4759</v>
      </c>
      <c r="AT495" t="s">
        <v>9222</v>
      </c>
      <c r="AU495">
        <v>2018</v>
      </c>
      <c r="AV495">
        <v>10</v>
      </c>
      <c r="AW495">
        <v>12</v>
      </c>
      <c r="AX495" t="s">
        <v>74</v>
      </c>
      <c r="AY495" t="s">
        <v>74</v>
      </c>
      <c r="AZ495" t="s">
        <v>74</v>
      </c>
      <c r="BA495" t="s">
        <v>74</v>
      </c>
      <c r="BB495" t="s">
        <v>74</v>
      </c>
      <c r="BC495" t="s">
        <v>74</v>
      </c>
      <c r="BD495">
        <v>2034</v>
      </c>
      <c r="BE495" t="s">
        <v>9718</v>
      </c>
      <c r="BF495" t="str">
        <f>HYPERLINK("http://dx.doi.org/10.3390/rs10122034","http://dx.doi.org/10.3390/rs10122034")</f>
        <v>http://dx.doi.org/10.3390/rs10122034</v>
      </c>
      <c r="BG495" t="s">
        <v>74</v>
      </c>
      <c r="BH495" t="s">
        <v>74</v>
      </c>
      <c r="BI495">
        <v>18</v>
      </c>
      <c r="BJ495" t="s">
        <v>4761</v>
      </c>
      <c r="BK495" t="s">
        <v>101</v>
      </c>
      <c r="BL495" t="s">
        <v>4762</v>
      </c>
      <c r="BM495" t="s">
        <v>9701</v>
      </c>
      <c r="BN495" t="s">
        <v>74</v>
      </c>
      <c r="BO495" t="s">
        <v>8955</v>
      </c>
      <c r="BP495" t="s">
        <v>74</v>
      </c>
      <c r="BQ495" t="s">
        <v>74</v>
      </c>
      <c r="BR495" t="s">
        <v>104</v>
      </c>
      <c r="BS495" t="s">
        <v>9719</v>
      </c>
      <c r="BT495" t="str">
        <f>HYPERLINK("https%3A%2F%2Fwww.webofscience.com%2Fwos%2Fwoscc%2Ffull-record%2FWOS:000455637600176","View Full Record in Web of Science")</f>
        <v>View Full Record in Web of Science</v>
      </c>
    </row>
    <row r="496" spans="1:72" x14ac:dyDescent="0.15">
      <c r="A496" t="s">
        <v>72</v>
      </c>
      <c r="B496" t="s">
        <v>9720</v>
      </c>
      <c r="C496" t="s">
        <v>74</v>
      </c>
      <c r="D496" t="s">
        <v>74</v>
      </c>
      <c r="E496" t="s">
        <v>74</v>
      </c>
      <c r="F496" t="s">
        <v>9721</v>
      </c>
      <c r="G496" t="s">
        <v>74</v>
      </c>
      <c r="H496" t="s">
        <v>74</v>
      </c>
      <c r="I496" t="s">
        <v>9722</v>
      </c>
      <c r="J496" t="s">
        <v>4646</v>
      </c>
      <c r="K496" t="s">
        <v>74</v>
      </c>
      <c r="L496" t="s">
        <v>74</v>
      </c>
      <c r="M496" t="s">
        <v>78</v>
      </c>
      <c r="N496" t="s">
        <v>79</v>
      </c>
      <c r="O496" t="s">
        <v>74</v>
      </c>
      <c r="P496" t="s">
        <v>74</v>
      </c>
      <c r="Q496" t="s">
        <v>74</v>
      </c>
      <c r="R496" t="s">
        <v>74</v>
      </c>
      <c r="S496" t="s">
        <v>74</v>
      </c>
      <c r="T496" t="s">
        <v>74</v>
      </c>
      <c r="U496" t="s">
        <v>9723</v>
      </c>
      <c r="V496" t="s">
        <v>9724</v>
      </c>
      <c r="W496" t="s">
        <v>9725</v>
      </c>
      <c r="X496" t="s">
        <v>9726</v>
      </c>
      <c r="Y496" t="s">
        <v>9727</v>
      </c>
      <c r="Z496" t="s">
        <v>9728</v>
      </c>
      <c r="AA496" t="s">
        <v>9729</v>
      </c>
      <c r="AB496" t="s">
        <v>9730</v>
      </c>
      <c r="AC496" t="s">
        <v>9731</v>
      </c>
      <c r="AD496" t="s">
        <v>9732</v>
      </c>
      <c r="AE496" t="s">
        <v>9733</v>
      </c>
      <c r="AF496" t="s">
        <v>74</v>
      </c>
      <c r="AG496">
        <v>110</v>
      </c>
      <c r="AH496">
        <v>10</v>
      </c>
      <c r="AI496">
        <v>10</v>
      </c>
      <c r="AJ496">
        <v>0</v>
      </c>
      <c r="AK496">
        <v>12</v>
      </c>
      <c r="AL496" t="s">
        <v>4034</v>
      </c>
      <c r="AM496" t="s">
        <v>4035</v>
      </c>
      <c r="AN496" t="s">
        <v>4036</v>
      </c>
      <c r="AO496" t="s">
        <v>4658</v>
      </c>
      <c r="AP496" t="s">
        <v>4659</v>
      </c>
      <c r="AQ496" t="s">
        <v>74</v>
      </c>
      <c r="AR496" t="s">
        <v>4660</v>
      </c>
      <c r="AS496" t="s">
        <v>4661</v>
      </c>
      <c r="AT496" t="s">
        <v>9222</v>
      </c>
      <c r="AU496">
        <v>2018</v>
      </c>
      <c r="AV496">
        <v>33</v>
      </c>
      <c r="AW496">
        <v>12</v>
      </c>
      <c r="AX496" t="s">
        <v>74</v>
      </c>
      <c r="AY496" t="s">
        <v>74</v>
      </c>
      <c r="AZ496" t="s">
        <v>74</v>
      </c>
      <c r="BA496" t="s">
        <v>74</v>
      </c>
      <c r="BB496">
        <v>1453</v>
      </c>
      <c r="BC496">
        <v>1471</v>
      </c>
      <c r="BD496" t="s">
        <v>74</v>
      </c>
      <c r="BE496" t="s">
        <v>9734</v>
      </c>
      <c r="BF496" t="str">
        <f>HYPERLINK("http://dx.doi.org/10.1029/2018PA003478","http://dx.doi.org/10.1029/2018PA003478")</f>
        <v>http://dx.doi.org/10.1029/2018PA003478</v>
      </c>
      <c r="BG496" t="s">
        <v>74</v>
      </c>
      <c r="BH496" t="s">
        <v>74</v>
      </c>
      <c r="BI496">
        <v>19</v>
      </c>
      <c r="BJ496" t="s">
        <v>4663</v>
      </c>
      <c r="BK496" t="s">
        <v>101</v>
      </c>
      <c r="BL496" t="s">
        <v>4664</v>
      </c>
      <c r="BM496" t="s">
        <v>9735</v>
      </c>
      <c r="BN496" t="s">
        <v>74</v>
      </c>
      <c r="BO496" t="s">
        <v>162</v>
      </c>
      <c r="BP496" t="s">
        <v>74</v>
      </c>
      <c r="BQ496" t="s">
        <v>74</v>
      </c>
      <c r="BR496" t="s">
        <v>104</v>
      </c>
      <c r="BS496" t="s">
        <v>9736</v>
      </c>
      <c r="BT496" t="str">
        <f>HYPERLINK("https%3A%2F%2Fwww.webofscience.com%2Fwos%2Fwoscc%2Ffull-record%2FWOS:000455877000009","View Full Record in Web of Science")</f>
        <v>View Full Record in Web of Science</v>
      </c>
    </row>
    <row r="497" spans="1:72" x14ac:dyDescent="0.15">
      <c r="A497" t="s">
        <v>72</v>
      </c>
      <c r="B497" t="s">
        <v>9737</v>
      </c>
      <c r="C497" t="s">
        <v>74</v>
      </c>
      <c r="D497" t="s">
        <v>74</v>
      </c>
      <c r="E497" t="s">
        <v>74</v>
      </c>
      <c r="F497" t="s">
        <v>9738</v>
      </c>
      <c r="G497" t="s">
        <v>74</v>
      </c>
      <c r="H497" t="s">
        <v>74</v>
      </c>
      <c r="I497" t="s">
        <v>9739</v>
      </c>
      <c r="J497" t="s">
        <v>4327</v>
      </c>
      <c r="K497" t="s">
        <v>74</v>
      </c>
      <c r="L497" t="s">
        <v>74</v>
      </c>
      <c r="M497" t="s">
        <v>78</v>
      </c>
      <c r="N497" t="s">
        <v>79</v>
      </c>
      <c r="O497" t="s">
        <v>74</v>
      </c>
      <c r="P497" t="s">
        <v>74</v>
      </c>
      <c r="Q497" t="s">
        <v>74</v>
      </c>
      <c r="R497" t="s">
        <v>74</v>
      </c>
      <c r="S497" t="s">
        <v>74</v>
      </c>
      <c r="T497" t="s">
        <v>9740</v>
      </c>
      <c r="U497" t="s">
        <v>9741</v>
      </c>
      <c r="V497" t="s">
        <v>9742</v>
      </c>
      <c r="W497" t="s">
        <v>9743</v>
      </c>
      <c r="X497" t="s">
        <v>4750</v>
      </c>
      <c r="Y497" t="s">
        <v>9744</v>
      </c>
      <c r="Z497" t="s">
        <v>9745</v>
      </c>
      <c r="AA497" t="s">
        <v>9746</v>
      </c>
      <c r="AB497" t="s">
        <v>9747</v>
      </c>
      <c r="AC497" t="s">
        <v>9748</v>
      </c>
      <c r="AD497" t="s">
        <v>9749</v>
      </c>
      <c r="AE497" t="s">
        <v>9750</v>
      </c>
      <c r="AF497" t="s">
        <v>74</v>
      </c>
      <c r="AG497">
        <v>73</v>
      </c>
      <c r="AH497">
        <v>3</v>
      </c>
      <c r="AI497">
        <v>3</v>
      </c>
      <c r="AJ497">
        <v>0</v>
      </c>
      <c r="AK497">
        <v>12</v>
      </c>
      <c r="AL497" t="s">
        <v>4034</v>
      </c>
      <c r="AM497" t="s">
        <v>4035</v>
      </c>
      <c r="AN497" t="s">
        <v>4036</v>
      </c>
      <c r="AO497" t="s">
        <v>4340</v>
      </c>
      <c r="AP497" t="s">
        <v>74</v>
      </c>
      <c r="AQ497" t="s">
        <v>74</v>
      </c>
      <c r="AR497" t="s">
        <v>4341</v>
      </c>
      <c r="AS497" t="s">
        <v>4342</v>
      </c>
      <c r="AT497" t="s">
        <v>9222</v>
      </c>
      <c r="AU497">
        <v>2018</v>
      </c>
      <c r="AV497">
        <v>19</v>
      </c>
      <c r="AW497">
        <v>12</v>
      </c>
      <c r="AX497" t="s">
        <v>74</v>
      </c>
      <c r="AY497" t="s">
        <v>74</v>
      </c>
      <c r="AZ497" t="s">
        <v>74</v>
      </c>
      <c r="BA497" t="s">
        <v>74</v>
      </c>
      <c r="BB497">
        <v>4673</v>
      </c>
      <c r="BC497">
        <v>4693</v>
      </c>
      <c r="BD497" t="s">
        <v>74</v>
      </c>
      <c r="BE497" t="s">
        <v>9751</v>
      </c>
      <c r="BF497" t="str">
        <f>HYPERLINK("http://dx.doi.org/10.1029/2018GC007644","http://dx.doi.org/10.1029/2018GC007644")</f>
        <v>http://dx.doi.org/10.1029/2018GC007644</v>
      </c>
      <c r="BG497" t="s">
        <v>74</v>
      </c>
      <c r="BH497" t="s">
        <v>74</v>
      </c>
      <c r="BI497">
        <v>21</v>
      </c>
      <c r="BJ497" t="s">
        <v>746</v>
      </c>
      <c r="BK497" t="s">
        <v>101</v>
      </c>
      <c r="BL497" t="s">
        <v>746</v>
      </c>
      <c r="BM497" t="s">
        <v>9752</v>
      </c>
      <c r="BN497" t="s">
        <v>74</v>
      </c>
      <c r="BO497" t="s">
        <v>162</v>
      </c>
      <c r="BP497" t="s">
        <v>74</v>
      </c>
      <c r="BQ497" t="s">
        <v>74</v>
      </c>
      <c r="BR497" t="s">
        <v>104</v>
      </c>
      <c r="BS497" t="s">
        <v>9753</v>
      </c>
      <c r="BT497" t="str">
        <f>HYPERLINK("https%3A%2F%2Fwww.webofscience.com%2Fwos%2Fwoscc%2Ffull-record%2FWOS:000455647900003","View Full Record in Web of Science")</f>
        <v>View Full Record in Web of Science</v>
      </c>
    </row>
    <row r="498" spans="1:72" x14ac:dyDescent="0.15">
      <c r="A498" t="s">
        <v>72</v>
      </c>
      <c r="B498" t="s">
        <v>9754</v>
      </c>
      <c r="C498" t="s">
        <v>74</v>
      </c>
      <c r="D498" t="s">
        <v>74</v>
      </c>
      <c r="E498" t="s">
        <v>74</v>
      </c>
      <c r="F498" t="s">
        <v>9755</v>
      </c>
      <c r="G498" t="s">
        <v>74</v>
      </c>
      <c r="H498" t="s">
        <v>74</v>
      </c>
      <c r="I498" t="s">
        <v>9756</v>
      </c>
      <c r="J498" t="s">
        <v>4327</v>
      </c>
      <c r="K498" t="s">
        <v>74</v>
      </c>
      <c r="L498" t="s">
        <v>74</v>
      </c>
      <c r="M498" t="s">
        <v>78</v>
      </c>
      <c r="N498" t="s">
        <v>79</v>
      </c>
      <c r="O498" t="s">
        <v>74</v>
      </c>
      <c r="P498" t="s">
        <v>74</v>
      </c>
      <c r="Q498" t="s">
        <v>74</v>
      </c>
      <c r="R498" t="s">
        <v>74</v>
      </c>
      <c r="S498" t="s">
        <v>74</v>
      </c>
      <c r="T498" t="s">
        <v>9757</v>
      </c>
      <c r="U498" t="s">
        <v>9758</v>
      </c>
      <c r="V498" t="s">
        <v>9759</v>
      </c>
      <c r="W498" t="s">
        <v>9760</v>
      </c>
      <c r="X498" t="s">
        <v>9761</v>
      </c>
      <c r="Y498" t="s">
        <v>9762</v>
      </c>
      <c r="Z498" t="s">
        <v>9763</v>
      </c>
      <c r="AA498" t="s">
        <v>9764</v>
      </c>
      <c r="AB498" t="s">
        <v>9765</v>
      </c>
      <c r="AC498" t="s">
        <v>9766</v>
      </c>
      <c r="AD498" t="s">
        <v>9767</v>
      </c>
      <c r="AE498" t="s">
        <v>9768</v>
      </c>
      <c r="AF498" t="s">
        <v>74</v>
      </c>
      <c r="AG498">
        <v>90</v>
      </c>
      <c r="AH498">
        <v>56</v>
      </c>
      <c r="AI498">
        <v>58</v>
      </c>
      <c r="AJ498">
        <v>1</v>
      </c>
      <c r="AK498">
        <v>18</v>
      </c>
      <c r="AL498" t="s">
        <v>4034</v>
      </c>
      <c r="AM498" t="s">
        <v>4035</v>
      </c>
      <c r="AN498" t="s">
        <v>4036</v>
      </c>
      <c r="AO498" t="s">
        <v>74</v>
      </c>
      <c r="AP498" t="s">
        <v>4340</v>
      </c>
      <c r="AQ498" t="s">
        <v>74</v>
      </c>
      <c r="AR498" t="s">
        <v>4341</v>
      </c>
      <c r="AS498" t="s">
        <v>4342</v>
      </c>
      <c r="AT498" t="s">
        <v>9222</v>
      </c>
      <c r="AU498">
        <v>2018</v>
      </c>
      <c r="AV498">
        <v>19</v>
      </c>
      <c r="AW498">
        <v>12</v>
      </c>
      <c r="AX498" t="s">
        <v>74</v>
      </c>
      <c r="AY498" t="s">
        <v>74</v>
      </c>
      <c r="AZ498" t="s">
        <v>74</v>
      </c>
      <c r="BA498" t="s">
        <v>74</v>
      </c>
      <c r="BB498">
        <v>4757</v>
      </c>
      <c r="BC498">
        <v>4772</v>
      </c>
      <c r="BD498" t="s">
        <v>74</v>
      </c>
      <c r="BE498" t="s">
        <v>9769</v>
      </c>
      <c r="BF498" t="str">
        <f>HYPERLINK("http://dx.doi.org/10.1029/2018GC007966","http://dx.doi.org/10.1029/2018GC007966")</f>
        <v>http://dx.doi.org/10.1029/2018GC007966</v>
      </c>
      <c r="BG498" t="s">
        <v>74</v>
      </c>
      <c r="BH498" t="s">
        <v>74</v>
      </c>
      <c r="BI498">
        <v>16</v>
      </c>
      <c r="BJ498" t="s">
        <v>746</v>
      </c>
      <c r="BK498" t="s">
        <v>101</v>
      </c>
      <c r="BL498" t="s">
        <v>746</v>
      </c>
      <c r="BM498" t="s">
        <v>9752</v>
      </c>
      <c r="BN498" t="s">
        <v>74</v>
      </c>
      <c r="BO498" t="s">
        <v>5476</v>
      </c>
      <c r="BP498" t="s">
        <v>74</v>
      </c>
      <c r="BQ498" t="s">
        <v>74</v>
      </c>
      <c r="BR498" t="s">
        <v>104</v>
      </c>
      <c r="BS498" t="s">
        <v>9770</v>
      </c>
      <c r="BT498" t="str">
        <f>HYPERLINK("https%3A%2F%2Fwww.webofscience.com%2Fwos%2Fwoscc%2Ffull-record%2FWOS:000455647900007","View Full Record in Web of Science")</f>
        <v>View Full Record in Web of Science</v>
      </c>
    </row>
    <row r="499" spans="1:72" x14ac:dyDescent="0.15">
      <c r="A499" t="s">
        <v>72</v>
      </c>
      <c r="B499" t="s">
        <v>9771</v>
      </c>
      <c r="C499" t="s">
        <v>74</v>
      </c>
      <c r="D499" t="s">
        <v>74</v>
      </c>
      <c r="E499" t="s">
        <v>74</v>
      </c>
      <c r="F499" t="s">
        <v>9772</v>
      </c>
      <c r="G499" t="s">
        <v>74</v>
      </c>
      <c r="H499" t="s">
        <v>74</v>
      </c>
      <c r="I499" t="s">
        <v>9773</v>
      </c>
      <c r="J499" t="s">
        <v>4583</v>
      </c>
      <c r="K499" t="s">
        <v>74</v>
      </c>
      <c r="L499" t="s">
        <v>74</v>
      </c>
      <c r="M499" t="s">
        <v>78</v>
      </c>
      <c r="N499" t="s">
        <v>79</v>
      </c>
      <c r="O499" t="s">
        <v>74</v>
      </c>
      <c r="P499" t="s">
        <v>74</v>
      </c>
      <c r="Q499" t="s">
        <v>74</v>
      </c>
      <c r="R499" t="s">
        <v>74</v>
      </c>
      <c r="S499" t="s">
        <v>74</v>
      </c>
      <c r="T499" t="s">
        <v>9774</v>
      </c>
      <c r="U499" t="s">
        <v>9775</v>
      </c>
      <c r="V499" t="s">
        <v>9776</v>
      </c>
      <c r="W499" t="s">
        <v>9777</v>
      </c>
      <c r="X499" t="s">
        <v>9778</v>
      </c>
      <c r="Y499" t="s">
        <v>9779</v>
      </c>
      <c r="Z499" t="s">
        <v>9780</v>
      </c>
      <c r="AA499" t="s">
        <v>9781</v>
      </c>
      <c r="AB499" t="s">
        <v>9782</v>
      </c>
      <c r="AC499" t="s">
        <v>9783</v>
      </c>
      <c r="AD499" t="s">
        <v>9784</v>
      </c>
      <c r="AE499" t="s">
        <v>9785</v>
      </c>
      <c r="AF499" t="s">
        <v>74</v>
      </c>
      <c r="AG499">
        <v>114</v>
      </c>
      <c r="AH499">
        <v>12</v>
      </c>
      <c r="AI499">
        <v>12</v>
      </c>
      <c r="AJ499">
        <v>0</v>
      </c>
      <c r="AK499">
        <v>5</v>
      </c>
      <c r="AL499" t="s">
        <v>4034</v>
      </c>
      <c r="AM499" t="s">
        <v>4035</v>
      </c>
      <c r="AN499" t="s">
        <v>4036</v>
      </c>
      <c r="AO499" t="s">
        <v>4594</v>
      </c>
      <c r="AP499" t="s">
        <v>4595</v>
      </c>
      <c r="AQ499" t="s">
        <v>74</v>
      </c>
      <c r="AR499" t="s">
        <v>4596</v>
      </c>
      <c r="AS499" t="s">
        <v>4597</v>
      </c>
      <c r="AT499" t="s">
        <v>9222</v>
      </c>
      <c r="AU499">
        <v>2018</v>
      </c>
      <c r="AV499">
        <v>123</v>
      </c>
      <c r="AW499">
        <v>12</v>
      </c>
      <c r="AX499" t="s">
        <v>74</v>
      </c>
      <c r="AY499" t="s">
        <v>74</v>
      </c>
      <c r="AZ499" t="s">
        <v>74</v>
      </c>
      <c r="BA499" t="s">
        <v>74</v>
      </c>
      <c r="BB499">
        <v>10090</v>
      </c>
      <c r="BC499">
        <v>10108</v>
      </c>
      <c r="BD499" t="s">
        <v>74</v>
      </c>
      <c r="BE499" t="s">
        <v>9786</v>
      </c>
      <c r="BF499" t="str">
        <f>HYPERLINK("http://dx.doi.org/10.1029/2018JA025355","http://dx.doi.org/10.1029/2018JA025355")</f>
        <v>http://dx.doi.org/10.1029/2018JA025355</v>
      </c>
      <c r="BG499" t="s">
        <v>74</v>
      </c>
      <c r="BH499" t="s">
        <v>74</v>
      </c>
      <c r="BI499">
        <v>19</v>
      </c>
      <c r="BJ499" t="s">
        <v>2351</v>
      </c>
      <c r="BK499" t="s">
        <v>101</v>
      </c>
      <c r="BL499" t="s">
        <v>2351</v>
      </c>
      <c r="BM499" t="s">
        <v>9787</v>
      </c>
      <c r="BN499" t="s">
        <v>74</v>
      </c>
      <c r="BO499" t="s">
        <v>3893</v>
      </c>
      <c r="BP499" t="s">
        <v>74</v>
      </c>
      <c r="BQ499" t="s">
        <v>74</v>
      </c>
      <c r="BR499" t="s">
        <v>104</v>
      </c>
      <c r="BS499" t="s">
        <v>9788</v>
      </c>
      <c r="BT499" t="str">
        <f>HYPERLINK("https%3A%2F%2Fwww.webofscience.com%2Fwos%2Fwoscc%2Ffull-record%2FWOS:000455655700004","View Full Record in Web of Science")</f>
        <v>View Full Record in Web of Science</v>
      </c>
    </row>
    <row r="500" spans="1:72" x14ac:dyDescent="0.15">
      <c r="A500" t="s">
        <v>72</v>
      </c>
      <c r="B500" t="s">
        <v>9789</v>
      </c>
      <c r="C500" t="s">
        <v>74</v>
      </c>
      <c r="D500" t="s">
        <v>74</v>
      </c>
      <c r="E500" t="s">
        <v>74</v>
      </c>
      <c r="F500" t="s">
        <v>9790</v>
      </c>
      <c r="G500" t="s">
        <v>74</v>
      </c>
      <c r="H500" t="s">
        <v>74</v>
      </c>
      <c r="I500" t="s">
        <v>9791</v>
      </c>
      <c r="J500" t="s">
        <v>3367</v>
      </c>
      <c r="K500" t="s">
        <v>74</v>
      </c>
      <c r="L500" t="s">
        <v>74</v>
      </c>
      <c r="M500" t="s">
        <v>78</v>
      </c>
      <c r="N500" t="s">
        <v>79</v>
      </c>
      <c r="O500" t="s">
        <v>74</v>
      </c>
      <c r="P500" t="s">
        <v>74</v>
      </c>
      <c r="Q500" t="s">
        <v>74</v>
      </c>
      <c r="R500" t="s">
        <v>74</v>
      </c>
      <c r="S500" t="s">
        <v>74</v>
      </c>
      <c r="T500" t="s">
        <v>9792</v>
      </c>
      <c r="U500" t="s">
        <v>9793</v>
      </c>
      <c r="V500" t="s">
        <v>9794</v>
      </c>
      <c r="W500" t="s">
        <v>9795</v>
      </c>
      <c r="X500" t="s">
        <v>9796</v>
      </c>
      <c r="Y500" t="s">
        <v>9797</v>
      </c>
      <c r="Z500" t="s">
        <v>9798</v>
      </c>
      <c r="AA500" t="s">
        <v>9799</v>
      </c>
      <c r="AB500" t="s">
        <v>9800</v>
      </c>
      <c r="AC500" t="s">
        <v>9801</v>
      </c>
      <c r="AD500" t="s">
        <v>9802</v>
      </c>
      <c r="AE500" t="s">
        <v>9803</v>
      </c>
      <c r="AF500" t="s">
        <v>74</v>
      </c>
      <c r="AG500">
        <v>37</v>
      </c>
      <c r="AH500">
        <v>2</v>
      </c>
      <c r="AI500">
        <v>5</v>
      </c>
      <c r="AJ500">
        <v>1</v>
      </c>
      <c r="AK500">
        <v>16</v>
      </c>
      <c r="AL500" t="s">
        <v>3239</v>
      </c>
      <c r="AM500" t="s">
        <v>1080</v>
      </c>
      <c r="AN500" t="s">
        <v>3380</v>
      </c>
      <c r="AO500" t="s">
        <v>3381</v>
      </c>
      <c r="AP500" t="s">
        <v>3382</v>
      </c>
      <c r="AQ500" t="s">
        <v>74</v>
      </c>
      <c r="AR500" t="s">
        <v>3383</v>
      </c>
      <c r="AS500" t="s">
        <v>3384</v>
      </c>
      <c r="AT500" t="s">
        <v>9222</v>
      </c>
      <c r="AU500">
        <v>2018</v>
      </c>
      <c r="AV500">
        <v>52</v>
      </c>
      <c r="AW500">
        <v>10</v>
      </c>
      <c r="AX500" t="s">
        <v>74</v>
      </c>
      <c r="AY500" t="s">
        <v>74</v>
      </c>
      <c r="AZ500" t="s">
        <v>74</v>
      </c>
      <c r="BA500" t="s">
        <v>74</v>
      </c>
      <c r="BB500">
        <v>1186</v>
      </c>
      <c r="BC500">
        <v>1195</v>
      </c>
      <c r="BD500" t="s">
        <v>74</v>
      </c>
      <c r="BE500" t="s">
        <v>9804</v>
      </c>
      <c r="BF500" t="str">
        <f>HYPERLINK("http://dx.doi.org/10.1134/S0031030118100143","http://dx.doi.org/10.1134/S0031030118100143")</f>
        <v>http://dx.doi.org/10.1134/S0031030118100143</v>
      </c>
      <c r="BG500" t="s">
        <v>74</v>
      </c>
      <c r="BH500" t="s">
        <v>74</v>
      </c>
      <c r="BI500">
        <v>10</v>
      </c>
      <c r="BJ500" t="s">
        <v>375</v>
      </c>
      <c r="BK500" t="s">
        <v>101</v>
      </c>
      <c r="BL500" t="s">
        <v>375</v>
      </c>
      <c r="BM500" t="s">
        <v>9805</v>
      </c>
      <c r="BN500" t="s">
        <v>74</v>
      </c>
      <c r="BO500" t="s">
        <v>74</v>
      </c>
      <c r="BP500" t="s">
        <v>74</v>
      </c>
      <c r="BQ500" t="s">
        <v>74</v>
      </c>
      <c r="BR500" t="s">
        <v>104</v>
      </c>
      <c r="BS500" t="s">
        <v>9806</v>
      </c>
      <c r="BT500" t="str">
        <f>HYPERLINK("https%3A%2F%2Fwww.webofscience.com%2Fwos%2Fwoscc%2Ffull-record%2FWOS:000455364700011","View Full Record in Web of Science")</f>
        <v>View Full Record in Web of Science</v>
      </c>
    </row>
    <row r="501" spans="1:72" x14ac:dyDescent="0.15">
      <c r="A501" t="s">
        <v>72</v>
      </c>
      <c r="B501" t="s">
        <v>9807</v>
      </c>
      <c r="C501" t="s">
        <v>74</v>
      </c>
      <c r="D501" t="s">
        <v>74</v>
      </c>
      <c r="E501" t="s">
        <v>74</v>
      </c>
      <c r="F501" t="s">
        <v>9808</v>
      </c>
      <c r="G501" t="s">
        <v>74</v>
      </c>
      <c r="H501" t="s">
        <v>74</v>
      </c>
      <c r="I501" t="s">
        <v>9809</v>
      </c>
      <c r="J501" t="s">
        <v>3367</v>
      </c>
      <c r="K501" t="s">
        <v>74</v>
      </c>
      <c r="L501" t="s">
        <v>74</v>
      </c>
      <c r="M501" t="s">
        <v>78</v>
      </c>
      <c r="N501" t="s">
        <v>79</v>
      </c>
      <c r="O501" t="s">
        <v>74</v>
      </c>
      <c r="P501" t="s">
        <v>74</v>
      </c>
      <c r="Q501" t="s">
        <v>74</v>
      </c>
      <c r="R501" t="s">
        <v>74</v>
      </c>
      <c r="S501" t="s">
        <v>74</v>
      </c>
      <c r="T501" t="s">
        <v>9810</v>
      </c>
      <c r="U501" t="s">
        <v>74</v>
      </c>
      <c r="V501" t="s">
        <v>9811</v>
      </c>
      <c r="W501" t="s">
        <v>9812</v>
      </c>
      <c r="X501" t="s">
        <v>9813</v>
      </c>
      <c r="Y501" t="s">
        <v>9814</v>
      </c>
      <c r="Z501" t="s">
        <v>9815</v>
      </c>
      <c r="AA501" t="s">
        <v>9816</v>
      </c>
      <c r="AB501" t="s">
        <v>74</v>
      </c>
      <c r="AC501" t="s">
        <v>9817</v>
      </c>
      <c r="AD501" t="s">
        <v>9818</v>
      </c>
      <c r="AE501" t="s">
        <v>9819</v>
      </c>
      <c r="AF501" t="s">
        <v>74</v>
      </c>
      <c r="AG501">
        <v>7</v>
      </c>
      <c r="AH501">
        <v>0</v>
      </c>
      <c r="AI501">
        <v>0</v>
      </c>
      <c r="AJ501">
        <v>0</v>
      </c>
      <c r="AK501">
        <v>19</v>
      </c>
      <c r="AL501" t="s">
        <v>3239</v>
      </c>
      <c r="AM501" t="s">
        <v>877</v>
      </c>
      <c r="AN501" t="s">
        <v>3240</v>
      </c>
      <c r="AO501" t="s">
        <v>3381</v>
      </c>
      <c r="AP501" t="s">
        <v>3382</v>
      </c>
      <c r="AQ501" t="s">
        <v>74</v>
      </c>
      <c r="AR501" t="s">
        <v>3383</v>
      </c>
      <c r="AS501" t="s">
        <v>3384</v>
      </c>
      <c r="AT501" t="s">
        <v>9222</v>
      </c>
      <c r="AU501">
        <v>2018</v>
      </c>
      <c r="AV501">
        <v>52</v>
      </c>
      <c r="AW501">
        <v>10</v>
      </c>
      <c r="AX501" t="s">
        <v>74</v>
      </c>
      <c r="AY501" t="s">
        <v>74</v>
      </c>
      <c r="AZ501" t="s">
        <v>74</v>
      </c>
      <c r="BA501" t="s">
        <v>74</v>
      </c>
      <c r="BB501">
        <v>1196</v>
      </c>
      <c r="BC501">
        <v>1203</v>
      </c>
      <c r="BD501" t="s">
        <v>74</v>
      </c>
      <c r="BE501" t="s">
        <v>9820</v>
      </c>
      <c r="BF501" t="str">
        <f>HYPERLINK("http://dx.doi.org/10.1134/S0031030118100076","http://dx.doi.org/10.1134/S0031030118100076")</f>
        <v>http://dx.doi.org/10.1134/S0031030118100076</v>
      </c>
      <c r="BG501" t="s">
        <v>74</v>
      </c>
      <c r="BH501" t="s">
        <v>74</v>
      </c>
      <c r="BI501">
        <v>8</v>
      </c>
      <c r="BJ501" t="s">
        <v>375</v>
      </c>
      <c r="BK501" t="s">
        <v>101</v>
      </c>
      <c r="BL501" t="s">
        <v>375</v>
      </c>
      <c r="BM501" t="s">
        <v>9805</v>
      </c>
      <c r="BN501" t="s">
        <v>74</v>
      </c>
      <c r="BO501" t="s">
        <v>74</v>
      </c>
      <c r="BP501" t="s">
        <v>74</v>
      </c>
      <c r="BQ501" t="s">
        <v>74</v>
      </c>
      <c r="BR501" t="s">
        <v>104</v>
      </c>
      <c r="BS501" t="s">
        <v>9821</v>
      </c>
      <c r="BT501" t="str">
        <f>HYPERLINK("https%3A%2F%2Fwww.webofscience.com%2Fwos%2Fwoscc%2Ffull-record%2FWOS:000455364700012","View Full Record in Web of Science")</f>
        <v>View Full Record in Web of Science</v>
      </c>
    </row>
    <row r="502" spans="1:72" x14ac:dyDescent="0.15">
      <c r="A502" t="s">
        <v>72</v>
      </c>
      <c r="B502" t="s">
        <v>9822</v>
      </c>
      <c r="C502" t="s">
        <v>74</v>
      </c>
      <c r="D502" t="s">
        <v>74</v>
      </c>
      <c r="E502" t="s">
        <v>74</v>
      </c>
      <c r="F502" t="s">
        <v>9823</v>
      </c>
      <c r="G502" t="s">
        <v>74</v>
      </c>
      <c r="H502" t="s">
        <v>74</v>
      </c>
      <c r="I502" t="s">
        <v>9824</v>
      </c>
      <c r="J502" t="s">
        <v>9825</v>
      </c>
      <c r="K502" t="s">
        <v>74</v>
      </c>
      <c r="L502" t="s">
        <v>74</v>
      </c>
      <c r="M502" t="s">
        <v>78</v>
      </c>
      <c r="N502" t="s">
        <v>79</v>
      </c>
      <c r="O502" t="s">
        <v>74</v>
      </c>
      <c r="P502" t="s">
        <v>74</v>
      </c>
      <c r="Q502" t="s">
        <v>74</v>
      </c>
      <c r="R502" t="s">
        <v>74</v>
      </c>
      <c r="S502" t="s">
        <v>74</v>
      </c>
      <c r="T502" t="s">
        <v>9826</v>
      </c>
      <c r="U502" t="s">
        <v>9827</v>
      </c>
      <c r="V502" t="s">
        <v>9828</v>
      </c>
      <c r="W502" t="s">
        <v>9829</v>
      </c>
      <c r="X502" t="s">
        <v>9830</v>
      </c>
      <c r="Y502" t="s">
        <v>9831</v>
      </c>
      <c r="Z502" t="s">
        <v>9832</v>
      </c>
      <c r="AA502" t="s">
        <v>9833</v>
      </c>
      <c r="AB502" t="s">
        <v>9834</v>
      </c>
      <c r="AC502" t="s">
        <v>9835</v>
      </c>
      <c r="AD502" t="s">
        <v>9836</v>
      </c>
      <c r="AE502" t="s">
        <v>9837</v>
      </c>
      <c r="AF502" t="s">
        <v>74</v>
      </c>
      <c r="AG502">
        <v>55</v>
      </c>
      <c r="AH502">
        <v>9</v>
      </c>
      <c r="AI502">
        <v>9</v>
      </c>
      <c r="AJ502">
        <v>0</v>
      </c>
      <c r="AK502">
        <v>3</v>
      </c>
      <c r="AL502" t="s">
        <v>4010</v>
      </c>
      <c r="AM502" t="s">
        <v>4011</v>
      </c>
      <c r="AN502" t="s">
        <v>4012</v>
      </c>
      <c r="AO502" t="s">
        <v>74</v>
      </c>
      <c r="AP502" t="s">
        <v>9838</v>
      </c>
      <c r="AQ502" t="s">
        <v>74</v>
      </c>
      <c r="AR502" t="s">
        <v>9825</v>
      </c>
      <c r="AS502" t="s">
        <v>9839</v>
      </c>
      <c r="AT502" t="s">
        <v>9222</v>
      </c>
      <c r="AU502">
        <v>2018</v>
      </c>
      <c r="AV502">
        <v>11</v>
      </c>
      <c r="AW502">
        <v>12</v>
      </c>
      <c r="AX502" t="s">
        <v>74</v>
      </c>
      <c r="AY502" t="s">
        <v>74</v>
      </c>
      <c r="AZ502" t="s">
        <v>74</v>
      </c>
      <c r="BA502" t="s">
        <v>74</v>
      </c>
      <c r="BB502" t="s">
        <v>74</v>
      </c>
      <c r="BC502" t="s">
        <v>74</v>
      </c>
      <c r="BD502">
        <v>3290</v>
      </c>
      <c r="BE502" t="s">
        <v>9840</v>
      </c>
      <c r="BF502" t="str">
        <f>HYPERLINK("http://dx.doi.org/10.3390/en11123290","http://dx.doi.org/10.3390/en11123290")</f>
        <v>http://dx.doi.org/10.3390/en11123290</v>
      </c>
      <c r="BG502" t="s">
        <v>74</v>
      </c>
      <c r="BH502" t="s">
        <v>74</v>
      </c>
      <c r="BI502">
        <v>16</v>
      </c>
      <c r="BJ502" t="s">
        <v>9841</v>
      </c>
      <c r="BK502" t="s">
        <v>101</v>
      </c>
      <c r="BL502" t="s">
        <v>9841</v>
      </c>
      <c r="BM502" t="s">
        <v>9842</v>
      </c>
      <c r="BN502" t="s">
        <v>74</v>
      </c>
      <c r="BO502" t="s">
        <v>193</v>
      </c>
      <c r="BP502" t="s">
        <v>74</v>
      </c>
      <c r="BQ502" t="s">
        <v>74</v>
      </c>
      <c r="BR502" t="s">
        <v>104</v>
      </c>
      <c r="BS502" t="s">
        <v>9843</v>
      </c>
      <c r="BT502" t="str">
        <f>HYPERLINK("https%3A%2F%2Fwww.webofscience.com%2Fwos%2Fwoscc%2Ffull-record%2FWOS:000455358300051","View Full Record in Web of Science")</f>
        <v>View Full Record in Web of Science</v>
      </c>
    </row>
    <row r="503" spans="1:72" x14ac:dyDescent="0.15">
      <c r="A503" t="s">
        <v>72</v>
      </c>
      <c r="B503" t="s">
        <v>9844</v>
      </c>
      <c r="C503" t="s">
        <v>74</v>
      </c>
      <c r="D503" t="s">
        <v>74</v>
      </c>
      <c r="E503" t="s">
        <v>74</v>
      </c>
      <c r="F503" t="s">
        <v>9845</v>
      </c>
      <c r="G503" t="s">
        <v>74</v>
      </c>
      <c r="H503" t="s">
        <v>74</v>
      </c>
      <c r="I503" t="s">
        <v>9846</v>
      </c>
      <c r="J503" t="s">
        <v>9847</v>
      </c>
      <c r="K503" t="s">
        <v>74</v>
      </c>
      <c r="L503" t="s">
        <v>74</v>
      </c>
      <c r="M503" t="s">
        <v>78</v>
      </c>
      <c r="N503" t="s">
        <v>79</v>
      </c>
      <c r="O503" t="s">
        <v>74</v>
      </c>
      <c r="P503" t="s">
        <v>74</v>
      </c>
      <c r="Q503" t="s">
        <v>74</v>
      </c>
      <c r="R503" t="s">
        <v>74</v>
      </c>
      <c r="S503" t="s">
        <v>74</v>
      </c>
      <c r="T503" t="s">
        <v>9848</v>
      </c>
      <c r="U503" t="s">
        <v>9849</v>
      </c>
      <c r="V503" t="s">
        <v>9850</v>
      </c>
      <c r="W503" t="s">
        <v>9851</v>
      </c>
      <c r="X503" t="s">
        <v>3703</v>
      </c>
      <c r="Y503" t="s">
        <v>9852</v>
      </c>
      <c r="Z503" t="s">
        <v>9853</v>
      </c>
      <c r="AA503" t="s">
        <v>74</v>
      </c>
      <c r="AB503" t="s">
        <v>9854</v>
      </c>
      <c r="AC503" t="s">
        <v>9855</v>
      </c>
      <c r="AD503" t="s">
        <v>9856</v>
      </c>
      <c r="AE503" t="s">
        <v>9857</v>
      </c>
      <c r="AF503" t="s">
        <v>74</v>
      </c>
      <c r="AG503">
        <v>97</v>
      </c>
      <c r="AH503">
        <v>6</v>
      </c>
      <c r="AI503">
        <v>7</v>
      </c>
      <c r="AJ503">
        <v>0</v>
      </c>
      <c r="AK503">
        <v>21</v>
      </c>
      <c r="AL503" t="s">
        <v>4034</v>
      </c>
      <c r="AM503" t="s">
        <v>4035</v>
      </c>
      <c r="AN503" t="s">
        <v>4036</v>
      </c>
      <c r="AO503" t="s">
        <v>9858</v>
      </c>
      <c r="AP503" t="s">
        <v>9859</v>
      </c>
      <c r="AQ503" t="s">
        <v>74</v>
      </c>
      <c r="AR503" t="s">
        <v>9860</v>
      </c>
      <c r="AS503" t="s">
        <v>9861</v>
      </c>
      <c r="AT503" t="s">
        <v>9222</v>
      </c>
      <c r="AU503">
        <v>2018</v>
      </c>
      <c r="AV503">
        <v>123</v>
      </c>
      <c r="AW503">
        <v>12</v>
      </c>
      <c r="AX503" t="s">
        <v>74</v>
      </c>
      <c r="AY503" t="s">
        <v>74</v>
      </c>
      <c r="AZ503" t="s">
        <v>74</v>
      </c>
      <c r="BA503" t="s">
        <v>74</v>
      </c>
      <c r="BB503">
        <v>3507</v>
      </c>
      <c r="BC503">
        <v>3522</v>
      </c>
      <c r="BD503" t="s">
        <v>74</v>
      </c>
      <c r="BE503" t="s">
        <v>9862</v>
      </c>
      <c r="BF503" t="str">
        <f>HYPERLINK("http://dx.doi.org/10.1029/2017JG004352","http://dx.doi.org/10.1029/2017JG004352")</f>
        <v>http://dx.doi.org/10.1029/2017JG004352</v>
      </c>
      <c r="BG503" t="s">
        <v>74</v>
      </c>
      <c r="BH503" t="s">
        <v>74</v>
      </c>
      <c r="BI503">
        <v>16</v>
      </c>
      <c r="BJ503" t="s">
        <v>9863</v>
      </c>
      <c r="BK503" t="s">
        <v>101</v>
      </c>
      <c r="BL503" t="s">
        <v>452</v>
      </c>
      <c r="BM503" t="s">
        <v>9864</v>
      </c>
      <c r="BN503" t="s">
        <v>74</v>
      </c>
      <c r="BO503" t="s">
        <v>162</v>
      </c>
      <c r="BP503" t="s">
        <v>74</v>
      </c>
      <c r="BQ503" t="s">
        <v>74</v>
      </c>
      <c r="BR503" t="s">
        <v>104</v>
      </c>
      <c r="BS503" t="s">
        <v>9865</v>
      </c>
      <c r="BT503" t="str">
        <f>HYPERLINK("https%3A%2F%2Fwww.webofscience.com%2Fwos%2Fwoscc%2Ffull-record%2FWOS:000455437900002","View Full Record in Web of Science")</f>
        <v>View Full Record in Web of Science</v>
      </c>
    </row>
    <row r="504" spans="1:72" x14ac:dyDescent="0.15">
      <c r="A504" t="s">
        <v>72</v>
      </c>
      <c r="B504" t="s">
        <v>9866</v>
      </c>
      <c r="C504" t="s">
        <v>74</v>
      </c>
      <c r="D504" t="s">
        <v>74</v>
      </c>
      <c r="E504" t="s">
        <v>74</v>
      </c>
      <c r="F504" t="s">
        <v>9867</v>
      </c>
      <c r="G504" t="s">
        <v>74</v>
      </c>
      <c r="H504" t="s">
        <v>74</v>
      </c>
      <c r="I504" t="s">
        <v>9868</v>
      </c>
      <c r="J504" t="s">
        <v>9869</v>
      </c>
      <c r="K504" t="s">
        <v>74</v>
      </c>
      <c r="L504" t="s">
        <v>74</v>
      </c>
      <c r="M504" t="s">
        <v>78</v>
      </c>
      <c r="N504" t="s">
        <v>79</v>
      </c>
      <c r="O504" t="s">
        <v>74</v>
      </c>
      <c r="P504" t="s">
        <v>74</v>
      </c>
      <c r="Q504" t="s">
        <v>74</v>
      </c>
      <c r="R504" t="s">
        <v>74</v>
      </c>
      <c r="S504" t="s">
        <v>74</v>
      </c>
      <c r="T504" t="s">
        <v>9870</v>
      </c>
      <c r="U504" t="s">
        <v>9871</v>
      </c>
      <c r="V504" t="s">
        <v>9872</v>
      </c>
      <c r="W504" t="s">
        <v>9873</v>
      </c>
      <c r="X504" t="s">
        <v>9874</v>
      </c>
      <c r="Y504" t="s">
        <v>9875</v>
      </c>
      <c r="Z504" t="s">
        <v>9876</v>
      </c>
      <c r="AA504" t="s">
        <v>9877</v>
      </c>
      <c r="AB504" t="s">
        <v>9878</v>
      </c>
      <c r="AC504" t="s">
        <v>9879</v>
      </c>
      <c r="AD504" t="s">
        <v>9880</v>
      </c>
      <c r="AE504" t="s">
        <v>9881</v>
      </c>
      <c r="AF504" t="s">
        <v>74</v>
      </c>
      <c r="AG504">
        <v>48</v>
      </c>
      <c r="AH504">
        <v>1</v>
      </c>
      <c r="AI504">
        <v>2</v>
      </c>
      <c r="AJ504">
        <v>0</v>
      </c>
      <c r="AK504">
        <v>6</v>
      </c>
      <c r="AL504" t="s">
        <v>9882</v>
      </c>
      <c r="AM504" t="s">
        <v>6039</v>
      </c>
      <c r="AN504" t="s">
        <v>9883</v>
      </c>
      <c r="AO504" t="s">
        <v>9884</v>
      </c>
      <c r="AP504" t="s">
        <v>9885</v>
      </c>
      <c r="AQ504" t="s">
        <v>74</v>
      </c>
      <c r="AR504" t="s">
        <v>9886</v>
      </c>
      <c r="AS504" t="s">
        <v>9887</v>
      </c>
      <c r="AT504" t="s">
        <v>9222</v>
      </c>
      <c r="AU504">
        <v>2018</v>
      </c>
      <c r="AV504">
        <v>53</v>
      </c>
      <c r="AW504">
        <v>3</v>
      </c>
      <c r="AX504" t="s">
        <v>74</v>
      </c>
      <c r="AY504" t="s">
        <v>74</v>
      </c>
      <c r="AZ504" t="s">
        <v>74</v>
      </c>
      <c r="BA504" t="s">
        <v>74</v>
      </c>
      <c r="BB504">
        <v>375</v>
      </c>
      <c r="BC504">
        <v>380</v>
      </c>
      <c r="BD504" t="s">
        <v>74</v>
      </c>
      <c r="BE504" t="s">
        <v>9888</v>
      </c>
      <c r="BF504" t="str">
        <f>HYPERLINK("http://dx.doi.org/10.22370/rbmo.2018.53.3.1367","http://dx.doi.org/10.22370/rbmo.2018.53.3.1367")</f>
        <v>http://dx.doi.org/10.22370/rbmo.2018.53.3.1367</v>
      </c>
      <c r="BG504" t="s">
        <v>74</v>
      </c>
      <c r="BH504" t="s">
        <v>74</v>
      </c>
      <c r="BI504">
        <v>6</v>
      </c>
      <c r="BJ504" t="s">
        <v>827</v>
      </c>
      <c r="BK504" t="s">
        <v>101</v>
      </c>
      <c r="BL504" t="s">
        <v>827</v>
      </c>
      <c r="BM504" t="s">
        <v>9889</v>
      </c>
      <c r="BN504" t="s">
        <v>74</v>
      </c>
      <c r="BO504" t="s">
        <v>9890</v>
      </c>
      <c r="BP504" t="s">
        <v>74</v>
      </c>
      <c r="BQ504" t="s">
        <v>74</v>
      </c>
      <c r="BR504" t="s">
        <v>104</v>
      </c>
      <c r="BS504" t="s">
        <v>9891</v>
      </c>
      <c r="BT504" t="str">
        <f>HYPERLINK("https%3A%2F%2Fwww.webofscience.com%2Fwos%2Fwoscc%2Ffull-record%2FWOS:000455906600011","View Full Record in Web of Science")</f>
        <v>View Full Record in Web of Science</v>
      </c>
    </row>
    <row r="505" spans="1:72" x14ac:dyDescent="0.15">
      <c r="A505" t="s">
        <v>72</v>
      </c>
      <c r="B505" t="s">
        <v>9892</v>
      </c>
      <c r="C505" t="s">
        <v>74</v>
      </c>
      <c r="D505" t="s">
        <v>74</v>
      </c>
      <c r="E505" t="s">
        <v>74</v>
      </c>
      <c r="F505" t="s">
        <v>9893</v>
      </c>
      <c r="G505" t="s">
        <v>74</v>
      </c>
      <c r="H505" t="s">
        <v>74</v>
      </c>
      <c r="I505" t="s">
        <v>9894</v>
      </c>
      <c r="J505" t="s">
        <v>4670</v>
      </c>
      <c r="K505" t="s">
        <v>74</v>
      </c>
      <c r="L505" t="s">
        <v>74</v>
      </c>
      <c r="M505" t="s">
        <v>78</v>
      </c>
      <c r="N505" t="s">
        <v>79</v>
      </c>
      <c r="O505" t="s">
        <v>74</v>
      </c>
      <c r="P505" t="s">
        <v>74</v>
      </c>
      <c r="Q505" t="s">
        <v>74</v>
      </c>
      <c r="R505" t="s">
        <v>74</v>
      </c>
      <c r="S505" t="s">
        <v>74</v>
      </c>
      <c r="T505" t="s">
        <v>74</v>
      </c>
      <c r="U505" t="s">
        <v>9895</v>
      </c>
      <c r="V505" t="s">
        <v>9896</v>
      </c>
      <c r="W505" t="s">
        <v>9897</v>
      </c>
      <c r="X505" t="s">
        <v>9898</v>
      </c>
      <c r="Y505" t="s">
        <v>9899</v>
      </c>
      <c r="Z505" t="s">
        <v>9900</v>
      </c>
      <c r="AA505" t="s">
        <v>9901</v>
      </c>
      <c r="AB505" t="s">
        <v>9902</v>
      </c>
      <c r="AC505" t="s">
        <v>9903</v>
      </c>
      <c r="AD505" t="s">
        <v>9904</v>
      </c>
      <c r="AE505" t="s">
        <v>9905</v>
      </c>
      <c r="AF505" t="s">
        <v>74</v>
      </c>
      <c r="AG505">
        <v>56</v>
      </c>
      <c r="AH505">
        <v>32</v>
      </c>
      <c r="AI505">
        <v>34</v>
      </c>
      <c r="AJ505">
        <v>1</v>
      </c>
      <c r="AK505">
        <v>11</v>
      </c>
      <c r="AL505" t="s">
        <v>4034</v>
      </c>
      <c r="AM505" t="s">
        <v>4035</v>
      </c>
      <c r="AN505" t="s">
        <v>4036</v>
      </c>
      <c r="AO505" t="s">
        <v>74</v>
      </c>
      <c r="AP505" t="s">
        <v>4682</v>
      </c>
      <c r="AQ505" t="s">
        <v>74</v>
      </c>
      <c r="AR505" t="s">
        <v>4683</v>
      </c>
      <c r="AS505" t="s">
        <v>4684</v>
      </c>
      <c r="AT505" t="s">
        <v>9222</v>
      </c>
      <c r="AU505">
        <v>2018</v>
      </c>
      <c r="AV505">
        <v>16</v>
      </c>
      <c r="AW505">
        <v>12</v>
      </c>
      <c r="AX505" t="s">
        <v>74</v>
      </c>
      <c r="AY505" t="s">
        <v>74</v>
      </c>
      <c r="AZ505" t="s">
        <v>74</v>
      </c>
      <c r="BA505" t="s">
        <v>74</v>
      </c>
      <c r="BB505">
        <v>1921</v>
      </c>
      <c r="BC505">
        <v>1929</v>
      </c>
      <c r="BD505" t="s">
        <v>74</v>
      </c>
      <c r="BE505" t="s">
        <v>9906</v>
      </c>
      <c r="BF505" t="str">
        <f>HYPERLINK("http://dx.doi.org/10.1029/2018SW001946","http://dx.doi.org/10.1029/2018SW001946")</f>
        <v>http://dx.doi.org/10.1029/2018SW001946</v>
      </c>
      <c r="BG505" t="s">
        <v>74</v>
      </c>
      <c r="BH505" t="s">
        <v>74</v>
      </c>
      <c r="BI505">
        <v>9</v>
      </c>
      <c r="BJ505" t="s">
        <v>4686</v>
      </c>
      <c r="BK505" t="s">
        <v>101</v>
      </c>
      <c r="BL505" t="s">
        <v>4686</v>
      </c>
      <c r="BM505" t="s">
        <v>9907</v>
      </c>
      <c r="BN505" t="s">
        <v>74</v>
      </c>
      <c r="BO505" t="s">
        <v>6860</v>
      </c>
      <c r="BP505" t="s">
        <v>74</v>
      </c>
      <c r="BQ505" t="s">
        <v>74</v>
      </c>
      <c r="BR505" t="s">
        <v>104</v>
      </c>
      <c r="BS505" t="s">
        <v>9908</v>
      </c>
      <c r="BT505" t="str">
        <f>HYPERLINK("https%3A%2F%2Fwww.webofscience.com%2Fwos%2Fwoscc%2Ffull-record%2FWOS:000455442300003","View Full Record in Web of Science")</f>
        <v>View Full Record in Web of Science</v>
      </c>
    </row>
    <row r="506" spans="1:72" x14ac:dyDescent="0.15">
      <c r="A506" t="s">
        <v>72</v>
      </c>
      <c r="B506" t="s">
        <v>9909</v>
      </c>
      <c r="C506" t="s">
        <v>74</v>
      </c>
      <c r="D506" t="s">
        <v>74</v>
      </c>
      <c r="E506" t="s">
        <v>74</v>
      </c>
      <c r="F506" t="s">
        <v>9910</v>
      </c>
      <c r="G506" t="s">
        <v>74</v>
      </c>
      <c r="H506" t="s">
        <v>74</v>
      </c>
      <c r="I506" t="s">
        <v>9911</v>
      </c>
      <c r="J506" t="s">
        <v>9912</v>
      </c>
      <c r="K506" t="s">
        <v>74</v>
      </c>
      <c r="L506" t="s">
        <v>74</v>
      </c>
      <c r="M506" t="s">
        <v>78</v>
      </c>
      <c r="N506" t="s">
        <v>79</v>
      </c>
      <c r="O506" t="s">
        <v>74</v>
      </c>
      <c r="P506" t="s">
        <v>74</v>
      </c>
      <c r="Q506" t="s">
        <v>74</v>
      </c>
      <c r="R506" t="s">
        <v>74</v>
      </c>
      <c r="S506" t="s">
        <v>74</v>
      </c>
      <c r="T506" t="s">
        <v>9913</v>
      </c>
      <c r="U506" t="s">
        <v>9914</v>
      </c>
      <c r="V506" t="s">
        <v>9915</v>
      </c>
      <c r="W506" t="s">
        <v>9916</v>
      </c>
      <c r="X506" t="s">
        <v>9917</v>
      </c>
      <c r="Y506" t="s">
        <v>9918</v>
      </c>
      <c r="Z506" t="s">
        <v>9919</v>
      </c>
      <c r="AA506" t="s">
        <v>74</v>
      </c>
      <c r="AB506" t="s">
        <v>74</v>
      </c>
      <c r="AC506" t="s">
        <v>9920</v>
      </c>
      <c r="AD506" t="s">
        <v>9921</v>
      </c>
      <c r="AE506" t="s">
        <v>9922</v>
      </c>
      <c r="AF506" t="s">
        <v>74</v>
      </c>
      <c r="AG506">
        <v>26</v>
      </c>
      <c r="AH506">
        <v>1</v>
      </c>
      <c r="AI506">
        <v>2</v>
      </c>
      <c r="AJ506">
        <v>1</v>
      </c>
      <c r="AK506">
        <v>20</v>
      </c>
      <c r="AL506" t="s">
        <v>1079</v>
      </c>
      <c r="AM506" t="s">
        <v>1080</v>
      </c>
      <c r="AN506" t="s">
        <v>1081</v>
      </c>
      <c r="AO506" t="s">
        <v>9923</v>
      </c>
      <c r="AP506" t="s">
        <v>9924</v>
      </c>
      <c r="AQ506" t="s">
        <v>74</v>
      </c>
      <c r="AR506" t="s">
        <v>9925</v>
      </c>
      <c r="AS506" t="s">
        <v>9926</v>
      </c>
      <c r="AT506" t="s">
        <v>9222</v>
      </c>
      <c r="AU506">
        <v>2018</v>
      </c>
      <c r="AV506">
        <v>37</v>
      </c>
      <c r="AW506">
        <v>12</v>
      </c>
      <c r="AX506" t="s">
        <v>74</v>
      </c>
      <c r="AY506" t="s">
        <v>74</v>
      </c>
      <c r="AZ506" t="s">
        <v>74</v>
      </c>
      <c r="BA506" t="s">
        <v>74</v>
      </c>
      <c r="BB506">
        <v>1</v>
      </c>
      <c r="BC506">
        <v>8</v>
      </c>
      <c r="BD506" t="s">
        <v>74</v>
      </c>
      <c r="BE506" t="s">
        <v>9927</v>
      </c>
      <c r="BF506" t="str">
        <f>HYPERLINK("http://dx.doi.org/10.1007/s13131-018-1282-5","http://dx.doi.org/10.1007/s13131-018-1282-5")</f>
        <v>http://dx.doi.org/10.1007/s13131-018-1282-5</v>
      </c>
      <c r="BG506" t="s">
        <v>74</v>
      </c>
      <c r="BH506" t="s">
        <v>74</v>
      </c>
      <c r="BI506">
        <v>8</v>
      </c>
      <c r="BJ506" t="s">
        <v>773</v>
      </c>
      <c r="BK506" t="s">
        <v>101</v>
      </c>
      <c r="BL506" t="s">
        <v>773</v>
      </c>
      <c r="BM506" t="s">
        <v>9928</v>
      </c>
      <c r="BN506" t="s">
        <v>74</v>
      </c>
      <c r="BO506" t="s">
        <v>74</v>
      </c>
      <c r="BP506" t="s">
        <v>74</v>
      </c>
      <c r="BQ506" t="s">
        <v>74</v>
      </c>
      <c r="BR506" t="s">
        <v>104</v>
      </c>
      <c r="BS506" t="s">
        <v>9929</v>
      </c>
      <c r="BT506" t="str">
        <f>HYPERLINK("https%3A%2F%2Fwww.webofscience.com%2Fwos%2Fwoscc%2Ffull-record%2FWOS:000455090600001","View Full Record in Web of Science")</f>
        <v>View Full Record in Web of Science</v>
      </c>
    </row>
    <row r="507" spans="1:72" x14ac:dyDescent="0.15">
      <c r="A507" t="s">
        <v>72</v>
      </c>
      <c r="B507" t="s">
        <v>9930</v>
      </c>
      <c r="C507" t="s">
        <v>74</v>
      </c>
      <c r="D507" t="s">
        <v>74</v>
      </c>
      <c r="E507" t="s">
        <v>74</v>
      </c>
      <c r="F507" t="s">
        <v>9931</v>
      </c>
      <c r="G507" t="s">
        <v>74</v>
      </c>
      <c r="H507" t="s">
        <v>74</v>
      </c>
      <c r="I507" t="s">
        <v>9932</v>
      </c>
      <c r="J507" t="s">
        <v>9933</v>
      </c>
      <c r="K507" t="s">
        <v>74</v>
      </c>
      <c r="L507" t="s">
        <v>74</v>
      </c>
      <c r="M507" t="s">
        <v>78</v>
      </c>
      <c r="N507" t="s">
        <v>79</v>
      </c>
      <c r="O507" t="s">
        <v>74</v>
      </c>
      <c r="P507" t="s">
        <v>74</v>
      </c>
      <c r="Q507" t="s">
        <v>74</v>
      </c>
      <c r="R507" t="s">
        <v>74</v>
      </c>
      <c r="S507" t="s">
        <v>74</v>
      </c>
      <c r="T507" t="s">
        <v>9934</v>
      </c>
      <c r="U507" t="s">
        <v>9935</v>
      </c>
      <c r="V507" t="s">
        <v>9936</v>
      </c>
      <c r="W507" t="s">
        <v>9937</v>
      </c>
      <c r="X507" t="s">
        <v>9938</v>
      </c>
      <c r="Y507" t="s">
        <v>9939</v>
      </c>
      <c r="Z507" t="s">
        <v>9940</v>
      </c>
      <c r="AA507" t="s">
        <v>9941</v>
      </c>
      <c r="AB507" t="s">
        <v>74</v>
      </c>
      <c r="AC507" t="s">
        <v>9942</v>
      </c>
      <c r="AD507" t="s">
        <v>9943</v>
      </c>
      <c r="AE507" t="s">
        <v>9944</v>
      </c>
      <c r="AF507" t="s">
        <v>74</v>
      </c>
      <c r="AG507">
        <v>75</v>
      </c>
      <c r="AH507">
        <v>0</v>
      </c>
      <c r="AI507">
        <v>0</v>
      </c>
      <c r="AJ507">
        <v>2</v>
      </c>
      <c r="AK507">
        <v>11</v>
      </c>
      <c r="AL507" t="s">
        <v>4010</v>
      </c>
      <c r="AM507" t="s">
        <v>4011</v>
      </c>
      <c r="AN507" t="s">
        <v>4012</v>
      </c>
      <c r="AO507" t="s">
        <v>74</v>
      </c>
      <c r="AP507" t="s">
        <v>9945</v>
      </c>
      <c r="AQ507" t="s">
        <v>74</v>
      </c>
      <c r="AR507" t="s">
        <v>9946</v>
      </c>
      <c r="AS507" t="s">
        <v>9947</v>
      </c>
      <c r="AT507" t="s">
        <v>9222</v>
      </c>
      <c r="AU507">
        <v>2018</v>
      </c>
      <c r="AV507">
        <v>9</v>
      </c>
      <c r="AW507">
        <v>12</v>
      </c>
      <c r="AX507" t="s">
        <v>74</v>
      </c>
      <c r="AY507" t="s">
        <v>74</v>
      </c>
      <c r="AZ507" t="s">
        <v>74</v>
      </c>
      <c r="BA507" t="s">
        <v>74</v>
      </c>
      <c r="BB507" t="s">
        <v>74</v>
      </c>
      <c r="BC507" t="s">
        <v>74</v>
      </c>
      <c r="BD507">
        <v>473</v>
      </c>
      <c r="BE507" t="s">
        <v>9948</v>
      </c>
      <c r="BF507" t="str">
        <f>HYPERLINK("http://dx.doi.org/10.3390/atmos9120473","http://dx.doi.org/10.3390/atmos9120473")</f>
        <v>http://dx.doi.org/10.3390/atmos9120473</v>
      </c>
      <c r="BG507" t="s">
        <v>74</v>
      </c>
      <c r="BH507" t="s">
        <v>74</v>
      </c>
      <c r="BI507">
        <v>18</v>
      </c>
      <c r="BJ507" t="s">
        <v>2635</v>
      </c>
      <c r="BK507" t="s">
        <v>101</v>
      </c>
      <c r="BL507" t="s">
        <v>2636</v>
      </c>
      <c r="BM507" t="s">
        <v>9949</v>
      </c>
      <c r="BN507" t="s">
        <v>74</v>
      </c>
      <c r="BO507" t="s">
        <v>131</v>
      </c>
      <c r="BP507" t="s">
        <v>74</v>
      </c>
      <c r="BQ507" t="s">
        <v>74</v>
      </c>
      <c r="BR507" t="s">
        <v>104</v>
      </c>
      <c r="BS507" t="s">
        <v>9950</v>
      </c>
      <c r="BT507" t="str">
        <f>HYPERLINK("https%3A%2F%2Fwww.webofscience.com%2Fwos%2Fwoscc%2Ffull-record%2FWOS:000455062300017","View Full Record in Web of Science")</f>
        <v>View Full Record in Web of Science</v>
      </c>
    </row>
    <row r="508" spans="1:72" x14ac:dyDescent="0.15">
      <c r="A508" t="s">
        <v>72</v>
      </c>
      <c r="B508" t="s">
        <v>9951</v>
      </c>
      <c r="C508" t="s">
        <v>74</v>
      </c>
      <c r="D508" t="s">
        <v>74</v>
      </c>
      <c r="E508" t="s">
        <v>74</v>
      </c>
      <c r="F508" t="s">
        <v>9952</v>
      </c>
      <c r="G508" t="s">
        <v>74</v>
      </c>
      <c r="H508" t="s">
        <v>74</v>
      </c>
      <c r="I508" t="s">
        <v>9953</v>
      </c>
      <c r="J508" t="s">
        <v>9954</v>
      </c>
      <c r="K508" t="s">
        <v>74</v>
      </c>
      <c r="L508" t="s">
        <v>74</v>
      </c>
      <c r="M508" t="s">
        <v>78</v>
      </c>
      <c r="N508" t="s">
        <v>79</v>
      </c>
      <c r="O508" t="s">
        <v>74</v>
      </c>
      <c r="P508" t="s">
        <v>74</v>
      </c>
      <c r="Q508" t="s">
        <v>74</v>
      </c>
      <c r="R508" t="s">
        <v>74</v>
      </c>
      <c r="S508" t="s">
        <v>74</v>
      </c>
      <c r="T508" t="s">
        <v>9955</v>
      </c>
      <c r="U508" t="s">
        <v>9956</v>
      </c>
      <c r="V508" t="s">
        <v>9957</v>
      </c>
      <c r="W508" t="s">
        <v>9958</v>
      </c>
      <c r="X508" t="s">
        <v>9959</v>
      </c>
      <c r="Y508" t="s">
        <v>9960</v>
      </c>
      <c r="Z508" t="s">
        <v>9961</v>
      </c>
      <c r="AA508" t="s">
        <v>9962</v>
      </c>
      <c r="AB508" t="s">
        <v>9963</v>
      </c>
      <c r="AC508" t="s">
        <v>9964</v>
      </c>
      <c r="AD508" t="s">
        <v>9965</v>
      </c>
      <c r="AE508" t="s">
        <v>9966</v>
      </c>
      <c r="AF508" t="s">
        <v>74</v>
      </c>
      <c r="AG508">
        <v>55</v>
      </c>
      <c r="AH508">
        <v>2</v>
      </c>
      <c r="AI508">
        <v>2</v>
      </c>
      <c r="AJ508">
        <v>0</v>
      </c>
      <c r="AK508">
        <v>4</v>
      </c>
      <c r="AL508" t="s">
        <v>4010</v>
      </c>
      <c r="AM508" t="s">
        <v>4011</v>
      </c>
      <c r="AN508" t="s">
        <v>4012</v>
      </c>
      <c r="AO508" t="s">
        <v>9967</v>
      </c>
      <c r="AP508" t="s">
        <v>74</v>
      </c>
      <c r="AQ508" t="s">
        <v>74</v>
      </c>
      <c r="AR508" t="s">
        <v>9968</v>
      </c>
      <c r="AS508" t="s">
        <v>9969</v>
      </c>
      <c r="AT508" t="s">
        <v>9222</v>
      </c>
      <c r="AU508">
        <v>2018</v>
      </c>
      <c r="AV508">
        <v>3</v>
      </c>
      <c r="AW508">
        <v>4</v>
      </c>
      <c r="AX508" t="s">
        <v>74</v>
      </c>
      <c r="AY508" t="s">
        <v>74</v>
      </c>
      <c r="AZ508" t="s">
        <v>74</v>
      </c>
      <c r="BA508" t="s">
        <v>74</v>
      </c>
      <c r="BB508" t="s">
        <v>74</v>
      </c>
      <c r="BC508" t="s">
        <v>74</v>
      </c>
      <c r="BD508">
        <v>45</v>
      </c>
      <c r="BE508" t="s">
        <v>9970</v>
      </c>
      <c r="BF508" t="str">
        <f>HYPERLINK("http://dx.doi.org/10.3390/condmat3040045","http://dx.doi.org/10.3390/condmat3040045")</f>
        <v>http://dx.doi.org/10.3390/condmat3040045</v>
      </c>
      <c r="BG508" t="s">
        <v>74</v>
      </c>
      <c r="BH508" t="s">
        <v>74</v>
      </c>
      <c r="BI508">
        <v>15</v>
      </c>
      <c r="BJ508" t="s">
        <v>9971</v>
      </c>
      <c r="BK508" t="s">
        <v>349</v>
      </c>
      <c r="BL508" t="s">
        <v>2449</v>
      </c>
      <c r="BM508" t="s">
        <v>9972</v>
      </c>
      <c r="BN508" t="s">
        <v>74</v>
      </c>
      <c r="BO508" t="s">
        <v>8859</v>
      </c>
      <c r="BP508" t="s">
        <v>74</v>
      </c>
      <c r="BQ508" t="s">
        <v>74</v>
      </c>
      <c r="BR508" t="s">
        <v>104</v>
      </c>
      <c r="BS508" t="s">
        <v>9973</v>
      </c>
      <c r="BT508" t="str">
        <f>HYPERLINK("https%3A%2F%2Fwww.webofscience.com%2Fwos%2Fwoscc%2Ffull-record%2FWOS:000455202100018","View Full Record in Web of Science")</f>
        <v>View Full Record in Web of Science</v>
      </c>
    </row>
    <row r="509" spans="1:72" x14ac:dyDescent="0.15">
      <c r="A509" t="s">
        <v>72</v>
      </c>
      <c r="B509" t="s">
        <v>9974</v>
      </c>
      <c r="C509" t="s">
        <v>74</v>
      </c>
      <c r="D509" t="s">
        <v>74</v>
      </c>
      <c r="E509" t="s">
        <v>74</v>
      </c>
      <c r="F509" t="s">
        <v>9975</v>
      </c>
      <c r="G509" t="s">
        <v>74</v>
      </c>
      <c r="H509" t="s">
        <v>74</v>
      </c>
      <c r="I509" t="s">
        <v>9976</v>
      </c>
      <c r="J509" t="s">
        <v>9977</v>
      </c>
      <c r="K509" t="s">
        <v>74</v>
      </c>
      <c r="L509" t="s">
        <v>74</v>
      </c>
      <c r="M509" t="s">
        <v>78</v>
      </c>
      <c r="N509" t="s">
        <v>79</v>
      </c>
      <c r="O509" t="s">
        <v>74</v>
      </c>
      <c r="P509" t="s">
        <v>74</v>
      </c>
      <c r="Q509" t="s">
        <v>74</v>
      </c>
      <c r="R509" t="s">
        <v>74</v>
      </c>
      <c r="S509" t="s">
        <v>74</v>
      </c>
      <c r="T509" t="s">
        <v>9978</v>
      </c>
      <c r="U509" t="s">
        <v>9979</v>
      </c>
      <c r="V509" t="s">
        <v>9980</v>
      </c>
      <c r="W509" t="s">
        <v>9981</v>
      </c>
      <c r="X509" t="s">
        <v>9982</v>
      </c>
      <c r="Y509" t="s">
        <v>9983</v>
      </c>
      <c r="Z509" t="s">
        <v>9984</v>
      </c>
      <c r="AA509" t="s">
        <v>9985</v>
      </c>
      <c r="AB509" t="s">
        <v>9986</v>
      </c>
      <c r="AC509" t="s">
        <v>9987</v>
      </c>
      <c r="AD509" t="s">
        <v>9988</v>
      </c>
      <c r="AE509" t="s">
        <v>9989</v>
      </c>
      <c r="AF509" t="s">
        <v>74</v>
      </c>
      <c r="AG509">
        <v>72</v>
      </c>
      <c r="AH509">
        <v>4</v>
      </c>
      <c r="AI509">
        <v>4</v>
      </c>
      <c r="AJ509">
        <v>2</v>
      </c>
      <c r="AK509">
        <v>35</v>
      </c>
      <c r="AL509" t="s">
        <v>6016</v>
      </c>
      <c r="AM509" t="s">
        <v>6017</v>
      </c>
      <c r="AN509" t="s">
        <v>6018</v>
      </c>
      <c r="AO509" t="s">
        <v>9990</v>
      </c>
      <c r="AP509" t="s">
        <v>9991</v>
      </c>
      <c r="AQ509" t="s">
        <v>74</v>
      </c>
      <c r="AR509" t="s">
        <v>9977</v>
      </c>
      <c r="AS509" t="s">
        <v>9992</v>
      </c>
      <c r="AT509" t="s">
        <v>9222</v>
      </c>
      <c r="AU509">
        <v>2018</v>
      </c>
      <c r="AV509">
        <v>85</v>
      </c>
      <c r="AW509" t="s">
        <v>74</v>
      </c>
      <c r="AX509" t="s">
        <v>74</v>
      </c>
      <c r="AY509" t="s">
        <v>74</v>
      </c>
      <c r="AZ509" t="s">
        <v>74</v>
      </c>
      <c r="BA509" t="s">
        <v>74</v>
      </c>
      <c r="BB509">
        <v>39</v>
      </c>
      <c r="BC509">
        <v>46</v>
      </c>
      <c r="BD509" t="s">
        <v>74</v>
      </c>
      <c r="BE509" t="s">
        <v>9993</v>
      </c>
      <c r="BF509" t="str">
        <f>HYPERLINK("http://dx.doi.org/10.1016/j.cryobiol.2018.10.004","http://dx.doi.org/10.1016/j.cryobiol.2018.10.004")</f>
        <v>http://dx.doi.org/10.1016/j.cryobiol.2018.10.004</v>
      </c>
      <c r="BG509" t="s">
        <v>74</v>
      </c>
      <c r="BH509" t="s">
        <v>74</v>
      </c>
      <c r="BI509">
        <v>8</v>
      </c>
      <c r="BJ509" t="s">
        <v>9994</v>
      </c>
      <c r="BK509" t="s">
        <v>101</v>
      </c>
      <c r="BL509" t="s">
        <v>9995</v>
      </c>
      <c r="BM509" t="s">
        <v>9996</v>
      </c>
      <c r="BN509">
        <v>30292810</v>
      </c>
      <c r="BO509" t="s">
        <v>74</v>
      </c>
      <c r="BP509" t="s">
        <v>74</v>
      </c>
      <c r="BQ509" t="s">
        <v>74</v>
      </c>
      <c r="BR509" t="s">
        <v>104</v>
      </c>
      <c r="BS509" t="s">
        <v>9997</v>
      </c>
      <c r="BT509" t="str">
        <f>HYPERLINK("https%3A%2F%2Fwww.webofscience.com%2Fwos%2Fwoscc%2Ffull-record%2FWOS:000454851300007","View Full Record in Web of Science")</f>
        <v>View Full Record in Web of Science</v>
      </c>
    </row>
    <row r="510" spans="1:72" x14ac:dyDescent="0.15">
      <c r="A510" t="s">
        <v>72</v>
      </c>
      <c r="B510" t="s">
        <v>9998</v>
      </c>
      <c r="C510" t="s">
        <v>74</v>
      </c>
      <c r="D510" t="s">
        <v>74</v>
      </c>
      <c r="E510" t="s">
        <v>74</v>
      </c>
      <c r="F510" t="s">
        <v>9999</v>
      </c>
      <c r="G510" t="s">
        <v>74</v>
      </c>
      <c r="H510" t="s">
        <v>74</v>
      </c>
      <c r="I510" t="s">
        <v>10000</v>
      </c>
      <c r="J510" t="s">
        <v>10001</v>
      </c>
      <c r="K510" t="s">
        <v>74</v>
      </c>
      <c r="L510" t="s">
        <v>74</v>
      </c>
      <c r="M510" t="s">
        <v>78</v>
      </c>
      <c r="N510" t="s">
        <v>79</v>
      </c>
      <c r="O510" t="s">
        <v>74</v>
      </c>
      <c r="P510" t="s">
        <v>74</v>
      </c>
      <c r="Q510" t="s">
        <v>74</v>
      </c>
      <c r="R510" t="s">
        <v>74</v>
      </c>
      <c r="S510" t="s">
        <v>74</v>
      </c>
      <c r="T510" t="s">
        <v>10002</v>
      </c>
      <c r="U510" t="s">
        <v>10003</v>
      </c>
      <c r="V510" t="s">
        <v>10004</v>
      </c>
      <c r="W510" t="s">
        <v>10005</v>
      </c>
      <c r="X510" t="s">
        <v>10006</v>
      </c>
      <c r="Y510" t="s">
        <v>10007</v>
      </c>
      <c r="Z510" t="s">
        <v>10008</v>
      </c>
      <c r="AA510" t="s">
        <v>10009</v>
      </c>
      <c r="AB510" t="s">
        <v>10010</v>
      </c>
      <c r="AC510" t="s">
        <v>10011</v>
      </c>
      <c r="AD510" t="s">
        <v>10012</v>
      </c>
      <c r="AE510" t="s">
        <v>10013</v>
      </c>
      <c r="AF510" t="s">
        <v>74</v>
      </c>
      <c r="AG510">
        <v>48</v>
      </c>
      <c r="AH510">
        <v>2</v>
      </c>
      <c r="AI510">
        <v>2</v>
      </c>
      <c r="AJ510">
        <v>0</v>
      </c>
      <c r="AK510">
        <v>1</v>
      </c>
      <c r="AL510" t="s">
        <v>4010</v>
      </c>
      <c r="AM510" t="s">
        <v>4011</v>
      </c>
      <c r="AN510" t="s">
        <v>4012</v>
      </c>
      <c r="AO510" t="s">
        <v>74</v>
      </c>
      <c r="AP510" t="s">
        <v>10014</v>
      </c>
      <c r="AQ510" t="s">
        <v>74</v>
      </c>
      <c r="AR510" t="s">
        <v>10001</v>
      </c>
      <c r="AS510" t="s">
        <v>10015</v>
      </c>
      <c r="AT510" t="s">
        <v>9222</v>
      </c>
      <c r="AU510">
        <v>2018</v>
      </c>
      <c r="AV510">
        <v>10</v>
      </c>
      <c r="AW510">
        <v>4</v>
      </c>
      <c r="AX510" t="s">
        <v>74</v>
      </c>
      <c r="AY510" t="s">
        <v>74</v>
      </c>
      <c r="AZ510" t="s">
        <v>74</v>
      </c>
      <c r="BA510" t="s">
        <v>74</v>
      </c>
      <c r="BB510" t="s">
        <v>74</v>
      </c>
      <c r="BC510" t="s">
        <v>74</v>
      </c>
      <c r="BD510">
        <v>107</v>
      </c>
      <c r="BE510" t="s">
        <v>10016</v>
      </c>
      <c r="BF510" t="str">
        <f>HYPERLINK("http://dx.doi.org/10.3390/d10040107","http://dx.doi.org/10.3390/d10040107")</f>
        <v>http://dx.doi.org/10.3390/d10040107</v>
      </c>
      <c r="BG510" t="s">
        <v>74</v>
      </c>
      <c r="BH510" t="s">
        <v>74</v>
      </c>
      <c r="BI510">
        <v>12</v>
      </c>
      <c r="BJ510" t="s">
        <v>1087</v>
      </c>
      <c r="BK510" t="s">
        <v>101</v>
      </c>
      <c r="BL510" t="s">
        <v>102</v>
      </c>
      <c r="BM510" t="s">
        <v>10017</v>
      </c>
      <c r="BN510" t="s">
        <v>74</v>
      </c>
      <c r="BO510" t="s">
        <v>1556</v>
      </c>
      <c r="BP510" t="s">
        <v>74</v>
      </c>
      <c r="BQ510" t="s">
        <v>74</v>
      </c>
      <c r="BR510" t="s">
        <v>104</v>
      </c>
      <c r="BS510" t="s">
        <v>10018</v>
      </c>
      <c r="BT510" t="str">
        <f>HYPERLINK("https%3A%2F%2Fwww.webofscience.com%2Fwos%2Fwoscc%2Ffull-record%2FWOS:000455067000004","View Full Record in Web of Science")</f>
        <v>View Full Record in Web of Science</v>
      </c>
    </row>
    <row r="511" spans="1:72" x14ac:dyDescent="0.15">
      <c r="A511" t="s">
        <v>72</v>
      </c>
      <c r="B511" t="s">
        <v>10019</v>
      </c>
      <c r="C511" t="s">
        <v>74</v>
      </c>
      <c r="D511" t="s">
        <v>74</v>
      </c>
      <c r="E511" t="s">
        <v>74</v>
      </c>
      <c r="F511" t="s">
        <v>10020</v>
      </c>
      <c r="G511" t="s">
        <v>74</v>
      </c>
      <c r="H511" t="s">
        <v>74</v>
      </c>
      <c r="I511" t="s">
        <v>10021</v>
      </c>
      <c r="J511" t="s">
        <v>10022</v>
      </c>
      <c r="K511" t="s">
        <v>74</v>
      </c>
      <c r="L511" t="s">
        <v>74</v>
      </c>
      <c r="M511" t="s">
        <v>78</v>
      </c>
      <c r="N511" t="s">
        <v>5330</v>
      </c>
      <c r="O511" t="s">
        <v>10023</v>
      </c>
      <c r="P511" t="s">
        <v>10024</v>
      </c>
      <c r="Q511" t="s">
        <v>10025</v>
      </c>
      <c r="R511" t="s">
        <v>74</v>
      </c>
      <c r="S511" t="s">
        <v>74</v>
      </c>
      <c r="T511" t="s">
        <v>10026</v>
      </c>
      <c r="U511" t="s">
        <v>10027</v>
      </c>
      <c r="V511" t="s">
        <v>10028</v>
      </c>
      <c r="W511" t="s">
        <v>10029</v>
      </c>
      <c r="X511" t="s">
        <v>10030</v>
      </c>
      <c r="Y511" t="s">
        <v>10031</v>
      </c>
      <c r="Z511" t="s">
        <v>10032</v>
      </c>
      <c r="AA511" t="s">
        <v>10033</v>
      </c>
      <c r="AB511" t="s">
        <v>10034</v>
      </c>
      <c r="AC511" t="s">
        <v>10035</v>
      </c>
      <c r="AD511" t="s">
        <v>10036</v>
      </c>
      <c r="AE511" t="s">
        <v>10037</v>
      </c>
      <c r="AF511" t="s">
        <v>74</v>
      </c>
      <c r="AG511">
        <v>70</v>
      </c>
      <c r="AH511">
        <v>4</v>
      </c>
      <c r="AI511">
        <v>4</v>
      </c>
      <c r="AJ511">
        <v>2</v>
      </c>
      <c r="AK511">
        <v>23</v>
      </c>
      <c r="AL511" t="s">
        <v>1079</v>
      </c>
      <c r="AM511" t="s">
        <v>4862</v>
      </c>
      <c r="AN511" t="s">
        <v>4863</v>
      </c>
      <c r="AO511" t="s">
        <v>10038</v>
      </c>
      <c r="AP511" t="s">
        <v>10039</v>
      </c>
      <c r="AQ511" t="s">
        <v>74</v>
      </c>
      <c r="AR511" t="s">
        <v>10040</v>
      </c>
      <c r="AS511" t="s">
        <v>10041</v>
      </c>
      <c r="AT511" t="s">
        <v>9222</v>
      </c>
      <c r="AU511">
        <v>2018</v>
      </c>
      <c r="AV511">
        <v>30</v>
      </c>
      <c r="AW511">
        <v>6</v>
      </c>
      <c r="AX511" t="s">
        <v>74</v>
      </c>
      <c r="AY511" t="s">
        <v>74</v>
      </c>
      <c r="AZ511" t="s">
        <v>74</v>
      </c>
      <c r="BA511" t="s">
        <v>74</v>
      </c>
      <c r="BB511">
        <v>3121</v>
      </c>
      <c r="BC511">
        <v>3130</v>
      </c>
      <c r="BD511" t="s">
        <v>74</v>
      </c>
      <c r="BE511" t="s">
        <v>10042</v>
      </c>
      <c r="BF511" t="str">
        <f>HYPERLINK("http://dx.doi.org/10.1007/s10811-018-1588-x","http://dx.doi.org/10.1007/s10811-018-1588-x")</f>
        <v>http://dx.doi.org/10.1007/s10811-018-1588-x</v>
      </c>
      <c r="BG511" t="s">
        <v>74</v>
      </c>
      <c r="BH511" t="s">
        <v>74</v>
      </c>
      <c r="BI511">
        <v>10</v>
      </c>
      <c r="BJ511" t="s">
        <v>10043</v>
      </c>
      <c r="BK511" t="s">
        <v>5354</v>
      </c>
      <c r="BL511" t="s">
        <v>10043</v>
      </c>
      <c r="BM511" t="s">
        <v>10044</v>
      </c>
      <c r="BN511" t="s">
        <v>74</v>
      </c>
      <c r="BO511" t="s">
        <v>74</v>
      </c>
      <c r="BP511" t="s">
        <v>74</v>
      </c>
      <c r="BQ511" t="s">
        <v>74</v>
      </c>
      <c r="BR511" t="s">
        <v>104</v>
      </c>
      <c r="BS511" t="s">
        <v>10045</v>
      </c>
      <c r="BT511" t="str">
        <f>HYPERLINK("https%3A%2F%2Fwww.webofscience.com%2Fwos%2Fwoscc%2Ffull-record%2FWOS:000455405900015","View Full Record in Web of Science")</f>
        <v>View Full Record in Web of Science</v>
      </c>
    </row>
    <row r="512" spans="1:72" x14ac:dyDescent="0.15">
      <c r="A512" t="s">
        <v>72</v>
      </c>
      <c r="B512" t="s">
        <v>10046</v>
      </c>
      <c r="C512" t="s">
        <v>74</v>
      </c>
      <c r="D512" t="s">
        <v>74</v>
      </c>
      <c r="E512" t="s">
        <v>74</v>
      </c>
      <c r="F512" t="s">
        <v>10047</v>
      </c>
      <c r="G512" t="s">
        <v>74</v>
      </c>
      <c r="H512" t="s">
        <v>74</v>
      </c>
      <c r="I512" t="s">
        <v>10048</v>
      </c>
      <c r="J512" t="s">
        <v>10022</v>
      </c>
      <c r="K512" t="s">
        <v>74</v>
      </c>
      <c r="L512" t="s">
        <v>74</v>
      </c>
      <c r="M512" t="s">
        <v>78</v>
      </c>
      <c r="N512" t="s">
        <v>5330</v>
      </c>
      <c r="O512" t="s">
        <v>10023</v>
      </c>
      <c r="P512" t="s">
        <v>10024</v>
      </c>
      <c r="Q512" t="s">
        <v>10025</v>
      </c>
      <c r="R512" t="s">
        <v>74</v>
      </c>
      <c r="S512" t="s">
        <v>74</v>
      </c>
      <c r="T512" t="s">
        <v>10049</v>
      </c>
      <c r="U512" t="s">
        <v>10050</v>
      </c>
      <c r="V512" t="s">
        <v>10051</v>
      </c>
      <c r="W512" t="s">
        <v>10052</v>
      </c>
      <c r="X512" t="s">
        <v>10053</v>
      </c>
      <c r="Y512" t="s">
        <v>10054</v>
      </c>
      <c r="Z512" t="s">
        <v>10055</v>
      </c>
      <c r="AA512" t="s">
        <v>10056</v>
      </c>
      <c r="AB512" t="s">
        <v>10057</v>
      </c>
      <c r="AC512" t="s">
        <v>10058</v>
      </c>
      <c r="AD512" t="s">
        <v>10059</v>
      </c>
      <c r="AE512" t="s">
        <v>10060</v>
      </c>
      <c r="AF512" t="s">
        <v>74</v>
      </c>
      <c r="AG512">
        <v>39</v>
      </c>
      <c r="AH512">
        <v>6</v>
      </c>
      <c r="AI512">
        <v>7</v>
      </c>
      <c r="AJ512">
        <v>2</v>
      </c>
      <c r="AK512">
        <v>22</v>
      </c>
      <c r="AL512" t="s">
        <v>1079</v>
      </c>
      <c r="AM512" t="s">
        <v>4862</v>
      </c>
      <c r="AN512" t="s">
        <v>4863</v>
      </c>
      <c r="AO512" t="s">
        <v>10038</v>
      </c>
      <c r="AP512" t="s">
        <v>10039</v>
      </c>
      <c r="AQ512" t="s">
        <v>74</v>
      </c>
      <c r="AR512" t="s">
        <v>10040</v>
      </c>
      <c r="AS512" t="s">
        <v>10041</v>
      </c>
      <c r="AT512" t="s">
        <v>9222</v>
      </c>
      <c r="AU512">
        <v>2018</v>
      </c>
      <c r="AV512">
        <v>30</v>
      </c>
      <c r="AW512">
        <v>6</v>
      </c>
      <c r="AX512" t="s">
        <v>74</v>
      </c>
      <c r="AY512" t="s">
        <v>74</v>
      </c>
      <c r="AZ512" t="s">
        <v>74</v>
      </c>
      <c r="BA512" t="s">
        <v>74</v>
      </c>
      <c r="BB512">
        <v>3187</v>
      </c>
      <c r="BC512">
        <v>3196</v>
      </c>
      <c r="BD512" t="s">
        <v>74</v>
      </c>
      <c r="BE512" t="s">
        <v>10061</v>
      </c>
      <c r="BF512" t="str">
        <f>HYPERLINK("http://dx.doi.org/10.1007/s10811-018-1392-7","http://dx.doi.org/10.1007/s10811-018-1392-7")</f>
        <v>http://dx.doi.org/10.1007/s10811-018-1392-7</v>
      </c>
      <c r="BG512" t="s">
        <v>74</v>
      </c>
      <c r="BH512" t="s">
        <v>74</v>
      </c>
      <c r="BI512">
        <v>10</v>
      </c>
      <c r="BJ512" t="s">
        <v>10043</v>
      </c>
      <c r="BK512" t="s">
        <v>5354</v>
      </c>
      <c r="BL512" t="s">
        <v>10043</v>
      </c>
      <c r="BM512" t="s">
        <v>10044</v>
      </c>
      <c r="BN512" t="s">
        <v>74</v>
      </c>
      <c r="BO512" t="s">
        <v>2948</v>
      </c>
      <c r="BP512" t="s">
        <v>74</v>
      </c>
      <c r="BQ512" t="s">
        <v>74</v>
      </c>
      <c r="BR512" t="s">
        <v>104</v>
      </c>
      <c r="BS512" t="s">
        <v>10062</v>
      </c>
      <c r="BT512" t="str">
        <f>HYPERLINK("https%3A%2F%2Fwww.webofscience.com%2Fwos%2Fwoscc%2Ffull-record%2FWOS:000455405900020","View Full Record in Web of Science")</f>
        <v>View Full Record in Web of Science</v>
      </c>
    </row>
    <row r="513" spans="1:72" x14ac:dyDescent="0.15">
      <c r="A513" t="s">
        <v>72</v>
      </c>
      <c r="B513" t="s">
        <v>10063</v>
      </c>
      <c r="C513" t="s">
        <v>74</v>
      </c>
      <c r="D513" t="s">
        <v>74</v>
      </c>
      <c r="E513" t="s">
        <v>74</v>
      </c>
      <c r="F513" t="s">
        <v>10063</v>
      </c>
      <c r="G513" t="s">
        <v>74</v>
      </c>
      <c r="H513" t="s">
        <v>74</v>
      </c>
      <c r="I513" t="s">
        <v>10064</v>
      </c>
      <c r="J513" t="s">
        <v>10065</v>
      </c>
      <c r="K513" t="s">
        <v>74</v>
      </c>
      <c r="L513" t="s">
        <v>74</v>
      </c>
      <c r="M513" t="s">
        <v>78</v>
      </c>
      <c r="N513" t="s">
        <v>3800</v>
      </c>
      <c r="O513" t="s">
        <v>74</v>
      </c>
      <c r="P513" t="s">
        <v>74</v>
      </c>
      <c r="Q513" t="s">
        <v>74</v>
      </c>
      <c r="R513" t="s">
        <v>74</v>
      </c>
      <c r="S513" t="s">
        <v>74</v>
      </c>
      <c r="T513" t="s">
        <v>74</v>
      </c>
      <c r="U513" t="s">
        <v>74</v>
      </c>
      <c r="V513" t="s">
        <v>74</v>
      </c>
      <c r="W513" t="s">
        <v>74</v>
      </c>
      <c r="X513" t="s">
        <v>74</v>
      </c>
      <c r="Y513" t="s">
        <v>74</v>
      </c>
      <c r="Z513" t="s">
        <v>74</v>
      </c>
      <c r="AA513" t="s">
        <v>74</v>
      </c>
      <c r="AB513" t="s">
        <v>74</v>
      </c>
      <c r="AC513" t="s">
        <v>74</v>
      </c>
      <c r="AD513" t="s">
        <v>74</v>
      </c>
      <c r="AE513" t="s">
        <v>74</v>
      </c>
      <c r="AF513" t="s">
        <v>74</v>
      </c>
      <c r="AG513">
        <v>1</v>
      </c>
      <c r="AH513">
        <v>0</v>
      </c>
      <c r="AI513">
        <v>0</v>
      </c>
      <c r="AJ513">
        <v>0</v>
      </c>
      <c r="AK513">
        <v>4</v>
      </c>
      <c r="AL513" t="s">
        <v>3670</v>
      </c>
      <c r="AM513" t="s">
        <v>3671</v>
      </c>
      <c r="AN513" t="s">
        <v>3672</v>
      </c>
      <c r="AO513" t="s">
        <v>10066</v>
      </c>
      <c r="AP513" t="s">
        <v>10067</v>
      </c>
      <c r="AQ513" t="s">
        <v>74</v>
      </c>
      <c r="AR513" t="s">
        <v>10068</v>
      </c>
      <c r="AS513" t="s">
        <v>10069</v>
      </c>
      <c r="AT513" t="s">
        <v>9222</v>
      </c>
      <c r="AU513">
        <v>2018</v>
      </c>
      <c r="AV513">
        <v>54</v>
      </c>
      <c r="AW513">
        <v>6</v>
      </c>
      <c r="AX513" t="s">
        <v>74</v>
      </c>
      <c r="AY513" t="s">
        <v>74</v>
      </c>
      <c r="AZ513" t="s">
        <v>74</v>
      </c>
      <c r="BA513" t="s">
        <v>74</v>
      </c>
      <c r="BB513">
        <v>929</v>
      </c>
      <c r="BC513">
        <v>929</v>
      </c>
      <c r="BD513" t="s">
        <v>74</v>
      </c>
      <c r="BE513" t="s">
        <v>10070</v>
      </c>
      <c r="BF513" t="str">
        <f>HYPERLINK("http://dx.doi.org/10.1111/jpy.12809","http://dx.doi.org/10.1111/jpy.12809")</f>
        <v>http://dx.doi.org/10.1111/jpy.12809</v>
      </c>
      <c r="BG513" t="s">
        <v>74</v>
      </c>
      <c r="BH513" t="s">
        <v>74</v>
      </c>
      <c r="BI513">
        <v>1</v>
      </c>
      <c r="BJ513" t="s">
        <v>2549</v>
      </c>
      <c r="BK513" t="s">
        <v>101</v>
      </c>
      <c r="BL513" t="s">
        <v>2549</v>
      </c>
      <c r="BM513" t="s">
        <v>10071</v>
      </c>
      <c r="BN513" t="s">
        <v>74</v>
      </c>
      <c r="BO513" t="s">
        <v>162</v>
      </c>
      <c r="BP513" t="s">
        <v>74</v>
      </c>
      <c r="BQ513" t="s">
        <v>74</v>
      </c>
      <c r="BR513" t="s">
        <v>104</v>
      </c>
      <c r="BS513" t="s">
        <v>10072</v>
      </c>
      <c r="BT513" t="str">
        <f>HYPERLINK("https%3A%2F%2Fwww.webofscience.com%2Fwos%2Fwoscc%2Ffull-record%2FWOS:000454908500018","View Full Record in Web of Science")</f>
        <v>View Full Record in Web of Science</v>
      </c>
    </row>
    <row r="514" spans="1:72" x14ac:dyDescent="0.15">
      <c r="A514" t="s">
        <v>72</v>
      </c>
      <c r="B514" t="s">
        <v>10073</v>
      </c>
      <c r="C514" t="s">
        <v>74</v>
      </c>
      <c r="D514" t="s">
        <v>74</v>
      </c>
      <c r="E514" t="s">
        <v>74</v>
      </c>
      <c r="F514" t="s">
        <v>10074</v>
      </c>
      <c r="G514" t="s">
        <v>74</v>
      </c>
      <c r="H514" t="s">
        <v>74</v>
      </c>
      <c r="I514" t="s">
        <v>10075</v>
      </c>
      <c r="J514" t="s">
        <v>10076</v>
      </c>
      <c r="K514" t="s">
        <v>74</v>
      </c>
      <c r="L514" t="s">
        <v>74</v>
      </c>
      <c r="M514" t="s">
        <v>78</v>
      </c>
      <c r="N514" t="s">
        <v>79</v>
      </c>
      <c r="O514" t="s">
        <v>74</v>
      </c>
      <c r="P514" t="s">
        <v>74</v>
      </c>
      <c r="Q514" t="s">
        <v>74</v>
      </c>
      <c r="R514" t="s">
        <v>74</v>
      </c>
      <c r="S514" t="s">
        <v>74</v>
      </c>
      <c r="T514" t="s">
        <v>10077</v>
      </c>
      <c r="U514" t="s">
        <v>10078</v>
      </c>
      <c r="V514" t="s">
        <v>10079</v>
      </c>
      <c r="W514" t="s">
        <v>10080</v>
      </c>
      <c r="X514" t="s">
        <v>10081</v>
      </c>
      <c r="Y514" t="s">
        <v>10082</v>
      </c>
      <c r="Z514" t="s">
        <v>10083</v>
      </c>
      <c r="AA514" t="s">
        <v>10084</v>
      </c>
      <c r="AB514" t="s">
        <v>10085</v>
      </c>
      <c r="AC514" t="s">
        <v>10086</v>
      </c>
      <c r="AD514" t="s">
        <v>10087</v>
      </c>
      <c r="AE514" t="s">
        <v>10088</v>
      </c>
      <c r="AF514" t="s">
        <v>74</v>
      </c>
      <c r="AG514">
        <v>55</v>
      </c>
      <c r="AH514">
        <v>1</v>
      </c>
      <c r="AI514">
        <v>1</v>
      </c>
      <c r="AJ514">
        <v>1</v>
      </c>
      <c r="AK514">
        <v>8</v>
      </c>
      <c r="AL514" t="s">
        <v>3352</v>
      </c>
      <c r="AM514" t="s">
        <v>3353</v>
      </c>
      <c r="AN514" t="s">
        <v>3354</v>
      </c>
      <c r="AO514" t="s">
        <v>10089</v>
      </c>
      <c r="AP514" t="s">
        <v>74</v>
      </c>
      <c r="AQ514" t="s">
        <v>74</v>
      </c>
      <c r="AR514" t="s">
        <v>10090</v>
      </c>
      <c r="AS514" t="s">
        <v>10091</v>
      </c>
      <c r="AT514" t="s">
        <v>9222</v>
      </c>
      <c r="AU514">
        <v>2018</v>
      </c>
      <c r="AV514">
        <v>94</v>
      </c>
      <c r="AW514" t="s">
        <v>74</v>
      </c>
      <c r="AX514" t="s">
        <v>74</v>
      </c>
      <c r="AY514" t="s">
        <v>74</v>
      </c>
      <c r="AZ514" t="s">
        <v>74</v>
      </c>
      <c r="BA514" t="s">
        <v>74</v>
      </c>
      <c r="BB514">
        <v>95</v>
      </c>
      <c r="BC514">
        <v>101</v>
      </c>
      <c r="BD514" t="s">
        <v>74</v>
      </c>
      <c r="BE514" t="s">
        <v>10092</v>
      </c>
      <c r="BF514" t="str">
        <f>HYPERLINK("http://dx.doi.org/10.1016/j.mechrescom.2018.09.009","http://dx.doi.org/10.1016/j.mechrescom.2018.09.009")</f>
        <v>http://dx.doi.org/10.1016/j.mechrescom.2018.09.009</v>
      </c>
      <c r="BG514" t="s">
        <v>74</v>
      </c>
      <c r="BH514" t="s">
        <v>74</v>
      </c>
      <c r="BI514">
        <v>7</v>
      </c>
      <c r="BJ514" t="s">
        <v>10093</v>
      </c>
      <c r="BK514" t="s">
        <v>101</v>
      </c>
      <c r="BL514" t="s">
        <v>10093</v>
      </c>
      <c r="BM514" t="s">
        <v>10094</v>
      </c>
      <c r="BN514" t="s">
        <v>74</v>
      </c>
      <c r="BO514" t="s">
        <v>2948</v>
      </c>
      <c r="BP514" t="s">
        <v>74</v>
      </c>
      <c r="BQ514" t="s">
        <v>74</v>
      </c>
      <c r="BR514" t="s">
        <v>104</v>
      </c>
      <c r="BS514" t="s">
        <v>10095</v>
      </c>
      <c r="BT514" t="str">
        <f>HYPERLINK("https%3A%2F%2Fwww.webofscience.com%2Fwos%2Fwoscc%2Ffull-record%2FWOS:000454966200018","View Full Record in Web of Science")</f>
        <v>View Full Record in Web of Science</v>
      </c>
    </row>
    <row r="515" spans="1:72" x14ac:dyDescent="0.15">
      <c r="A515" t="s">
        <v>72</v>
      </c>
      <c r="B515" t="s">
        <v>10096</v>
      </c>
      <c r="C515" t="s">
        <v>74</v>
      </c>
      <c r="D515" t="s">
        <v>74</v>
      </c>
      <c r="E515" t="s">
        <v>74</v>
      </c>
      <c r="F515" t="s">
        <v>10097</v>
      </c>
      <c r="G515" t="s">
        <v>74</v>
      </c>
      <c r="H515" t="s">
        <v>74</v>
      </c>
      <c r="I515" t="s">
        <v>10098</v>
      </c>
      <c r="J515" t="s">
        <v>10099</v>
      </c>
      <c r="K515" t="s">
        <v>74</v>
      </c>
      <c r="L515" t="s">
        <v>74</v>
      </c>
      <c r="M515" t="s">
        <v>78</v>
      </c>
      <c r="N515" t="s">
        <v>79</v>
      </c>
      <c r="O515" t="s">
        <v>74</v>
      </c>
      <c r="P515" t="s">
        <v>74</v>
      </c>
      <c r="Q515" t="s">
        <v>74</v>
      </c>
      <c r="R515" t="s">
        <v>74</v>
      </c>
      <c r="S515" t="s">
        <v>74</v>
      </c>
      <c r="T515" t="s">
        <v>10100</v>
      </c>
      <c r="U515" t="s">
        <v>10101</v>
      </c>
      <c r="V515" t="s">
        <v>10102</v>
      </c>
      <c r="W515" t="s">
        <v>10103</v>
      </c>
      <c r="X515" t="s">
        <v>10104</v>
      </c>
      <c r="Y515" t="s">
        <v>10105</v>
      </c>
      <c r="Z515" t="s">
        <v>10106</v>
      </c>
      <c r="AA515" t="s">
        <v>10107</v>
      </c>
      <c r="AB515" t="s">
        <v>10108</v>
      </c>
      <c r="AC515" t="s">
        <v>10109</v>
      </c>
      <c r="AD515" t="s">
        <v>10110</v>
      </c>
      <c r="AE515" t="s">
        <v>10111</v>
      </c>
      <c r="AF515" t="s">
        <v>74</v>
      </c>
      <c r="AG515">
        <v>28</v>
      </c>
      <c r="AH515">
        <v>17</v>
      </c>
      <c r="AI515">
        <v>18</v>
      </c>
      <c r="AJ515">
        <v>1</v>
      </c>
      <c r="AK515">
        <v>15</v>
      </c>
      <c r="AL515" t="s">
        <v>4010</v>
      </c>
      <c r="AM515" t="s">
        <v>4011</v>
      </c>
      <c r="AN515" t="s">
        <v>4012</v>
      </c>
      <c r="AO515" t="s">
        <v>74</v>
      </c>
      <c r="AP515" t="s">
        <v>10112</v>
      </c>
      <c r="AQ515" t="s">
        <v>74</v>
      </c>
      <c r="AR515" t="s">
        <v>10113</v>
      </c>
      <c r="AS515" t="s">
        <v>10114</v>
      </c>
      <c r="AT515" t="s">
        <v>9222</v>
      </c>
      <c r="AU515">
        <v>2018</v>
      </c>
      <c r="AV515">
        <v>18</v>
      </c>
      <c r="AW515">
        <v>12</v>
      </c>
      <c r="AX515" t="s">
        <v>74</v>
      </c>
      <c r="AY515" t="s">
        <v>74</v>
      </c>
      <c r="AZ515" t="s">
        <v>74</v>
      </c>
      <c r="BA515" t="s">
        <v>74</v>
      </c>
      <c r="BB515" t="s">
        <v>74</v>
      </c>
      <c r="BC515" t="s">
        <v>74</v>
      </c>
      <c r="BD515">
        <v>4380</v>
      </c>
      <c r="BE515" t="s">
        <v>10115</v>
      </c>
      <c r="BF515" t="str">
        <f>HYPERLINK("http://dx.doi.org/10.3390/s18124380","http://dx.doi.org/10.3390/s18124380")</f>
        <v>http://dx.doi.org/10.3390/s18124380</v>
      </c>
      <c r="BG515" t="s">
        <v>74</v>
      </c>
      <c r="BH515" t="s">
        <v>74</v>
      </c>
      <c r="BI515">
        <v>21</v>
      </c>
      <c r="BJ515" t="s">
        <v>10116</v>
      </c>
      <c r="BK515" t="s">
        <v>101</v>
      </c>
      <c r="BL515" t="s">
        <v>10117</v>
      </c>
      <c r="BM515" t="s">
        <v>10118</v>
      </c>
      <c r="BN515">
        <v>30544953</v>
      </c>
      <c r="BO515" t="s">
        <v>10119</v>
      </c>
      <c r="BP515" t="s">
        <v>74</v>
      </c>
      <c r="BQ515" t="s">
        <v>74</v>
      </c>
      <c r="BR515" t="s">
        <v>104</v>
      </c>
      <c r="BS515" t="s">
        <v>10120</v>
      </c>
      <c r="BT515" t="str">
        <f>HYPERLINK("https%3A%2F%2Fwww.webofscience.com%2Fwos%2Fwoscc%2Ffull-record%2FWOS:000454817100299","View Full Record in Web of Science")</f>
        <v>View Full Record in Web of Science</v>
      </c>
    </row>
    <row r="516" spans="1:72" x14ac:dyDescent="0.15">
      <c r="A516" t="s">
        <v>72</v>
      </c>
      <c r="B516" t="s">
        <v>10121</v>
      </c>
      <c r="C516" t="s">
        <v>74</v>
      </c>
      <c r="D516" t="s">
        <v>74</v>
      </c>
      <c r="E516" t="s">
        <v>74</v>
      </c>
      <c r="F516" t="s">
        <v>10122</v>
      </c>
      <c r="G516" t="s">
        <v>74</v>
      </c>
      <c r="H516" t="s">
        <v>74</v>
      </c>
      <c r="I516" t="s">
        <v>10123</v>
      </c>
      <c r="J516" t="s">
        <v>10099</v>
      </c>
      <c r="K516" t="s">
        <v>74</v>
      </c>
      <c r="L516" t="s">
        <v>74</v>
      </c>
      <c r="M516" t="s">
        <v>78</v>
      </c>
      <c r="N516" t="s">
        <v>79</v>
      </c>
      <c r="O516" t="s">
        <v>74</v>
      </c>
      <c r="P516" t="s">
        <v>74</v>
      </c>
      <c r="Q516" t="s">
        <v>74</v>
      </c>
      <c r="R516" t="s">
        <v>74</v>
      </c>
      <c r="S516" t="s">
        <v>74</v>
      </c>
      <c r="T516" t="s">
        <v>10124</v>
      </c>
      <c r="U516" t="s">
        <v>10125</v>
      </c>
      <c r="V516" t="s">
        <v>10126</v>
      </c>
      <c r="W516" t="s">
        <v>10127</v>
      </c>
      <c r="X516" t="s">
        <v>10128</v>
      </c>
      <c r="Y516" t="s">
        <v>10129</v>
      </c>
      <c r="Z516" t="s">
        <v>10130</v>
      </c>
      <c r="AA516" t="s">
        <v>74</v>
      </c>
      <c r="AB516" t="s">
        <v>74</v>
      </c>
      <c r="AC516" t="s">
        <v>10131</v>
      </c>
      <c r="AD516" t="s">
        <v>10132</v>
      </c>
      <c r="AE516" t="s">
        <v>10133</v>
      </c>
      <c r="AF516" t="s">
        <v>74</v>
      </c>
      <c r="AG516">
        <v>22</v>
      </c>
      <c r="AH516">
        <v>19</v>
      </c>
      <c r="AI516">
        <v>20</v>
      </c>
      <c r="AJ516">
        <v>3</v>
      </c>
      <c r="AK516">
        <v>21</v>
      </c>
      <c r="AL516" t="s">
        <v>4010</v>
      </c>
      <c r="AM516" t="s">
        <v>4011</v>
      </c>
      <c r="AN516" t="s">
        <v>4012</v>
      </c>
      <c r="AO516" t="s">
        <v>74</v>
      </c>
      <c r="AP516" t="s">
        <v>10112</v>
      </c>
      <c r="AQ516" t="s">
        <v>74</v>
      </c>
      <c r="AR516" t="s">
        <v>10113</v>
      </c>
      <c r="AS516" t="s">
        <v>10114</v>
      </c>
      <c r="AT516" t="s">
        <v>9222</v>
      </c>
      <c r="AU516">
        <v>2018</v>
      </c>
      <c r="AV516">
        <v>18</v>
      </c>
      <c r="AW516">
        <v>12</v>
      </c>
      <c r="AX516" t="s">
        <v>74</v>
      </c>
      <c r="AY516" t="s">
        <v>74</v>
      </c>
      <c r="AZ516" t="s">
        <v>74</v>
      </c>
      <c r="BA516" t="s">
        <v>74</v>
      </c>
      <c r="BB516" t="s">
        <v>74</v>
      </c>
      <c r="BC516" t="s">
        <v>74</v>
      </c>
      <c r="BD516">
        <v>4162</v>
      </c>
      <c r="BE516" t="s">
        <v>10134</v>
      </c>
      <c r="BF516" t="str">
        <f>HYPERLINK("http://dx.doi.org/10.3390/s18124162","http://dx.doi.org/10.3390/s18124162")</f>
        <v>http://dx.doi.org/10.3390/s18124162</v>
      </c>
      <c r="BG516" t="s">
        <v>74</v>
      </c>
      <c r="BH516" t="s">
        <v>74</v>
      </c>
      <c r="BI516">
        <v>22</v>
      </c>
      <c r="BJ516" t="s">
        <v>10116</v>
      </c>
      <c r="BK516" t="s">
        <v>101</v>
      </c>
      <c r="BL516" t="s">
        <v>10117</v>
      </c>
      <c r="BM516" t="s">
        <v>10118</v>
      </c>
      <c r="BN516">
        <v>30486428</v>
      </c>
      <c r="BO516" t="s">
        <v>8859</v>
      </c>
      <c r="BP516" t="s">
        <v>74</v>
      </c>
      <c r="BQ516" t="s">
        <v>74</v>
      </c>
      <c r="BR516" t="s">
        <v>104</v>
      </c>
      <c r="BS516" t="s">
        <v>10135</v>
      </c>
      <c r="BT516" t="str">
        <f>HYPERLINK("https%3A%2F%2Fwww.webofscience.com%2Fwos%2Fwoscc%2Ffull-record%2FWOS:000454817100081","View Full Record in Web of Science")</f>
        <v>View Full Record in Web of Science</v>
      </c>
    </row>
    <row r="517" spans="1:72" x14ac:dyDescent="0.15">
      <c r="A517" t="s">
        <v>72</v>
      </c>
      <c r="B517" t="s">
        <v>10136</v>
      </c>
      <c r="C517" t="s">
        <v>74</v>
      </c>
      <c r="D517" t="s">
        <v>74</v>
      </c>
      <c r="E517" t="s">
        <v>74</v>
      </c>
      <c r="F517" t="s">
        <v>10137</v>
      </c>
      <c r="G517" t="s">
        <v>74</v>
      </c>
      <c r="H517" t="s">
        <v>74</v>
      </c>
      <c r="I517" t="s">
        <v>10138</v>
      </c>
      <c r="J517" t="s">
        <v>10139</v>
      </c>
      <c r="K517" t="s">
        <v>74</v>
      </c>
      <c r="L517" t="s">
        <v>74</v>
      </c>
      <c r="M517" t="s">
        <v>78</v>
      </c>
      <c r="N517" t="s">
        <v>79</v>
      </c>
      <c r="O517" t="s">
        <v>74</v>
      </c>
      <c r="P517" t="s">
        <v>74</v>
      </c>
      <c r="Q517" t="s">
        <v>74</v>
      </c>
      <c r="R517" t="s">
        <v>74</v>
      </c>
      <c r="S517" t="s">
        <v>74</v>
      </c>
      <c r="T517" t="s">
        <v>10140</v>
      </c>
      <c r="U517" t="s">
        <v>10141</v>
      </c>
      <c r="V517" t="s">
        <v>10142</v>
      </c>
      <c r="W517" t="s">
        <v>10143</v>
      </c>
      <c r="X517" t="s">
        <v>5873</v>
      </c>
      <c r="Y517" t="s">
        <v>10144</v>
      </c>
      <c r="Z517" t="s">
        <v>10145</v>
      </c>
      <c r="AA517" t="s">
        <v>10146</v>
      </c>
      <c r="AB517" t="s">
        <v>10147</v>
      </c>
      <c r="AC517" t="s">
        <v>10148</v>
      </c>
      <c r="AD517" t="s">
        <v>10149</v>
      </c>
      <c r="AE517" t="s">
        <v>10150</v>
      </c>
      <c r="AF517" t="s">
        <v>74</v>
      </c>
      <c r="AG517">
        <v>50</v>
      </c>
      <c r="AH517">
        <v>14</v>
      </c>
      <c r="AI517">
        <v>16</v>
      </c>
      <c r="AJ517">
        <v>0</v>
      </c>
      <c r="AK517">
        <v>18</v>
      </c>
      <c r="AL517" t="s">
        <v>4010</v>
      </c>
      <c r="AM517" t="s">
        <v>4011</v>
      </c>
      <c r="AN517" t="s">
        <v>4012</v>
      </c>
      <c r="AO517" t="s">
        <v>10151</v>
      </c>
      <c r="AP517" t="s">
        <v>74</v>
      </c>
      <c r="AQ517" t="s">
        <v>74</v>
      </c>
      <c r="AR517" t="s">
        <v>10139</v>
      </c>
      <c r="AS517" t="s">
        <v>10152</v>
      </c>
      <c r="AT517" t="s">
        <v>9222</v>
      </c>
      <c r="AU517">
        <v>2018</v>
      </c>
      <c r="AV517">
        <v>10</v>
      </c>
      <c r="AW517">
        <v>12</v>
      </c>
      <c r="AX517" t="s">
        <v>74</v>
      </c>
      <c r="AY517" t="s">
        <v>74</v>
      </c>
      <c r="AZ517" t="s">
        <v>74</v>
      </c>
      <c r="BA517" t="s">
        <v>74</v>
      </c>
      <c r="BB517" t="s">
        <v>74</v>
      </c>
      <c r="BC517" t="s">
        <v>74</v>
      </c>
      <c r="BD517">
        <v>526</v>
      </c>
      <c r="BE517" t="s">
        <v>10153</v>
      </c>
      <c r="BF517" t="str">
        <f>HYPERLINK("http://dx.doi.org/10.3390/toxins10120526","http://dx.doi.org/10.3390/toxins10120526")</f>
        <v>http://dx.doi.org/10.3390/toxins10120526</v>
      </c>
      <c r="BG517" t="s">
        <v>74</v>
      </c>
      <c r="BH517" t="s">
        <v>74</v>
      </c>
      <c r="BI517">
        <v>14</v>
      </c>
      <c r="BJ517" t="s">
        <v>10154</v>
      </c>
      <c r="BK517" t="s">
        <v>101</v>
      </c>
      <c r="BL517" t="s">
        <v>10154</v>
      </c>
      <c r="BM517" t="s">
        <v>10155</v>
      </c>
      <c r="BN517">
        <v>30544794</v>
      </c>
      <c r="BO517" t="s">
        <v>7920</v>
      </c>
      <c r="BP517" t="s">
        <v>74</v>
      </c>
      <c r="BQ517" t="s">
        <v>74</v>
      </c>
      <c r="BR517" t="s">
        <v>104</v>
      </c>
      <c r="BS517" t="s">
        <v>10156</v>
      </c>
      <c r="BT517" t="str">
        <f>HYPERLINK("https%3A%2F%2Fwww.webofscience.com%2Fwos%2Fwoscc%2Ffull-record%2FWOS:000455310000041","View Full Record in Web of Science")</f>
        <v>View Full Record in Web of Science</v>
      </c>
    </row>
    <row r="518" spans="1:72" x14ac:dyDescent="0.15">
      <c r="A518" t="s">
        <v>72</v>
      </c>
      <c r="B518" t="s">
        <v>10157</v>
      </c>
      <c r="C518" t="s">
        <v>74</v>
      </c>
      <c r="D518" t="s">
        <v>74</v>
      </c>
      <c r="E518" t="s">
        <v>74</v>
      </c>
      <c r="F518" t="s">
        <v>10158</v>
      </c>
      <c r="G518" t="s">
        <v>74</v>
      </c>
      <c r="H518" t="s">
        <v>74</v>
      </c>
      <c r="I518" t="s">
        <v>10159</v>
      </c>
      <c r="J518" t="s">
        <v>9229</v>
      </c>
      <c r="K518" t="s">
        <v>74</v>
      </c>
      <c r="L518" t="s">
        <v>74</v>
      </c>
      <c r="M518" t="s">
        <v>9230</v>
      </c>
      <c r="N518" t="s">
        <v>79</v>
      </c>
      <c r="O518" t="s">
        <v>74</v>
      </c>
      <c r="P518" t="s">
        <v>74</v>
      </c>
      <c r="Q518" t="s">
        <v>74</v>
      </c>
      <c r="R518" t="s">
        <v>74</v>
      </c>
      <c r="S518" t="s">
        <v>74</v>
      </c>
      <c r="T518" t="s">
        <v>10160</v>
      </c>
      <c r="U518" t="s">
        <v>10161</v>
      </c>
      <c r="V518" t="s">
        <v>10162</v>
      </c>
      <c r="W518" t="s">
        <v>10163</v>
      </c>
      <c r="X518" t="s">
        <v>10164</v>
      </c>
      <c r="Y518" t="s">
        <v>10165</v>
      </c>
      <c r="Z518" t="s">
        <v>10166</v>
      </c>
      <c r="AA518" t="s">
        <v>10167</v>
      </c>
      <c r="AB518" t="s">
        <v>10168</v>
      </c>
      <c r="AC518" t="s">
        <v>74</v>
      </c>
      <c r="AD518" t="s">
        <v>74</v>
      </c>
      <c r="AE518" t="s">
        <v>74</v>
      </c>
      <c r="AF518" t="s">
        <v>74</v>
      </c>
      <c r="AG518">
        <v>24</v>
      </c>
      <c r="AH518">
        <v>2</v>
      </c>
      <c r="AI518">
        <v>2</v>
      </c>
      <c r="AJ518">
        <v>0</v>
      </c>
      <c r="AK518">
        <v>5</v>
      </c>
      <c r="AL518" t="s">
        <v>9240</v>
      </c>
      <c r="AM518" t="s">
        <v>9241</v>
      </c>
      <c r="AN518" t="s">
        <v>9242</v>
      </c>
      <c r="AO518" t="s">
        <v>9243</v>
      </c>
      <c r="AP518" t="s">
        <v>9244</v>
      </c>
      <c r="AQ518" t="s">
        <v>74</v>
      </c>
      <c r="AR518" t="s">
        <v>9245</v>
      </c>
      <c r="AS518" t="s">
        <v>9246</v>
      </c>
      <c r="AT518" t="s">
        <v>9222</v>
      </c>
      <c r="AU518">
        <v>2018</v>
      </c>
      <c r="AV518">
        <v>34</v>
      </c>
      <c r="AW518">
        <v>6</v>
      </c>
      <c r="AX518" t="s">
        <v>74</v>
      </c>
      <c r="AY518" t="s">
        <v>74</v>
      </c>
      <c r="AZ518" t="s">
        <v>74</v>
      </c>
      <c r="BA518" t="s">
        <v>74</v>
      </c>
      <c r="BB518">
        <v>1179</v>
      </c>
      <c r="BC518">
        <v>1192</v>
      </c>
      <c r="BD518" t="s">
        <v>74</v>
      </c>
      <c r="BE518" t="s">
        <v>10169</v>
      </c>
      <c r="BF518" t="str">
        <f>HYPERLINK("http://dx.doi.org/10.7780/kjrs.2018.34.6.2.3","http://dx.doi.org/10.7780/kjrs.2018.34.6.2.3")</f>
        <v>http://dx.doi.org/10.7780/kjrs.2018.34.6.2.3</v>
      </c>
      <c r="BG518" t="s">
        <v>74</v>
      </c>
      <c r="BH518" t="s">
        <v>74</v>
      </c>
      <c r="BI518">
        <v>14</v>
      </c>
      <c r="BJ518" t="s">
        <v>2323</v>
      </c>
      <c r="BK518" t="s">
        <v>349</v>
      </c>
      <c r="BL518" t="s">
        <v>2323</v>
      </c>
      <c r="BM518" t="s">
        <v>9248</v>
      </c>
      <c r="BN518" t="s">
        <v>74</v>
      </c>
      <c r="BO518" t="s">
        <v>74</v>
      </c>
      <c r="BP518" t="s">
        <v>74</v>
      </c>
      <c r="BQ518" t="s">
        <v>74</v>
      </c>
      <c r="BR518" t="s">
        <v>104</v>
      </c>
      <c r="BS518" t="s">
        <v>10170</v>
      </c>
      <c r="BT518" t="str">
        <f>HYPERLINK("https%3A%2F%2Fwww.webofscience.com%2Fwos%2Fwoscc%2Ffull-record%2FWOS:000454666300026","View Full Record in Web of Science")</f>
        <v>View Full Record in Web of Science</v>
      </c>
    </row>
    <row r="519" spans="1:72" x14ac:dyDescent="0.15">
      <c r="A519" t="s">
        <v>72</v>
      </c>
      <c r="B519" t="s">
        <v>10171</v>
      </c>
      <c r="C519" t="s">
        <v>74</v>
      </c>
      <c r="D519" t="s">
        <v>74</v>
      </c>
      <c r="E519" t="s">
        <v>74</v>
      </c>
      <c r="F519" t="s">
        <v>10172</v>
      </c>
      <c r="G519" t="s">
        <v>74</v>
      </c>
      <c r="H519" t="s">
        <v>74</v>
      </c>
      <c r="I519" t="s">
        <v>10173</v>
      </c>
      <c r="J519" t="s">
        <v>9229</v>
      </c>
      <c r="K519" t="s">
        <v>74</v>
      </c>
      <c r="L519" t="s">
        <v>74</v>
      </c>
      <c r="M519" t="s">
        <v>9230</v>
      </c>
      <c r="N519" t="s">
        <v>79</v>
      </c>
      <c r="O519" t="s">
        <v>74</v>
      </c>
      <c r="P519" t="s">
        <v>74</v>
      </c>
      <c r="Q519" t="s">
        <v>74</v>
      </c>
      <c r="R519" t="s">
        <v>74</v>
      </c>
      <c r="S519" t="s">
        <v>74</v>
      </c>
      <c r="T519" t="s">
        <v>10174</v>
      </c>
      <c r="U519" t="s">
        <v>10175</v>
      </c>
      <c r="V519" t="s">
        <v>10176</v>
      </c>
      <c r="W519" t="s">
        <v>10177</v>
      </c>
      <c r="X519" t="s">
        <v>10178</v>
      </c>
      <c r="Y519" t="s">
        <v>10179</v>
      </c>
      <c r="Z519" t="s">
        <v>10180</v>
      </c>
      <c r="AA519" t="s">
        <v>10181</v>
      </c>
      <c r="AB519" t="s">
        <v>10182</v>
      </c>
      <c r="AC519" t="s">
        <v>74</v>
      </c>
      <c r="AD519" t="s">
        <v>74</v>
      </c>
      <c r="AE519" t="s">
        <v>74</v>
      </c>
      <c r="AF519" t="s">
        <v>74</v>
      </c>
      <c r="AG519">
        <v>26</v>
      </c>
      <c r="AH519">
        <v>0</v>
      </c>
      <c r="AI519">
        <v>0</v>
      </c>
      <c r="AJ519">
        <v>0</v>
      </c>
      <c r="AK519">
        <v>11</v>
      </c>
      <c r="AL519" t="s">
        <v>9240</v>
      </c>
      <c r="AM519" t="s">
        <v>9241</v>
      </c>
      <c r="AN519" t="s">
        <v>9242</v>
      </c>
      <c r="AO519" t="s">
        <v>9243</v>
      </c>
      <c r="AP519" t="s">
        <v>9244</v>
      </c>
      <c r="AQ519" t="s">
        <v>74</v>
      </c>
      <c r="AR519" t="s">
        <v>9245</v>
      </c>
      <c r="AS519" t="s">
        <v>9246</v>
      </c>
      <c r="AT519" t="s">
        <v>9222</v>
      </c>
      <c r="AU519">
        <v>2018</v>
      </c>
      <c r="AV519">
        <v>34</v>
      </c>
      <c r="AW519">
        <v>6</v>
      </c>
      <c r="AX519" t="s">
        <v>74</v>
      </c>
      <c r="AY519" t="s">
        <v>74</v>
      </c>
      <c r="AZ519" t="s">
        <v>74</v>
      </c>
      <c r="BA519" t="s">
        <v>74</v>
      </c>
      <c r="BB519">
        <v>1203</v>
      </c>
      <c r="BC519">
        <v>1213</v>
      </c>
      <c r="BD519" t="s">
        <v>74</v>
      </c>
      <c r="BE519" t="s">
        <v>10183</v>
      </c>
      <c r="BF519" t="str">
        <f>HYPERLINK("http://dx.doi.org/10.7780/kjrs.2018.34.6.2.5","http://dx.doi.org/10.7780/kjrs.2018.34.6.2.5")</f>
        <v>http://dx.doi.org/10.7780/kjrs.2018.34.6.2.5</v>
      </c>
      <c r="BG519" t="s">
        <v>74</v>
      </c>
      <c r="BH519" t="s">
        <v>74</v>
      </c>
      <c r="BI519">
        <v>11</v>
      </c>
      <c r="BJ519" t="s">
        <v>2323</v>
      </c>
      <c r="BK519" t="s">
        <v>349</v>
      </c>
      <c r="BL519" t="s">
        <v>2323</v>
      </c>
      <c r="BM519" t="s">
        <v>9248</v>
      </c>
      <c r="BN519" t="s">
        <v>74</v>
      </c>
      <c r="BO519" t="s">
        <v>74</v>
      </c>
      <c r="BP519" t="s">
        <v>74</v>
      </c>
      <c r="BQ519" t="s">
        <v>74</v>
      </c>
      <c r="BR519" t="s">
        <v>104</v>
      </c>
      <c r="BS519" t="s">
        <v>10184</v>
      </c>
      <c r="BT519" t="str">
        <f>HYPERLINK("https%3A%2F%2Fwww.webofscience.com%2Fwos%2Fwoscc%2Ffull-record%2FWOS:000454666300028","View Full Record in Web of Science")</f>
        <v>View Full Record in Web of Science</v>
      </c>
    </row>
    <row r="520" spans="1:72" x14ac:dyDescent="0.15">
      <c r="A520" t="s">
        <v>72</v>
      </c>
      <c r="B520" t="s">
        <v>10185</v>
      </c>
      <c r="C520" t="s">
        <v>74</v>
      </c>
      <c r="D520" t="s">
        <v>74</v>
      </c>
      <c r="E520" t="s">
        <v>74</v>
      </c>
      <c r="F520" t="s">
        <v>10186</v>
      </c>
      <c r="G520" t="s">
        <v>74</v>
      </c>
      <c r="H520" t="s">
        <v>74</v>
      </c>
      <c r="I520" t="s">
        <v>10187</v>
      </c>
      <c r="J520" t="s">
        <v>10188</v>
      </c>
      <c r="K520" t="s">
        <v>74</v>
      </c>
      <c r="L520" t="s">
        <v>74</v>
      </c>
      <c r="M520" t="s">
        <v>78</v>
      </c>
      <c r="N520" t="s">
        <v>79</v>
      </c>
      <c r="O520" t="s">
        <v>74</v>
      </c>
      <c r="P520" t="s">
        <v>74</v>
      </c>
      <c r="Q520" t="s">
        <v>74</v>
      </c>
      <c r="R520" t="s">
        <v>74</v>
      </c>
      <c r="S520" t="s">
        <v>74</v>
      </c>
      <c r="T520" t="s">
        <v>10189</v>
      </c>
      <c r="U520" t="s">
        <v>10190</v>
      </c>
      <c r="V520" t="s">
        <v>10191</v>
      </c>
      <c r="W520" t="s">
        <v>10192</v>
      </c>
      <c r="X520" t="s">
        <v>10193</v>
      </c>
      <c r="Y520" t="s">
        <v>10194</v>
      </c>
      <c r="Z520" t="s">
        <v>10195</v>
      </c>
      <c r="AA520" t="s">
        <v>10196</v>
      </c>
      <c r="AB520" t="s">
        <v>10197</v>
      </c>
      <c r="AC520" t="s">
        <v>10198</v>
      </c>
      <c r="AD520" t="s">
        <v>10199</v>
      </c>
      <c r="AE520" t="s">
        <v>10200</v>
      </c>
      <c r="AF520" t="s">
        <v>74</v>
      </c>
      <c r="AG520">
        <v>56</v>
      </c>
      <c r="AH520">
        <v>6</v>
      </c>
      <c r="AI520">
        <v>6</v>
      </c>
      <c r="AJ520">
        <v>1</v>
      </c>
      <c r="AK520">
        <v>19</v>
      </c>
      <c r="AL520" t="s">
        <v>10201</v>
      </c>
      <c r="AM520" t="s">
        <v>9241</v>
      </c>
      <c r="AN520" t="s">
        <v>10202</v>
      </c>
      <c r="AO520" t="s">
        <v>10203</v>
      </c>
      <c r="AP520" t="s">
        <v>10204</v>
      </c>
      <c r="AQ520" t="s">
        <v>74</v>
      </c>
      <c r="AR520" t="s">
        <v>10205</v>
      </c>
      <c r="AS520" t="s">
        <v>10206</v>
      </c>
      <c r="AT520" t="s">
        <v>9222</v>
      </c>
      <c r="AU520">
        <v>2018</v>
      </c>
      <c r="AV520">
        <v>53</v>
      </c>
      <c r="AW520">
        <v>4</v>
      </c>
      <c r="AX520" t="s">
        <v>74</v>
      </c>
      <c r="AY520" t="s">
        <v>74</v>
      </c>
      <c r="AZ520" t="s">
        <v>74</v>
      </c>
      <c r="BA520" t="s">
        <v>74</v>
      </c>
      <c r="BB520">
        <v>621</v>
      </c>
      <c r="BC520">
        <v>630</v>
      </c>
      <c r="BD520" t="s">
        <v>74</v>
      </c>
      <c r="BE520" t="s">
        <v>10207</v>
      </c>
      <c r="BF520" t="str">
        <f>HYPERLINK("http://dx.doi.org/10.1007/s12601-018-0053-8","http://dx.doi.org/10.1007/s12601-018-0053-8")</f>
        <v>http://dx.doi.org/10.1007/s12601-018-0053-8</v>
      </c>
      <c r="BG520" t="s">
        <v>74</v>
      </c>
      <c r="BH520" t="s">
        <v>74</v>
      </c>
      <c r="BI520">
        <v>10</v>
      </c>
      <c r="BJ520" t="s">
        <v>827</v>
      </c>
      <c r="BK520" t="s">
        <v>101</v>
      </c>
      <c r="BL520" t="s">
        <v>827</v>
      </c>
      <c r="BM520" t="s">
        <v>10208</v>
      </c>
      <c r="BN520" t="s">
        <v>74</v>
      </c>
      <c r="BO520" t="s">
        <v>74</v>
      </c>
      <c r="BP520" t="s">
        <v>74</v>
      </c>
      <c r="BQ520" t="s">
        <v>74</v>
      </c>
      <c r="BR520" t="s">
        <v>104</v>
      </c>
      <c r="BS520" t="s">
        <v>10209</v>
      </c>
      <c r="BT520" t="str">
        <f>HYPERLINK("https%3A%2F%2Fwww.webofscience.com%2Fwos%2Fwoscc%2Ffull-record%2FWOS:000454745000002","View Full Record in Web of Science")</f>
        <v>View Full Record in Web of Science</v>
      </c>
    </row>
    <row r="521" spans="1:72" x14ac:dyDescent="0.15">
      <c r="A521" t="s">
        <v>72</v>
      </c>
      <c r="B521" t="s">
        <v>10210</v>
      </c>
      <c r="C521" t="s">
        <v>74</v>
      </c>
      <c r="D521" t="s">
        <v>74</v>
      </c>
      <c r="E521" t="s">
        <v>74</v>
      </c>
      <c r="F521" t="s">
        <v>10211</v>
      </c>
      <c r="G521" t="s">
        <v>74</v>
      </c>
      <c r="H521" t="s">
        <v>74</v>
      </c>
      <c r="I521" t="s">
        <v>10212</v>
      </c>
      <c r="J521" t="s">
        <v>10188</v>
      </c>
      <c r="K521" t="s">
        <v>74</v>
      </c>
      <c r="L521" t="s">
        <v>74</v>
      </c>
      <c r="M521" t="s">
        <v>78</v>
      </c>
      <c r="N521" t="s">
        <v>79</v>
      </c>
      <c r="O521" t="s">
        <v>74</v>
      </c>
      <c r="P521" t="s">
        <v>74</v>
      </c>
      <c r="Q521" t="s">
        <v>74</v>
      </c>
      <c r="R521" t="s">
        <v>74</v>
      </c>
      <c r="S521" t="s">
        <v>74</v>
      </c>
      <c r="T521" t="s">
        <v>10213</v>
      </c>
      <c r="U521" t="s">
        <v>10214</v>
      </c>
      <c r="V521" t="s">
        <v>10215</v>
      </c>
      <c r="W521" t="s">
        <v>10216</v>
      </c>
      <c r="X521" t="s">
        <v>10217</v>
      </c>
      <c r="Y521" t="s">
        <v>10218</v>
      </c>
      <c r="Z521" t="s">
        <v>10219</v>
      </c>
      <c r="AA521" t="s">
        <v>74</v>
      </c>
      <c r="AB521" t="s">
        <v>74</v>
      </c>
      <c r="AC521" t="s">
        <v>10220</v>
      </c>
      <c r="AD521" t="s">
        <v>10221</v>
      </c>
      <c r="AE521" t="s">
        <v>10222</v>
      </c>
      <c r="AF521" t="s">
        <v>74</v>
      </c>
      <c r="AG521">
        <v>39</v>
      </c>
      <c r="AH521">
        <v>3</v>
      </c>
      <c r="AI521">
        <v>3</v>
      </c>
      <c r="AJ521">
        <v>1</v>
      </c>
      <c r="AK521">
        <v>18</v>
      </c>
      <c r="AL521" t="s">
        <v>10201</v>
      </c>
      <c r="AM521" t="s">
        <v>9241</v>
      </c>
      <c r="AN521" t="s">
        <v>10202</v>
      </c>
      <c r="AO521" t="s">
        <v>10203</v>
      </c>
      <c r="AP521" t="s">
        <v>10204</v>
      </c>
      <c r="AQ521" t="s">
        <v>74</v>
      </c>
      <c r="AR521" t="s">
        <v>10205</v>
      </c>
      <c r="AS521" t="s">
        <v>10206</v>
      </c>
      <c r="AT521" t="s">
        <v>9222</v>
      </c>
      <c r="AU521">
        <v>2018</v>
      </c>
      <c r="AV521">
        <v>53</v>
      </c>
      <c r="AW521">
        <v>4</v>
      </c>
      <c r="AX521" t="s">
        <v>74</v>
      </c>
      <c r="AY521" t="s">
        <v>74</v>
      </c>
      <c r="AZ521" t="s">
        <v>74</v>
      </c>
      <c r="BA521" t="s">
        <v>74</v>
      </c>
      <c r="BB521">
        <v>667</v>
      </c>
      <c r="BC521">
        <v>677</v>
      </c>
      <c r="BD521" t="s">
        <v>74</v>
      </c>
      <c r="BE521" t="s">
        <v>10223</v>
      </c>
      <c r="BF521" t="str">
        <f>HYPERLINK("http://dx.doi.org/10.1007/s12601-018-0043-x","http://dx.doi.org/10.1007/s12601-018-0043-x")</f>
        <v>http://dx.doi.org/10.1007/s12601-018-0043-x</v>
      </c>
      <c r="BG521" t="s">
        <v>74</v>
      </c>
      <c r="BH521" t="s">
        <v>74</v>
      </c>
      <c r="BI521">
        <v>11</v>
      </c>
      <c r="BJ521" t="s">
        <v>827</v>
      </c>
      <c r="BK521" t="s">
        <v>101</v>
      </c>
      <c r="BL521" t="s">
        <v>827</v>
      </c>
      <c r="BM521" t="s">
        <v>10208</v>
      </c>
      <c r="BN521" t="s">
        <v>74</v>
      </c>
      <c r="BO521" t="s">
        <v>74</v>
      </c>
      <c r="BP521" t="s">
        <v>74</v>
      </c>
      <c r="BQ521" t="s">
        <v>74</v>
      </c>
      <c r="BR521" t="s">
        <v>104</v>
      </c>
      <c r="BS521" t="s">
        <v>10224</v>
      </c>
      <c r="BT521" t="str">
        <f>HYPERLINK("https%3A%2F%2Fwww.webofscience.com%2Fwos%2Fwoscc%2Ffull-record%2FWOS:000454745000006","View Full Record in Web of Science")</f>
        <v>View Full Record in Web of Science</v>
      </c>
    </row>
    <row r="522" spans="1:72" x14ac:dyDescent="0.15">
      <c r="A522" t="s">
        <v>72</v>
      </c>
      <c r="B522" t="s">
        <v>10225</v>
      </c>
      <c r="C522" t="s">
        <v>74</v>
      </c>
      <c r="D522" t="s">
        <v>74</v>
      </c>
      <c r="E522" t="s">
        <v>74</v>
      </c>
      <c r="F522" t="s">
        <v>10226</v>
      </c>
      <c r="G522" t="s">
        <v>74</v>
      </c>
      <c r="H522" t="s">
        <v>74</v>
      </c>
      <c r="I522" t="s">
        <v>10227</v>
      </c>
      <c r="J522" t="s">
        <v>4249</v>
      </c>
      <c r="K522" t="s">
        <v>74</v>
      </c>
      <c r="L522" t="s">
        <v>74</v>
      </c>
      <c r="M522" t="s">
        <v>78</v>
      </c>
      <c r="N522" t="s">
        <v>79</v>
      </c>
      <c r="O522" t="s">
        <v>74</v>
      </c>
      <c r="P522" t="s">
        <v>74</v>
      </c>
      <c r="Q522" t="s">
        <v>74</v>
      </c>
      <c r="R522" t="s">
        <v>74</v>
      </c>
      <c r="S522" t="s">
        <v>74</v>
      </c>
      <c r="T522" t="s">
        <v>10228</v>
      </c>
      <c r="U522" t="s">
        <v>10229</v>
      </c>
      <c r="V522" t="s">
        <v>10230</v>
      </c>
      <c r="W522" t="s">
        <v>10231</v>
      </c>
      <c r="X522" t="s">
        <v>10232</v>
      </c>
      <c r="Y522" t="s">
        <v>10233</v>
      </c>
      <c r="Z522" t="s">
        <v>10234</v>
      </c>
      <c r="AA522" t="s">
        <v>10235</v>
      </c>
      <c r="AB522" t="s">
        <v>10236</v>
      </c>
      <c r="AC522" t="s">
        <v>10237</v>
      </c>
      <c r="AD522" t="s">
        <v>10238</v>
      </c>
      <c r="AE522" t="s">
        <v>10239</v>
      </c>
      <c r="AF522" t="s">
        <v>74</v>
      </c>
      <c r="AG522">
        <v>102</v>
      </c>
      <c r="AH522">
        <v>10</v>
      </c>
      <c r="AI522">
        <v>11</v>
      </c>
      <c r="AJ522">
        <v>2</v>
      </c>
      <c r="AK522">
        <v>17</v>
      </c>
      <c r="AL522" t="s">
        <v>3670</v>
      </c>
      <c r="AM522" t="s">
        <v>3671</v>
      </c>
      <c r="AN522" t="s">
        <v>3672</v>
      </c>
      <c r="AO522" t="s">
        <v>4262</v>
      </c>
      <c r="AP522" t="s">
        <v>4263</v>
      </c>
      <c r="AQ522" t="s">
        <v>74</v>
      </c>
      <c r="AR522" t="s">
        <v>4264</v>
      </c>
      <c r="AS522" t="s">
        <v>4265</v>
      </c>
      <c r="AT522" t="s">
        <v>9222</v>
      </c>
      <c r="AU522">
        <v>2018</v>
      </c>
      <c r="AV522">
        <v>27</v>
      </c>
      <c r="AW522">
        <v>24</v>
      </c>
      <c r="AX522" t="s">
        <v>74</v>
      </c>
      <c r="AY522" t="s">
        <v>74</v>
      </c>
      <c r="AZ522" t="s">
        <v>74</v>
      </c>
      <c r="BA522" t="s">
        <v>74</v>
      </c>
      <c r="BB522">
        <v>5279</v>
      </c>
      <c r="BC522">
        <v>5293</v>
      </c>
      <c r="BD522" t="s">
        <v>74</v>
      </c>
      <c r="BE522" t="s">
        <v>10240</v>
      </c>
      <c r="BF522" t="str">
        <f>HYPERLINK("http://dx.doi.org/10.1111/mec.14953","http://dx.doi.org/10.1111/mec.14953")</f>
        <v>http://dx.doi.org/10.1111/mec.14953</v>
      </c>
      <c r="BG522" t="s">
        <v>74</v>
      </c>
      <c r="BH522" t="s">
        <v>74</v>
      </c>
      <c r="BI522">
        <v>15</v>
      </c>
      <c r="BJ522" t="s">
        <v>4268</v>
      </c>
      <c r="BK522" t="s">
        <v>101</v>
      </c>
      <c r="BL522" t="s">
        <v>4269</v>
      </c>
      <c r="BM522" t="s">
        <v>10241</v>
      </c>
      <c r="BN522">
        <v>30565777</v>
      </c>
      <c r="BO522" t="s">
        <v>4408</v>
      </c>
      <c r="BP522" t="s">
        <v>74</v>
      </c>
      <c r="BQ522" t="s">
        <v>74</v>
      </c>
      <c r="BR522" t="s">
        <v>104</v>
      </c>
      <c r="BS522" t="s">
        <v>10242</v>
      </c>
      <c r="BT522" t="str">
        <f>HYPERLINK("https%3A%2F%2Fwww.webofscience.com%2Fwos%2Fwoscc%2Ffull-record%2FWOS:000454600500023","View Full Record in Web of Science")</f>
        <v>View Full Record in Web of Science</v>
      </c>
    </row>
    <row r="523" spans="1:72" x14ac:dyDescent="0.15">
      <c r="A523" t="s">
        <v>72</v>
      </c>
      <c r="B523" t="s">
        <v>10243</v>
      </c>
      <c r="C523" t="s">
        <v>74</v>
      </c>
      <c r="D523" t="s">
        <v>74</v>
      </c>
      <c r="E523" t="s">
        <v>74</v>
      </c>
      <c r="F523" t="s">
        <v>10244</v>
      </c>
      <c r="G523" t="s">
        <v>74</v>
      </c>
      <c r="H523" t="s">
        <v>74</v>
      </c>
      <c r="I523" t="s">
        <v>10245</v>
      </c>
      <c r="J523" t="s">
        <v>10246</v>
      </c>
      <c r="K523" t="s">
        <v>74</v>
      </c>
      <c r="L523" t="s">
        <v>74</v>
      </c>
      <c r="M523" t="s">
        <v>78</v>
      </c>
      <c r="N523" t="s">
        <v>79</v>
      </c>
      <c r="O523" t="s">
        <v>74</v>
      </c>
      <c r="P523" t="s">
        <v>74</v>
      </c>
      <c r="Q523" t="s">
        <v>74</v>
      </c>
      <c r="R523" t="s">
        <v>74</v>
      </c>
      <c r="S523" t="s">
        <v>74</v>
      </c>
      <c r="T523" t="s">
        <v>10247</v>
      </c>
      <c r="U523" t="s">
        <v>10248</v>
      </c>
      <c r="V523" t="s">
        <v>10249</v>
      </c>
      <c r="W523" t="s">
        <v>10250</v>
      </c>
      <c r="X523" t="s">
        <v>10251</v>
      </c>
      <c r="Y523" t="s">
        <v>10252</v>
      </c>
      <c r="Z523" t="s">
        <v>10253</v>
      </c>
      <c r="AA523" t="s">
        <v>10254</v>
      </c>
      <c r="AB523" t="s">
        <v>10255</v>
      </c>
      <c r="AC523" t="s">
        <v>10256</v>
      </c>
      <c r="AD523" t="s">
        <v>10257</v>
      </c>
      <c r="AE523" t="s">
        <v>10258</v>
      </c>
      <c r="AF523" t="s">
        <v>74</v>
      </c>
      <c r="AG523">
        <v>36</v>
      </c>
      <c r="AH523">
        <v>3</v>
      </c>
      <c r="AI523">
        <v>3</v>
      </c>
      <c r="AJ523">
        <v>0</v>
      </c>
      <c r="AK523">
        <v>3</v>
      </c>
      <c r="AL523" t="s">
        <v>1473</v>
      </c>
      <c r="AM523" t="s">
        <v>1080</v>
      </c>
      <c r="AN523" t="s">
        <v>1474</v>
      </c>
      <c r="AO523" t="s">
        <v>10259</v>
      </c>
      <c r="AP523" t="s">
        <v>10260</v>
      </c>
      <c r="AQ523" t="s">
        <v>74</v>
      </c>
      <c r="AR523" t="s">
        <v>10261</v>
      </c>
      <c r="AS523" t="s">
        <v>10262</v>
      </c>
      <c r="AT523" t="s">
        <v>9222</v>
      </c>
      <c r="AU523">
        <v>2018</v>
      </c>
      <c r="AV523">
        <v>30</v>
      </c>
      <c r="AW523">
        <v>6</v>
      </c>
      <c r="AX523" t="s">
        <v>74</v>
      </c>
      <c r="AY523" t="s">
        <v>74</v>
      </c>
      <c r="AZ523" t="s">
        <v>74</v>
      </c>
      <c r="BA523" t="s">
        <v>74</v>
      </c>
      <c r="BB523">
        <v>333</v>
      </c>
      <c r="BC523">
        <v>344</v>
      </c>
      <c r="BD523" t="s">
        <v>74</v>
      </c>
      <c r="BE523" t="s">
        <v>10263</v>
      </c>
      <c r="BF523" t="str">
        <f>HYPERLINK("http://dx.doi.org/10.1017/S0954102018000354","http://dx.doi.org/10.1017/S0954102018000354")</f>
        <v>http://dx.doi.org/10.1017/S0954102018000354</v>
      </c>
      <c r="BG523" t="s">
        <v>74</v>
      </c>
      <c r="BH523" t="s">
        <v>74</v>
      </c>
      <c r="BI523">
        <v>12</v>
      </c>
      <c r="BJ523" t="s">
        <v>10264</v>
      </c>
      <c r="BK523" t="s">
        <v>101</v>
      </c>
      <c r="BL523" t="s">
        <v>10265</v>
      </c>
      <c r="BM523" t="s">
        <v>10266</v>
      </c>
      <c r="BN523" t="s">
        <v>74</v>
      </c>
      <c r="BO523" t="s">
        <v>3810</v>
      </c>
      <c r="BP523" t="s">
        <v>74</v>
      </c>
      <c r="BQ523" t="s">
        <v>74</v>
      </c>
      <c r="BR523" t="s">
        <v>104</v>
      </c>
      <c r="BS523" t="s">
        <v>10267</v>
      </c>
      <c r="BT523" t="str">
        <f>HYPERLINK("https%3A%2F%2Fwww.webofscience.com%2Fwos%2Fwoscc%2Ffull-record%2FWOS:000454297300002","View Full Record in Web of Science")</f>
        <v>View Full Record in Web of Science</v>
      </c>
    </row>
    <row r="524" spans="1:72" x14ac:dyDescent="0.15">
      <c r="A524" t="s">
        <v>72</v>
      </c>
      <c r="B524" t="s">
        <v>10268</v>
      </c>
      <c r="C524" t="s">
        <v>74</v>
      </c>
      <c r="D524" t="s">
        <v>74</v>
      </c>
      <c r="E524" t="s">
        <v>74</v>
      </c>
      <c r="F524" t="s">
        <v>10269</v>
      </c>
      <c r="G524" t="s">
        <v>74</v>
      </c>
      <c r="H524" t="s">
        <v>74</v>
      </c>
      <c r="I524" t="s">
        <v>10270</v>
      </c>
      <c r="J524" t="s">
        <v>10246</v>
      </c>
      <c r="K524" t="s">
        <v>74</v>
      </c>
      <c r="L524" t="s">
        <v>74</v>
      </c>
      <c r="M524" t="s">
        <v>78</v>
      </c>
      <c r="N524" t="s">
        <v>79</v>
      </c>
      <c r="O524" t="s">
        <v>74</v>
      </c>
      <c r="P524" t="s">
        <v>74</v>
      </c>
      <c r="Q524" t="s">
        <v>74</v>
      </c>
      <c r="R524" t="s">
        <v>74</v>
      </c>
      <c r="S524" t="s">
        <v>74</v>
      </c>
      <c r="T524" t="s">
        <v>10271</v>
      </c>
      <c r="U524" t="s">
        <v>10272</v>
      </c>
      <c r="V524" t="s">
        <v>10273</v>
      </c>
      <c r="W524" t="s">
        <v>10274</v>
      </c>
      <c r="X524" t="s">
        <v>10275</v>
      </c>
      <c r="Y524" t="s">
        <v>10276</v>
      </c>
      <c r="Z524" t="s">
        <v>10277</v>
      </c>
      <c r="AA524" t="s">
        <v>10278</v>
      </c>
      <c r="AB524" t="s">
        <v>10279</v>
      </c>
      <c r="AC524" t="s">
        <v>10280</v>
      </c>
      <c r="AD524" t="s">
        <v>10281</v>
      </c>
      <c r="AE524" t="s">
        <v>10282</v>
      </c>
      <c r="AF524" t="s">
        <v>74</v>
      </c>
      <c r="AG524">
        <v>42</v>
      </c>
      <c r="AH524">
        <v>7</v>
      </c>
      <c r="AI524">
        <v>7</v>
      </c>
      <c r="AJ524">
        <v>0</v>
      </c>
      <c r="AK524">
        <v>10</v>
      </c>
      <c r="AL524" t="s">
        <v>1473</v>
      </c>
      <c r="AM524" t="s">
        <v>1080</v>
      </c>
      <c r="AN524" t="s">
        <v>1474</v>
      </c>
      <c r="AO524" t="s">
        <v>10259</v>
      </c>
      <c r="AP524" t="s">
        <v>10260</v>
      </c>
      <c r="AQ524" t="s">
        <v>74</v>
      </c>
      <c r="AR524" t="s">
        <v>10261</v>
      </c>
      <c r="AS524" t="s">
        <v>10262</v>
      </c>
      <c r="AT524" t="s">
        <v>9222</v>
      </c>
      <c r="AU524">
        <v>2018</v>
      </c>
      <c r="AV524">
        <v>30</v>
      </c>
      <c r="AW524">
        <v>6</v>
      </c>
      <c r="AX524" t="s">
        <v>74</v>
      </c>
      <c r="AY524" t="s">
        <v>74</v>
      </c>
      <c r="AZ524" t="s">
        <v>74</v>
      </c>
      <c r="BA524" t="s">
        <v>74</v>
      </c>
      <c r="BB524">
        <v>345</v>
      </c>
      <c r="BC524">
        <v>353</v>
      </c>
      <c r="BD524" t="s">
        <v>74</v>
      </c>
      <c r="BE524" t="s">
        <v>10283</v>
      </c>
      <c r="BF524" t="str">
        <f>HYPERLINK("http://dx.doi.org/10.1017/S0954102018000366","http://dx.doi.org/10.1017/S0954102018000366")</f>
        <v>http://dx.doi.org/10.1017/S0954102018000366</v>
      </c>
      <c r="BG524" t="s">
        <v>74</v>
      </c>
      <c r="BH524" t="s">
        <v>74</v>
      </c>
      <c r="BI524">
        <v>9</v>
      </c>
      <c r="BJ524" t="s">
        <v>10264</v>
      </c>
      <c r="BK524" t="s">
        <v>101</v>
      </c>
      <c r="BL524" t="s">
        <v>10265</v>
      </c>
      <c r="BM524" t="s">
        <v>10266</v>
      </c>
      <c r="BN524" t="s">
        <v>74</v>
      </c>
      <c r="BO524" t="s">
        <v>74</v>
      </c>
      <c r="BP524" t="s">
        <v>74</v>
      </c>
      <c r="BQ524" t="s">
        <v>74</v>
      </c>
      <c r="BR524" t="s">
        <v>104</v>
      </c>
      <c r="BS524" t="s">
        <v>10284</v>
      </c>
      <c r="BT524" t="str">
        <f>HYPERLINK("https%3A%2F%2Fwww.webofscience.com%2Fwos%2Fwoscc%2Ffull-record%2FWOS:000454297300003","View Full Record in Web of Science")</f>
        <v>View Full Record in Web of Science</v>
      </c>
    </row>
    <row r="525" spans="1:72" x14ac:dyDescent="0.15">
      <c r="A525" t="s">
        <v>72</v>
      </c>
      <c r="B525" t="s">
        <v>10285</v>
      </c>
      <c r="C525" t="s">
        <v>74</v>
      </c>
      <c r="D525" t="s">
        <v>74</v>
      </c>
      <c r="E525" t="s">
        <v>74</v>
      </c>
      <c r="F525" t="s">
        <v>10286</v>
      </c>
      <c r="G525" t="s">
        <v>74</v>
      </c>
      <c r="H525" t="s">
        <v>74</v>
      </c>
      <c r="I525" t="s">
        <v>10287</v>
      </c>
      <c r="J525" t="s">
        <v>10246</v>
      </c>
      <c r="K525" t="s">
        <v>74</v>
      </c>
      <c r="L525" t="s">
        <v>74</v>
      </c>
      <c r="M525" t="s">
        <v>78</v>
      </c>
      <c r="N525" t="s">
        <v>79</v>
      </c>
      <c r="O525" t="s">
        <v>74</v>
      </c>
      <c r="P525" t="s">
        <v>74</v>
      </c>
      <c r="Q525" t="s">
        <v>74</v>
      </c>
      <c r="R525" t="s">
        <v>74</v>
      </c>
      <c r="S525" t="s">
        <v>74</v>
      </c>
      <c r="T525" t="s">
        <v>74</v>
      </c>
      <c r="U525" t="s">
        <v>74</v>
      </c>
      <c r="V525" t="s">
        <v>74</v>
      </c>
      <c r="W525" t="s">
        <v>10288</v>
      </c>
      <c r="X525" t="s">
        <v>10289</v>
      </c>
      <c r="Y525" t="s">
        <v>10290</v>
      </c>
      <c r="Z525" t="s">
        <v>10291</v>
      </c>
      <c r="AA525" t="s">
        <v>10292</v>
      </c>
      <c r="AB525" t="s">
        <v>10293</v>
      </c>
      <c r="AC525" t="s">
        <v>10294</v>
      </c>
      <c r="AD525" t="s">
        <v>8513</v>
      </c>
      <c r="AE525" t="s">
        <v>10295</v>
      </c>
      <c r="AF525" t="s">
        <v>74</v>
      </c>
      <c r="AG525">
        <v>6</v>
      </c>
      <c r="AH525">
        <v>1</v>
      </c>
      <c r="AI525">
        <v>1</v>
      </c>
      <c r="AJ525">
        <v>0</v>
      </c>
      <c r="AK525">
        <v>2</v>
      </c>
      <c r="AL525" t="s">
        <v>1473</v>
      </c>
      <c r="AM525" t="s">
        <v>1080</v>
      </c>
      <c r="AN525" t="s">
        <v>1474</v>
      </c>
      <c r="AO525" t="s">
        <v>10259</v>
      </c>
      <c r="AP525" t="s">
        <v>10260</v>
      </c>
      <c r="AQ525" t="s">
        <v>74</v>
      </c>
      <c r="AR525" t="s">
        <v>10261</v>
      </c>
      <c r="AS525" t="s">
        <v>10262</v>
      </c>
      <c r="AT525" t="s">
        <v>9222</v>
      </c>
      <c r="AU525">
        <v>2018</v>
      </c>
      <c r="AV525">
        <v>30</v>
      </c>
      <c r="AW525">
        <v>6</v>
      </c>
      <c r="AX525" t="s">
        <v>74</v>
      </c>
      <c r="AY525" t="s">
        <v>74</v>
      </c>
      <c r="AZ525" t="s">
        <v>74</v>
      </c>
      <c r="BA525" t="s">
        <v>74</v>
      </c>
      <c r="BB525">
        <v>355</v>
      </c>
      <c r="BC525">
        <v>356</v>
      </c>
      <c r="BD525" t="s">
        <v>74</v>
      </c>
      <c r="BE525" t="s">
        <v>10296</v>
      </c>
      <c r="BF525" t="str">
        <f>HYPERLINK("http://dx.doi.org/10.1017/S0954102018000305","http://dx.doi.org/10.1017/S0954102018000305")</f>
        <v>http://dx.doi.org/10.1017/S0954102018000305</v>
      </c>
      <c r="BG525" t="s">
        <v>74</v>
      </c>
      <c r="BH525" t="s">
        <v>74</v>
      </c>
      <c r="BI525">
        <v>2</v>
      </c>
      <c r="BJ525" t="s">
        <v>10264</v>
      </c>
      <c r="BK525" t="s">
        <v>101</v>
      </c>
      <c r="BL525" t="s">
        <v>10265</v>
      </c>
      <c r="BM525" t="s">
        <v>10266</v>
      </c>
      <c r="BN525" t="s">
        <v>74</v>
      </c>
      <c r="BO525" t="s">
        <v>74</v>
      </c>
      <c r="BP525" t="s">
        <v>74</v>
      </c>
      <c r="BQ525" t="s">
        <v>74</v>
      </c>
      <c r="BR525" t="s">
        <v>104</v>
      </c>
      <c r="BS525" t="s">
        <v>10297</v>
      </c>
      <c r="BT525" t="str">
        <f>HYPERLINK("https%3A%2F%2Fwww.webofscience.com%2Fwos%2Fwoscc%2Ffull-record%2FWOS:000454297300004","View Full Record in Web of Science")</f>
        <v>View Full Record in Web of Science</v>
      </c>
    </row>
    <row r="526" spans="1:72" x14ac:dyDescent="0.15">
      <c r="A526" t="s">
        <v>72</v>
      </c>
      <c r="B526" t="s">
        <v>10298</v>
      </c>
      <c r="C526" t="s">
        <v>74</v>
      </c>
      <c r="D526" t="s">
        <v>74</v>
      </c>
      <c r="E526" t="s">
        <v>74</v>
      </c>
      <c r="F526" t="s">
        <v>10299</v>
      </c>
      <c r="G526" t="s">
        <v>74</v>
      </c>
      <c r="H526" t="s">
        <v>74</v>
      </c>
      <c r="I526" t="s">
        <v>10300</v>
      </c>
      <c r="J526" t="s">
        <v>10246</v>
      </c>
      <c r="K526" t="s">
        <v>74</v>
      </c>
      <c r="L526" t="s">
        <v>74</v>
      </c>
      <c r="M526" t="s">
        <v>78</v>
      </c>
      <c r="N526" t="s">
        <v>79</v>
      </c>
      <c r="O526" t="s">
        <v>74</v>
      </c>
      <c r="P526" t="s">
        <v>74</v>
      </c>
      <c r="Q526" t="s">
        <v>74</v>
      </c>
      <c r="R526" t="s">
        <v>74</v>
      </c>
      <c r="S526" t="s">
        <v>74</v>
      </c>
      <c r="T526" t="s">
        <v>10301</v>
      </c>
      <c r="U526" t="s">
        <v>10302</v>
      </c>
      <c r="V526" t="s">
        <v>10303</v>
      </c>
      <c r="W526" t="s">
        <v>10304</v>
      </c>
      <c r="X526" t="s">
        <v>10305</v>
      </c>
      <c r="Y526" t="s">
        <v>10306</v>
      </c>
      <c r="Z526" t="s">
        <v>10307</v>
      </c>
      <c r="AA526" t="s">
        <v>74</v>
      </c>
      <c r="AB526" t="s">
        <v>10308</v>
      </c>
      <c r="AC526" t="s">
        <v>74</v>
      </c>
      <c r="AD526" t="s">
        <v>74</v>
      </c>
      <c r="AE526" t="s">
        <v>74</v>
      </c>
      <c r="AF526" t="s">
        <v>74</v>
      </c>
      <c r="AG526">
        <v>26</v>
      </c>
      <c r="AH526">
        <v>5</v>
      </c>
      <c r="AI526">
        <v>5</v>
      </c>
      <c r="AJ526">
        <v>0</v>
      </c>
      <c r="AK526">
        <v>6</v>
      </c>
      <c r="AL526" t="s">
        <v>1473</v>
      </c>
      <c r="AM526" t="s">
        <v>1080</v>
      </c>
      <c r="AN526" t="s">
        <v>1474</v>
      </c>
      <c r="AO526" t="s">
        <v>10259</v>
      </c>
      <c r="AP526" t="s">
        <v>10260</v>
      </c>
      <c r="AQ526" t="s">
        <v>74</v>
      </c>
      <c r="AR526" t="s">
        <v>10261</v>
      </c>
      <c r="AS526" t="s">
        <v>10262</v>
      </c>
      <c r="AT526" t="s">
        <v>9222</v>
      </c>
      <c r="AU526">
        <v>2018</v>
      </c>
      <c r="AV526">
        <v>30</v>
      </c>
      <c r="AW526">
        <v>6</v>
      </c>
      <c r="AX526" t="s">
        <v>74</v>
      </c>
      <c r="AY526" t="s">
        <v>74</v>
      </c>
      <c r="AZ526" t="s">
        <v>74</v>
      </c>
      <c r="BA526" t="s">
        <v>74</v>
      </c>
      <c r="BB526">
        <v>357</v>
      </c>
      <c r="BC526">
        <v>370</v>
      </c>
      <c r="BD526" t="s">
        <v>74</v>
      </c>
      <c r="BE526" t="s">
        <v>10309</v>
      </c>
      <c r="BF526" t="str">
        <f>HYPERLINK("http://dx.doi.org/10.1017/S0954102018000342","http://dx.doi.org/10.1017/S0954102018000342")</f>
        <v>http://dx.doi.org/10.1017/S0954102018000342</v>
      </c>
      <c r="BG526" t="s">
        <v>74</v>
      </c>
      <c r="BH526" t="s">
        <v>74</v>
      </c>
      <c r="BI526">
        <v>14</v>
      </c>
      <c r="BJ526" t="s">
        <v>10264</v>
      </c>
      <c r="BK526" t="s">
        <v>101</v>
      </c>
      <c r="BL526" t="s">
        <v>10265</v>
      </c>
      <c r="BM526" t="s">
        <v>10266</v>
      </c>
      <c r="BN526" t="s">
        <v>74</v>
      </c>
      <c r="BO526" t="s">
        <v>74</v>
      </c>
      <c r="BP526" t="s">
        <v>74</v>
      </c>
      <c r="BQ526" t="s">
        <v>74</v>
      </c>
      <c r="BR526" t="s">
        <v>104</v>
      </c>
      <c r="BS526" t="s">
        <v>10310</v>
      </c>
      <c r="BT526" t="str">
        <f>HYPERLINK("https%3A%2F%2Fwww.webofscience.com%2Fwos%2Fwoscc%2Ffull-record%2FWOS:000454297300005","View Full Record in Web of Science")</f>
        <v>View Full Record in Web of Science</v>
      </c>
    </row>
    <row r="527" spans="1:72" x14ac:dyDescent="0.15">
      <c r="A527" t="s">
        <v>72</v>
      </c>
      <c r="B527" t="s">
        <v>10311</v>
      </c>
      <c r="C527" t="s">
        <v>74</v>
      </c>
      <c r="D527" t="s">
        <v>74</v>
      </c>
      <c r="E527" t="s">
        <v>74</v>
      </c>
      <c r="F527" t="s">
        <v>10312</v>
      </c>
      <c r="G527" t="s">
        <v>74</v>
      </c>
      <c r="H527" t="s">
        <v>74</v>
      </c>
      <c r="I527" t="s">
        <v>10313</v>
      </c>
      <c r="J527" t="s">
        <v>10246</v>
      </c>
      <c r="K527" t="s">
        <v>74</v>
      </c>
      <c r="L527" t="s">
        <v>74</v>
      </c>
      <c r="M527" t="s">
        <v>78</v>
      </c>
      <c r="N527" t="s">
        <v>79</v>
      </c>
      <c r="O527" t="s">
        <v>74</v>
      </c>
      <c r="P527" t="s">
        <v>74</v>
      </c>
      <c r="Q527" t="s">
        <v>74</v>
      </c>
      <c r="R527" t="s">
        <v>74</v>
      </c>
      <c r="S527" t="s">
        <v>74</v>
      </c>
      <c r="T527" t="s">
        <v>10314</v>
      </c>
      <c r="U527" t="s">
        <v>10315</v>
      </c>
      <c r="V527" t="s">
        <v>10316</v>
      </c>
      <c r="W527" t="s">
        <v>10317</v>
      </c>
      <c r="X527" t="s">
        <v>10318</v>
      </c>
      <c r="Y527" t="s">
        <v>10319</v>
      </c>
      <c r="Z527" t="s">
        <v>10320</v>
      </c>
      <c r="AA527" t="s">
        <v>74</v>
      </c>
      <c r="AB527" t="s">
        <v>74</v>
      </c>
      <c r="AC527" t="s">
        <v>10321</v>
      </c>
      <c r="AD527" t="s">
        <v>10322</v>
      </c>
      <c r="AE527" t="s">
        <v>10323</v>
      </c>
      <c r="AF527" t="s">
        <v>74</v>
      </c>
      <c r="AG527">
        <v>32</v>
      </c>
      <c r="AH527">
        <v>3</v>
      </c>
      <c r="AI527">
        <v>4</v>
      </c>
      <c r="AJ527">
        <v>0</v>
      </c>
      <c r="AK527">
        <v>8</v>
      </c>
      <c r="AL527" t="s">
        <v>1473</v>
      </c>
      <c r="AM527" t="s">
        <v>1080</v>
      </c>
      <c r="AN527" t="s">
        <v>1474</v>
      </c>
      <c r="AO527" t="s">
        <v>10259</v>
      </c>
      <c r="AP527" t="s">
        <v>10260</v>
      </c>
      <c r="AQ527" t="s">
        <v>74</v>
      </c>
      <c r="AR527" t="s">
        <v>10261</v>
      </c>
      <c r="AS527" t="s">
        <v>10262</v>
      </c>
      <c r="AT527" t="s">
        <v>9222</v>
      </c>
      <c r="AU527">
        <v>2018</v>
      </c>
      <c r="AV527">
        <v>30</v>
      </c>
      <c r="AW527">
        <v>6</v>
      </c>
      <c r="AX527" t="s">
        <v>74</v>
      </c>
      <c r="AY527" t="s">
        <v>74</v>
      </c>
      <c r="AZ527" t="s">
        <v>74</v>
      </c>
      <c r="BA527" t="s">
        <v>74</v>
      </c>
      <c r="BB527">
        <v>371</v>
      </c>
      <c r="BC527">
        <v>378</v>
      </c>
      <c r="BD527" t="s">
        <v>74</v>
      </c>
      <c r="BE527" t="s">
        <v>10324</v>
      </c>
      <c r="BF527" t="str">
        <f>HYPERLINK("http://dx.doi.org/10.1017/S0954102018000408","http://dx.doi.org/10.1017/S0954102018000408")</f>
        <v>http://dx.doi.org/10.1017/S0954102018000408</v>
      </c>
      <c r="BG527" t="s">
        <v>74</v>
      </c>
      <c r="BH527" t="s">
        <v>74</v>
      </c>
      <c r="BI527">
        <v>8</v>
      </c>
      <c r="BJ527" t="s">
        <v>10264</v>
      </c>
      <c r="BK527" t="s">
        <v>101</v>
      </c>
      <c r="BL527" t="s">
        <v>10265</v>
      </c>
      <c r="BM527" t="s">
        <v>10266</v>
      </c>
      <c r="BN527" t="s">
        <v>74</v>
      </c>
      <c r="BO527" t="s">
        <v>74</v>
      </c>
      <c r="BP527" t="s">
        <v>74</v>
      </c>
      <c r="BQ527" t="s">
        <v>74</v>
      </c>
      <c r="BR527" t="s">
        <v>104</v>
      </c>
      <c r="BS527" t="s">
        <v>10325</v>
      </c>
      <c r="BT527" t="str">
        <f>HYPERLINK("https%3A%2F%2Fwww.webofscience.com%2Fwos%2Fwoscc%2Ffull-record%2FWOS:000454297300006","View Full Record in Web of Science")</f>
        <v>View Full Record in Web of Science</v>
      </c>
    </row>
    <row r="528" spans="1:72" x14ac:dyDescent="0.15">
      <c r="A528" t="s">
        <v>72</v>
      </c>
      <c r="B528" t="s">
        <v>10326</v>
      </c>
      <c r="C528" t="s">
        <v>74</v>
      </c>
      <c r="D528" t="s">
        <v>74</v>
      </c>
      <c r="E528" t="s">
        <v>74</v>
      </c>
      <c r="F528" t="s">
        <v>10327</v>
      </c>
      <c r="G528" t="s">
        <v>74</v>
      </c>
      <c r="H528" t="s">
        <v>74</v>
      </c>
      <c r="I528" t="s">
        <v>10328</v>
      </c>
      <c r="J528" t="s">
        <v>10246</v>
      </c>
      <c r="K528" t="s">
        <v>74</v>
      </c>
      <c r="L528" t="s">
        <v>74</v>
      </c>
      <c r="M528" t="s">
        <v>78</v>
      </c>
      <c r="N528" t="s">
        <v>79</v>
      </c>
      <c r="O528" t="s">
        <v>74</v>
      </c>
      <c r="P528" t="s">
        <v>74</v>
      </c>
      <c r="Q528" t="s">
        <v>74</v>
      </c>
      <c r="R528" t="s">
        <v>74</v>
      </c>
      <c r="S528" t="s">
        <v>74</v>
      </c>
      <c r="T528" t="s">
        <v>10329</v>
      </c>
      <c r="U528" t="s">
        <v>10330</v>
      </c>
      <c r="V528" t="s">
        <v>10331</v>
      </c>
      <c r="W528" t="s">
        <v>10332</v>
      </c>
      <c r="X528" t="s">
        <v>10333</v>
      </c>
      <c r="Y528" t="s">
        <v>10334</v>
      </c>
      <c r="Z528" t="s">
        <v>10335</v>
      </c>
      <c r="AA528" t="s">
        <v>10336</v>
      </c>
      <c r="AB528" t="s">
        <v>10337</v>
      </c>
      <c r="AC528" t="s">
        <v>10338</v>
      </c>
      <c r="AD528" t="s">
        <v>10339</v>
      </c>
      <c r="AE528" t="s">
        <v>10340</v>
      </c>
      <c r="AF528" t="s">
        <v>74</v>
      </c>
      <c r="AG528">
        <v>53</v>
      </c>
      <c r="AH528">
        <v>18</v>
      </c>
      <c r="AI528">
        <v>19</v>
      </c>
      <c r="AJ528">
        <v>0</v>
      </c>
      <c r="AK528">
        <v>11</v>
      </c>
      <c r="AL528" t="s">
        <v>1473</v>
      </c>
      <c r="AM528" t="s">
        <v>1080</v>
      </c>
      <c r="AN528" t="s">
        <v>1474</v>
      </c>
      <c r="AO528" t="s">
        <v>10259</v>
      </c>
      <c r="AP528" t="s">
        <v>10260</v>
      </c>
      <c r="AQ528" t="s">
        <v>74</v>
      </c>
      <c r="AR528" t="s">
        <v>10261</v>
      </c>
      <c r="AS528" t="s">
        <v>10262</v>
      </c>
      <c r="AT528" t="s">
        <v>9222</v>
      </c>
      <c r="AU528">
        <v>2018</v>
      </c>
      <c r="AV528">
        <v>30</v>
      </c>
      <c r="AW528">
        <v>6</v>
      </c>
      <c r="AX528" t="s">
        <v>74</v>
      </c>
      <c r="AY528" t="s">
        <v>74</v>
      </c>
      <c r="AZ528" t="s">
        <v>74</v>
      </c>
      <c r="BA528" t="s">
        <v>74</v>
      </c>
      <c r="BB528">
        <v>379</v>
      </c>
      <c r="BC528">
        <v>393</v>
      </c>
      <c r="BD528" t="s">
        <v>74</v>
      </c>
      <c r="BE528" t="s">
        <v>10341</v>
      </c>
      <c r="BF528" t="str">
        <f>HYPERLINK("http://dx.doi.org/10.1017/S0954102018000391","http://dx.doi.org/10.1017/S0954102018000391")</f>
        <v>http://dx.doi.org/10.1017/S0954102018000391</v>
      </c>
      <c r="BG528" t="s">
        <v>74</v>
      </c>
      <c r="BH528" t="s">
        <v>74</v>
      </c>
      <c r="BI528">
        <v>15</v>
      </c>
      <c r="BJ528" t="s">
        <v>10264</v>
      </c>
      <c r="BK528" t="s">
        <v>101</v>
      </c>
      <c r="BL528" t="s">
        <v>10265</v>
      </c>
      <c r="BM528" t="s">
        <v>10266</v>
      </c>
      <c r="BN528" t="s">
        <v>74</v>
      </c>
      <c r="BO528" t="s">
        <v>404</v>
      </c>
      <c r="BP528" t="s">
        <v>74</v>
      </c>
      <c r="BQ528" t="s">
        <v>74</v>
      </c>
      <c r="BR528" t="s">
        <v>104</v>
      </c>
      <c r="BS528" t="s">
        <v>10342</v>
      </c>
      <c r="BT528" t="str">
        <f>HYPERLINK("https%3A%2F%2Fwww.webofscience.com%2Fwos%2Fwoscc%2Ffull-record%2FWOS:000454297300007","View Full Record in Web of Science")</f>
        <v>View Full Record in Web of Science</v>
      </c>
    </row>
    <row r="529" spans="1:72" x14ac:dyDescent="0.15">
      <c r="A529" t="s">
        <v>72</v>
      </c>
      <c r="B529" t="s">
        <v>10343</v>
      </c>
      <c r="C529" t="s">
        <v>74</v>
      </c>
      <c r="D529" t="s">
        <v>74</v>
      </c>
      <c r="E529" t="s">
        <v>74</v>
      </c>
      <c r="F529" t="s">
        <v>10344</v>
      </c>
      <c r="G529" t="s">
        <v>74</v>
      </c>
      <c r="H529" t="s">
        <v>74</v>
      </c>
      <c r="I529" t="s">
        <v>10345</v>
      </c>
      <c r="J529" t="s">
        <v>10346</v>
      </c>
      <c r="K529" t="s">
        <v>74</v>
      </c>
      <c r="L529" t="s">
        <v>74</v>
      </c>
      <c r="M529" t="s">
        <v>78</v>
      </c>
      <c r="N529" t="s">
        <v>79</v>
      </c>
      <c r="O529" t="s">
        <v>74</v>
      </c>
      <c r="P529" t="s">
        <v>74</v>
      </c>
      <c r="Q529" t="s">
        <v>74</v>
      </c>
      <c r="R529" t="s">
        <v>74</v>
      </c>
      <c r="S529" t="s">
        <v>74</v>
      </c>
      <c r="T529" t="s">
        <v>10347</v>
      </c>
      <c r="U529" t="s">
        <v>10348</v>
      </c>
      <c r="V529" t="s">
        <v>10349</v>
      </c>
      <c r="W529" t="s">
        <v>10350</v>
      </c>
      <c r="X529" t="s">
        <v>10351</v>
      </c>
      <c r="Y529" t="s">
        <v>10352</v>
      </c>
      <c r="Z529" t="s">
        <v>10353</v>
      </c>
      <c r="AA529" t="s">
        <v>10354</v>
      </c>
      <c r="AB529" t="s">
        <v>10355</v>
      </c>
      <c r="AC529" t="s">
        <v>10356</v>
      </c>
      <c r="AD529" t="s">
        <v>10357</v>
      </c>
      <c r="AE529" t="s">
        <v>10358</v>
      </c>
      <c r="AF529" t="s">
        <v>74</v>
      </c>
      <c r="AG529">
        <v>35</v>
      </c>
      <c r="AH529">
        <v>26</v>
      </c>
      <c r="AI529">
        <v>27</v>
      </c>
      <c r="AJ529">
        <v>3</v>
      </c>
      <c r="AK529">
        <v>7</v>
      </c>
      <c r="AL529" t="s">
        <v>4010</v>
      </c>
      <c r="AM529" t="s">
        <v>4011</v>
      </c>
      <c r="AN529" t="s">
        <v>4012</v>
      </c>
      <c r="AO529" t="s">
        <v>10359</v>
      </c>
      <c r="AP529" t="s">
        <v>74</v>
      </c>
      <c r="AQ529" t="s">
        <v>74</v>
      </c>
      <c r="AR529" t="s">
        <v>10360</v>
      </c>
      <c r="AS529" t="s">
        <v>10361</v>
      </c>
      <c r="AT529" t="s">
        <v>9222</v>
      </c>
      <c r="AU529">
        <v>2018</v>
      </c>
      <c r="AV529">
        <v>20</v>
      </c>
      <c r="AW529">
        <v>12</v>
      </c>
      <c r="AX529" t="s">
        <v>74</v>
      </c>
      <c r="AY529" t="s">
        <v>74</v>
      </c>
      <c r="AZ529" t="s">
        <v>74</v>
      </c>
      <c r="BA529" t="s">
        <v>74</v>
      </c>
      <c r="BB529" t="s">
        <v>74</v>
      </c>
      <c r="BC529" t="s">
        <v>74</v>
      </c>
      <c r="BD529">
        <v>931</v>
      </c>
      <c r="BE529" t="s">
        <v>10362</v>
      </c>
      <c r="BF529" t="str">
        <f>HYPERLINK("http://dx.doi.org/10.3390/e20120931","http://dx.doi.org/10.3390/e20120931")</f>
        <v>http://dx.doi.org/10.3390/e20120931</v>
      </c>
      <c r="BG529" t="s">
        <v>74</v>
      </c>
      <c r="BH529" t="s">
        <v>74</v>
      </c>
      <c r="BI529">
        <v>16</v>
      </c>
      <c r="BJ529" t="s">
        <v>2448</v>
      </c>
      <c r="BK529" t="s">
        <v>101</v>
      </c>
      <c r="BL529" t="s">
        <v>2449</v>
      </c>
      <c r="BM529" t="s">
        <v>10363</v>
      </c>
      <c r="BN529">
        <v>33266655</v>
      </c>
      <c r="BO529" t="s">
        <v>4984</v>
      </c>
      <c r="BP529" t="s">
        <v>74</v>
      </c>
      <c r="BQ529" t="s">
        <v>74</v>
      </c>
      <c r="BR529" t="s">
        <v>104</v>
      </c>
      <c r="BS529" t="s">
        <v>10364</v>
      </c>
      <c r="BT529" t="str">
        <f>HYPERLINK("https%3A%2F%2Fwww.webofscience.com%2Fwos%2Fwoscc%2Ffull-record%2FWOS:000454282000039","View Full Record in Web of Science")</f>
        <v>View Full Record in Web of Science</v>
      </c>
    </row>
    <row r="530" spans="1:72" x14ac:dyDescent="0.15">
      <c r="A530" t="s">
        <v>72</v>
      </c>
      <c r="B530" t="s">
        <v>10365</v>
      </c>
      <c r="C530" t="s">
        <v>74</v>
      </c>
      <c r="D530" t="s">
        <v>74</v>
      </c>
      <c r="E530" t="s">
        <v>74</v>
      </c>
      <c r="F530" t="s">
        <v>10366</v>
      </c>
      <c r="G530" t="s">
        <v>74</v>
      </c>
      <c r="H530" t="s">
        <v>74</v>
      </c>
      <c r="I530" t="s">
        <v>10367</v>
      </c>
      <c r="J530" t="s">
        <v>10368</v>
      </c>
      <c r="K530" t="s">
        <v>74</v>
      </c>
      <c r="L530" t="s">
        <v>74</v>
      </c>
      <c r="M530" t="s">
        <v>78</v>
      </c>
      <c r="N530" t="s">
        <v>79</v>
      </c>
      <c r="O530" t="s">
        <v>74</v>
      </c>
      <c r="P530" t="s">
        <v>74</v>
      </c>
      <c r="Q530" t="s">
        <v>74</v>
      </c>
      <c r="R530" t="s">
        <v>74</v>
      </c>
      <c r="S530" t="s">
        <v>74</v>
      </c>
      <c r="T530" t="s">
        <v>10369</v>
      </c>
      <c r="U530" t="s">
        <v>10370</v>
      </c>
      <c r="V530" t="s">
        <v>10371</v>
      </c>
      <c r="W530" t="s">
        <v>10372</v>
      </c>
      <c r="X530" t="s">
        <v>10373</v>
      </c>
      <c r="Y530" t="s">
        <v>10374</v>
      </c>
      <c r="Z530" t="s">
        <v>10375</v>
      </c>
      <c r="AA530" t="s">
        <v>10376</v>
      </c>
      <c r="AB530" t="s">
        <v>10377</v>
      </c>
      <c r="AC530" t="s">
        <v>10378</v>
      </c>
      <c r="AD530" t="s">
        <v>10379</v>
      </c>
      <c r="AE530" t="s">
        <v>10380</v>
      </c>
      <c r="AF530" t="s">
        <v>74</v>
      </c>
      <c r="AG530">
        <v>56</v>
      </c>
      <c r="AH530">
        <v>18</v>
      </c>
      <c r="AI530">
        <v>20</v>
      </c>
      <c r="AJ530">
        <v>0</v>
      </c>
      <c r="AK530">
        <v>12</v>
      </c>
      <c r="AL530" t="s">
        <v>1473</v>
      </c>
      <c r="AM530" t="s">
        <v>151</v>
      </c>
      <c r="AN530" t="s">
        <v>7103</v>
      </c>
      <c r="AO530" t="s">
        <v>10381</v>
      </c>
      <c r="AP530" t="s">
        <v>10382</v>
      </c>
      <c r="AQ530" t="s">
        <v>74</v>
      </c>
      <c r="AR530" t="s">
        <v>10383</v>
      </c>
      <c r="AS530" t="s">
        <v>10384</v>
      </c>
      <c r="AT530" t="s">
        <v>9222</v>
      </c>
      <c r="AU530">
        <v>2018</v>
      </c>
      <c r="AV530">
        <v>64</v>
      </c>
      <c r="AW530">
        <v>248</v>
      </c>
      <c r="AX530" t="s">
        <v>74</v>
      </c>
      <c r="AY530" t="s">
        <v>74</v>
      </c>
      <c r="AZ530" t="s">
        <v>74</v>
      </c>
      <c r="BA530" t="s">
        <v>74</v>
      </c>
      <c r="BB530">
        <v>855</v>
      </c>
      <c r="BC530">
        <v>865</v>
      </c>
      <c r="BD530" t="s">
        <v>74</v>
      </c>
      <c r="BE530" t="s">
        <v>10385</v>
      </c>
      <c r="BF530" t="str">
        <f>HYPERLINK("http://dx.doi.org/10.1017/jog.2018.72","http://dx.doi.org/10.1017/jog.2018.72")</f>
        <v>http://dx.doi.org/10.1017/jog.2018.72</v>
      </c>
      <c r="BG530" t="s">
        <v>74</v>
      </c>
      <c r="BH530" t="s">
        <v>74</v>
      </c>
      <c r="BI530">
        <v>11</v>
      </c>
      <c r="BJ530" t="s">
        <v>1480</v>
      </c>
      <c r="BK530" t="s">
        <v>101</v>
      </c>
      <c r="BL530" t="s">
        <v>1481</v>
      </c>
      <c r="BM530" t="s">
        <v>10386</v>
      </c>
      <c r="BN530" t="s">
        <v>74</v>
      </c>
      <c r="BO530" t="s">
        <v>131</v>
      </c>
      <c r="BP530" t="s">
        <v>74</v>
      </c>
      <c r="BQ530" t="s">
        <v>74</v>
      </c>
      <c r="BR530" t="s">
        <v>104</v>
      </c>
      <c r="BS530" t="s">
        <v>10387</v>
      </c>
      <c r="BT530" t="str">
        <f>HYPERLINK("https%3A%2F%2Fwww.webofscience.com%2Fwos%2Fwoscc%2Ffull-record%2FWOS:000454427700001","View Full Record in Web of Science")</f>
        <v>View Full Record in Web of Science</v>
      </c>
    </row>
    <row r="531" spans="1:72" x14ac:dyDescent="0.15">
      <c r="A531" t="s">
        <v>72</v>
      </c>
      <c r="B531" t="s">
        <v>10388</v>
      </c>
      <c r="C531" t="s">
        <v>74</v>
      </c>
      <c r="D531" t="s">
        <v>74</v>
      </c>
      <c r="E531" t="s">
        <v>74</v>
      </c>
      <c r="F531" t="s">
        <v>10389</v>
      </c>
      <c r="G531" t="s">
        <v>74</v>
      </c>
      <c r="H531" t="s">
        <v>74</v>
      </c>
      <c r="I531" t="s">
        <v>10390</v>
      </c>
      <c r="J531" t="s">
        <v>10368</v>
      </c>
      <c r="K531" t="s">
        <v>74</v>
      </c>
      <c r="L531" t="s">
        <v>74</v>
      </c>
      <c r="M531" t="s">
        <v>78</v>
      </c>
      <c r="N531" t="s">
        <v>79</v>
      </c>
      <c r="O531" t="s">
        <v>74</v>
      </c>
      <c r="P531" t="s">
        <v>74</v>
      </c>
      <c r="Q531" t="s">
        <v>74</v>
      </c>
      <c r="R531" t="s">
        <v>74</v>
      </c>
      <c r="S531" t="s">
        <v>74</v>
      </c>
      <c r="T531" t="s">
        <v>10391</v>
      </c>
      <c r="U531" t="s">
        <v>10392</v>
      </c>
      <c r="V531" t="s">
        <v>10393</v>
      </c>
      <c r="W531" t="s">
        <v>10394</v>
      </c>
      <c r="X531" t="s">
        <v>10395</v>
      </c>
      <c r="Y531" t="s">
        <v>10396</v>
      </c>
      <c r="Z531" t="s">
        <v>10397</v>
      </c>
      <c r="AA531" t="s">
        <v>10398</v>
      </c>
      <c r="AB531" t="s">
        <v>10399</v>
      </c>
      <c r="AC531" t="s">
        <v>10400</v>
      </c>
      <c r="AD531" t="s">
        <v>10401</v>
      </c>
      <c r="AE531" t="s">
        <v>10402</v>
      </c>
      <c r="AF531" t="s">
        <v>74</v>
      </c>
      <c r="AG531">
        <v>59</v>
      </c>
      <c r="AH531">
        <v>6</v>
      </c>
      <c r="AI531">
        <v>6</v>
      </c>
      <c r="AJ531">
        <v>2</v>
      </c>
      <c r="AK531">
        <v>7</v>
      </c>
      <c r="AL531" t="s">
        <v>1473</v>
      </c>
      <c r="AM531" t="s">
        <v>151</v>
      </c>
      <c r="AN531" t="s">
        <v>7103</v>
      </c>
      <c r="AO531" t="s">
        <v>10381</v>
      </c>
      <c r="AP531" t="s">
        <v>10382</v>
      </c>
      <c r="AQ531" t="s">
        <v>74</v>
      </c>
      <c r="AR531" t="s">
        <v>10383</v>
      </c>
      <c r="AS531" t="s">
        <v>10384</v>
      </c>
      <c r="AT531" t="s">
        <v>9222</v>
      </c>
      <c r="AU531">
        <v>2018</v>
      </c>
      <c r="AV531">
        <v>64</v>
      </c>
      <c r="AW531">
        <v>248</v>
      </c>
      <c r="AX531" t="s">
        <v>74</v>
      </c>
      <c r="AY531" t="s">
        <v>74</v>
      </c>
      <c r="AZ531" t="s">
        <v>74</v>
      </c>
      <c r="BA531" t="s">
        <v>74</v>
      </c>
      <c r="BB531">
        <v>887</v>
      </c>
      <c r="BC531">
        <v>896</v>
      </c>
      <c r="BD531" t="s">
        <v>74</v>
      </c>
      <c r="BE531" t="s">
        <v>10403</v>
      </c>
      <c r="BF531" t="str">
        <f>HYPERLINK("http://dx.doi.org/10.1017/jog.2018.76","http://dx.doi.org/10.1017/jog.2018.76")</f>
        <v>http://dx.doi.org/10.1017/jog.2018.76</v>
      </c>
      <c r="BG531" t="s">
        <v>74</v>
      </c>
      <c r="BH531" t="s">
        <v>74</v>
      </c>
      <c r="BI531">
        <v>10</v>
      </c>
      <c r="BJ531" t="s">
        <v>1480</v>
      </c>
      <c r="BK531" t="s">
        <v>101</v>
      </c>
      <c r="BL531" t="s">
        <v>1481</v>
      </c>
      <c r="BM531" t="s">
        <v>10386</v>
      </c>
      <c r="BN531" t="s">
        <v>74</v>
      </c>
      <c r="BO531" t="s">
        <v>10404</v>
      </c>
      <c r="BP531" t="s">
        <v>74</v>
      </c>
      <c r="BQ531" t="s">
        <v>74</v>
      </c>
      <c r="BR531" t="s">
        <v>104</v>
      </c>
      <c r="BS531" t="s">
        <v>10405</v>
      </c>
      <c r="BT531" t="str">
        <f>HYPERLINK("https%3A%2F%2Fwww.webofscience.com%2Fwos%2Fwoscc%2Ffull-record%2FWOS:000454427700004","View Full Record in Web of Science")</f>
        <v>View Full Record in Web of Science</v>
      </c>
    </row>
    <row r="532" spans="1:72" x14ac:dyDescent="0.15">
      <c r="A532" t="s">
        <v>72</v>
      </c>
      <c r="B532" t="s">
        <v>10406</v>
      </c>
      <c r="C532" t="s">
        <v>74</v>
      </c>
      <c r="D532" t="s">
        <v>74</v>
      </c>
      <c r="E532" t="s">
        <v>74</v>
      </c>
      <c r="F532" t="s">
        <v>10407</v>
      </c>
      <c r="G532" t="s">
        <v>74</v>
      </c>
      <c r="H532" t="s">
        <v>74</v>
      </c>
      <c r="I532" t="s">
        <v>10408</v>
      </c>
      <c r="J532" t="s">
        <v>10368</v>
      </c>
      <c r="K532" t="s">
        <v>74</v>
      </c>
      <c r="L532" t="s">
        <v>74</v>
      </c>
      <c r="M532" t="s">
        <v>78</v>
      </c>
      <c r="N532" t="s">
        <v>79</v>
      </c>
      <c r="O532" t="s">
        <v>74</v>
      </c>
      <c r="P532" t="s">
        <v>74</v>
      </c>
      <c r="Q532" t="s">
        <v>74</v>
      </c>
      <c r="R532" t="s">
        <v>74</v>
      </c>
      <c r="S532" t="s">
        <v>74</v>
      </c>
      <c r="T532" t="s">
        <v>10409</v>
      </c>
      <c r="U532" t="s">
        <v>10410</v>
      </c>
      <c r="V532" t="s">
        <v>10411</v>
      </c>
      <c r="W532" t="s">
        <v>10412</v>
      </c>
      <c r="X532" t="s">
        <v>10413</v>
      </c>
      <c r="Y532" t="s">
        <v>10414</v>
      </c>
      <c r="Z532" t="s">
        <v>10415</v>
      </c>
      <c r="AA532" t="s">
        <v>10416</v>
      </c>
      <c r="AB532" t="s">
        <v>10417</v>
      </c>
      <c r="AC532" t="s">
        <v>10418</v>
      </c>
      <c r="AD532" t="s">
        <v>10419</v>
      </c>
      <c r="AE532" t="s">
        <v>10420</v>
      </c>
      <c r="AF532" t="s">
        <v>74</v>
      </c>
      <c r="AG532">
        <v>43</v>
      </c>
      <c r="AH532">
        <v>7</v>
      </c>
      <c r="AI532">
        <v>7</v>
      </c>
      <c r="AJ532">
        <v>0</v>
      </c>
      <c r="AK532">
        <v>4</v>
      </c>
      <c r="AL532" t="s">
        <v>1473</v>
      </c>
      <c r="AM532" t="s">
        <v>151</v>
      </c>
      <c r="AN532" t="s">
        <v>7103</v>
      </c>
      <c r="AO532" t="s">
        <v>10381</v>
      </c>
      <c r="AP532" t="s">
        <v>10382</v>
      </c>
      <c r="AQ532" t="s">
        <v>74</v>
      </c>
      <c r="AR532" t="s">
        <v>10383</v>
      </c>
      <c r="AS532" t="s">
        <v>10384</v>
      </c>
      <c r="AT532" t="s">
        <v>9222</v>
      </c>
      <c r="AU532">
        <v>2018</v>
      </c>
      <c r="AV532">
        <v>64</v>
      </c>
      <c r="AW532">
        <v>248</v>
      </c>
      <c r="AX532" t="s">
        <v>74</v>
      </c>
      <c r="AY532" t="s">
        <v>74</v>
      </c>
      <c r="AZ532" t="s">
        <v>74</v>
      </c>
      <c r="BA532" t="s">
        <v>74</v>
      </c>
      <c r="BB532">
        <v>932</v>
      </c>
      <c r="BC532">
        <v>942</v>
      </c>
      <c r="BD532" t="s">
        <v>74</v>
      </c>
      <c r="BE532" t="s">
        <v>10421</v>
      </c>
      <c r="BF532" t="str">
        <f>HYPERLINK("http://dx.doi.org/10.1017/jog.2018.81","http://dx.doi.org/10.1017/jog.2018.81")</f>
        <v>http://dx.doi.org/10.1017/jog.2018.81</v>
      </c>
      <c r="BG532" t="s">
        <v>74</v>
      </c>
      <c r="BH532" t="s">
        <v>74</v>
      </c>
      <c r="BI532">
        <v>11</v>
      </c>
      <c r="BJ532" t="s">
        <v>1480</v>
      </c>
      <c r="BK532" t="s">
        <v>101</v>
      </c>
      <c r="BL532" t="s">
        <v>1481</v>
      </c>
      <c r="BM532" t="s">
        <v>10386</v>
      </c>
      <c r="BN532" t="s">
        <v>74</v>
      </c>
      <c r="BO532" t="s">
        <v>10422</v>
      </c>
      <c r="BP532" t="s">
        <v>74</v>
      </c>
      <c r="BQ532" t="s">
        <v>74</v>
      </c>
      <c r="BR532" t="s">
        <v>104</v>
      </c>
      <c r="BS532" t="s">
        <v>10423</v>
      </c>
      <c r="BT532" t="str">
        <f>HYPERLINK("https%3A%2F%2Fwww.webofscience.com%2Fwos%2Fwoscc%2Ffull-record%2FWOS:000454427700007","View Full Record in Web of Science")</f>
        <v>View Full Record in Web of Science</v>
      </c>
    </row>
    <row r="533" spans="1:72" x14ac:dyDescent="0.15">
      <c r="A533" t="s">
        <v>72</v>
      </c>
      <c r="B533" t="s">
        <v>10424</v>
      </c>
      <c r="C533" t="s">
        <v>74</v>
      </c>
      <c r="D533" t="s">
        <v>74</v>
      </c>
      <c r="E533" t="s">
        <v>74</v>
      </c>
      <c r="F533" t="s">
        <v>10425</v>
      </c>
      <c r="G533" t="s">
        <v>74</v>
      </c>
      <c r="H533" t="s">
        <v>74</v>
      </c>
      <c r="I533" t="s">
        <v>10426</v>
      </c>
      <c r="J533" t="s">
        <v>10368</v>
      </c>
      <c r="K533" t="s">
        <v>74</v>
      </c>
      <c r="L533" t="s">
        <v>74</v>
      </c>
      <c r="M533" t="s">
        <v>78</v>
      </c>
      <c r="N533" t="s">
        <v>79</v>
      </c>
      <c r="O533" t="s">
        <v>74</v>
      </c>
      <c r="P533" t="s">
        <v>74</v>
      </c>
      <c r="Q533" t="s">
        <v>74</v>
      </c>
      <c r="R533" t="s">
        <v>74</v>
      </c>
      <c r="S533" t="s">
        <v>74</v>
      </c>
      <c r="T533" t="s">
        <v>10427</v>
      </c>
      <c r="U533" t="s">
        <v>10428</v>
      </c>
      <c r="V533" t="s">
        <v>10429</v>
      </c>
      <c r="W533" t="s">
        <v>10430</v>
      </c>
      <c r="X533" t="s">
        <v>10431</v>
      </c>
      <c r="Y533" t="s">
        <v>10432</v>
      </c>
      <c r="Z533" t="s">
        <v>10433</v>
      </c>
      <c r="AA533" t="s">
        <v>10434</v>
      </c>
      <c r="AB533" t="s">
        <v>10435</v>
      </c>
      <c r="AC533" t="s">
        <v>74</v>
      </c>
      <c r="AD533" t="s">
        <v>74</v>
      </c>
      <c r="AE533" t="s">
        <v>74</v>
      </c>
      <c r="AF533" t="s">
        <v>74</v>
      </c>
      <c r="AG533">
        <v>96</v>
      </c>
      <c r="AH533">
        <v>14</v>
      </c>
      <c r="AI533">
        <v>14</v>
      </c>
      <c r="AJ533">
        <v>0</v>
      </c>
      <c r="AK533">
        <v>6</v>
      </c>
      <c r="AL533" t="s">
        <v>1473</v>
      </c>
      <c r="AM533" t="s">
        <v>151</v>
      </c>
      <c r="AN533" t="s">
        <v>7103</v>
      </c>
      <c r="AO533" t="s">
        <v>10381</v>
      </c>
      <c r="AP533" t="s">
        <v>10382</v>
      </c>
      <c r="AQ533" t="s">
        <v>74</v>
      </c>
      <c r="AR533" t="s">
        <v>10383</v>
      </c>
      <c r="AS533" t="s">
        <v>10384</v>
      </c>
      <c r="AT533" t="s">
        <v>9222</v>
      </c>
      <c r="AU533">
        <v>2018</v>
      </c>
      <c r="AV533">
        <v>64</v>
      </c>
      <c r="AW533">
        <v>248</v>
      </c>
      <c r="AX533" t="s">
        <v>74</v>
      </c>
      <c r="AY533" t="s">
        <v>74</v>
      </c>
      <c r="AZ533" t="s">
        <v>74</v>
      </c>
      <c r="BA533" t="s">
        <v>74</v>
      </c>
      <c r="BB533">
        <v>1014</v>
      </c>
      <c r="BC533">
        <v>1027</v>
      </c>
      <c r="BD533" t="s">
        <v>74</v>
      </c>
      <c r="BE533" t="s">
        <v>10436</v>
      </c>
      <c r="BF533" t="str">
        <f>HYPERLINK("http://dx.doi.org/10.1017/jog.2018.92","http://dx.doi.org/10.1017/jog.2018.92")</f>
        <v>http://dx.doi.org/10.1017/jog.2018.92</v>
      </c>
      <c r="BG533" t="s">
        <v>74</v>
      </c>
      <c r="BH533" t="s">
        <v>74</v>
      </c>
      <c r="BI533">
        <v>14</v>
      </c>
      <c r="BJ533" t="s">
        <v>1480</v>
      </c>
      <c r="BK533" t="s">
        <v>101</v>
      </c>
      <c r="BL533" t="s">
        <v>1481</v>
      </c>
      <c r="BM533" t="s">
        <v>10386</v>
      </c>
      <c r="BN533" t="s">
        <v>74</v>
      </c>
      <c r="BO533" t="s">
        <v>131</v>
      </c>
      <c r="BP533" t="s">
        <v>74</v>
      </c>
      <c r="BQ533" t="s">
        <v>74</v>
      </c>
      <c r="BR533" t="s">
        <v>104</v>
      </c>
      <c r="BS533" t="s">
        <v>10437</v>
      </c>
      <c r="BT533" t="str">
        <f>HYPERLINK("https%3A%2F%2Fwww.webofscience.com%2Fwos%2Fwoscc%2Ffull-record%2FWOS:000454427700014","View Full Record in Web of Science")</f>
        <v>View Full Record in Web of Science</v>
      </c>
    </row>
    <row r="534" spans="1:72" x14ac:dyDescent="0.15">
      <c r="A534" t="s">
        <v>72</v>
      </c>
      <c r="B534" t="s">
        <v>10438</v>
      </c>
      <c r="C534" t="s">
        <v>74</v>
      </c>
      <c r="D534" t="s">
        <v>74</v>
      </c>
      <c r="E534" t="s">
        <v>74</v>
      </c>
      <c r="F534" t="s">
        <v>10439</v>
      </c>
      <c r="G534" t="s">
        <v>74</v>
      </c>
      <c r="H534" t="s">
        <v>74</v>
      </c>
      <c r="I534" t="s">
        <v>10440</v>
      </c>
      <c r="J534" t="s">
        <v>10441</v>
      </c>
      <c r="K534" t="s">
        <v>74</v>
      </c>
      <c r="L534" t="s">
        <v>74</v>
      </c>
      <c r="M534" t="s">
        <v>78</v>
      </c>
      <c r="N534" t="s">
        <v>79</v>
      </c>
      <c r="O534" t="s">
        <v>74</v>
      </c>
      <c r="P534" t="s">
        <v>74</v>
      </c>
      <c r="Q534" t="s">
        <v>74</v>
      </c>
      <c r="R534" t="s">
        <v>74</v>
      </c>
      <c r="S534" t="s">
        <v>74</v>
      </c>
      <c r="T534" t="s">
        <v>10442</v>
      </c>
      <c r="U534" t="s">
        <v>10443</v>
      </c>
      <c r="V534" t="s">
        <v>10444</v>
      </c>
      <c r="W534" t="s">
        <v>10445</v>
      </c>
      <c r="X534" t="s">
        <v>10446</v>
      </c>
      <c r="Y534" t="s">
        <v>10447</v>
      </c>
      <c r="Z534" t="s">
        <v>10448</v>
      </c>
      <c r="AA534" t="s">
        <v>10449</v>
      </c>
      <c r="AB534" t="s">
        <v>10450</v>
      </c>
      <c r="AC534" t="s">
        <v>10451</v>
      </c>
      <c r="AD534" t="s">
        <v>10452</v>
      </c>
      <c r="AE534" t="s">
        <v>10453</v>
      </c>
      <c r="AF534" t="s">
        <v>74</v>
      </c>
      <c r="AG534">
        <v>26</v>
      </c>
      <c r="AH534">
        <v>5</v>
      </c>
      <c r="AI534">
        <v>6</v>
      </c>
      <c r="AJ534">
        <v>4</v>
      </c>
      <c r="AK534">
        <v>9</v>
      </c>
      <c r="AL534" t="s">
        <v>6114</v>
      </c>
      <c r="AM534" t="s">
        <v>6115</v>
      </c>
      <c r="AN534" t="s">
        <v>6116</v>
      </c>
      <c r="AO534" t="s">
        <v>10454</v>
      </c>
      <c r="AP534" t="s">
        <v>10455</v>
      </c>
      <c r="AQ534" t="s">
        <v>74</v>
      </c>
      <c r="AR534" t="s">
        <v>10456</v>
      </c>
      <c r="AS534" t="s">
        <v>10457</v>
      </c>
      <c r="AT534" t="s">
        <v>9222</v>
      </c>
      <c r="AU534">
        <v>2018</v>
      </c>
      <c r="AV534">
        <v>32</v>
      </c>
      <c r="AW534">
        <v>6</v>
      </c>
      <c r="AX534" t="s">
        <v>74</v>
      </c>
      <c r="AY534" t="s">
        <v>74</v>
      </c>
      <c r="AZ534" t="s">
        <v>74</v>
      </c>
      <c r="BA534" t="s">
        <v>74</v>
      </c>
      <c r="BB534">
        <v>909</v>
      </c>
      <c r="BC534">
        <v>922</v>
      </c>
      <c r="BD534" t="s">
        <v>74</v>
      </c>
      <c r="BE534" t="s">
        <v>10458</v>
      </c>
      <c r="BF534" t="str">
        <f>HYPERLINK("http://dx.doi.org/10.1007/s13351-018-8067-9","http://dx.doi.org/10.1007/s13351-018-8067-9")</f>
        <v>http://dx.doi.org/10.1007/s13351-018-8067-9</v>
      </c>
      <c r="BG534" t="s">
        <v>74</v>
      </c>
      <c r="BH534" t="s">
        <v>74</v>
      </c>
      <c r="BI534">
        <v>14</v>
      </c>
      <c r="BJ534" t="s">
        <v>3037</v>
      </c>
      <c r="BK534" t="s">
        <v>101</v>
      </c>
      <c r="BL534" t="s">
        <v>3037</v>
      </c>
      <c r="BM534" t="s">
        <v>10459</v>
      </c>
      <c r="BN534" t="s">
        <v>74</v>
      </c>
      <c r="BO534" t="s">
        <v>3810</v>
      </c>
      <c r="BP534" t="s">
        <v>74</v>
      </c>
      <c r="BQ534" t="s">
        <v>74</v>
      </c>
      <c r="BR534" t="s">
        <v>104</v>
      </c>
      <c r="BS534" t="s">
        <v>10460</v>
      </c>
      <c r="BT534" t="str">
        <f>HYPERLINK("https%3A%2F%2Fwww.webofscience.com%2Fwos%2Fwoscc%2Ffull-record%2FWOS:000454528500005","View Full Record in Web of Science")</f>
        <v>View Full Record in Web of Science</v>
      </c>
    </row>
    <row r="535" spans="1:72" x14ac:dyDescent="0.15">
      <c r="A535" t="s">
        <v>72</v>
      </c>
      <c r="B535" t="s">
        <v>10461</v>
      </c>
      <c r="C535" t="s">
        <v>74</v>
      </c>
      <c r="D535" t="s">
        <v>74</v>
      </c>
      <c r="E535" t="s">
        <v>74</v>
      </c>
      <c r="F535" t="s">
        <v>10462</v>
      </c>
      <c r="G535" t="s">
        <v>74</v>
      </c>
      <c r="H535" t="s">
        <v>74</v>
      </c>
      <c r="I535" t="s">
        <v>10463</v>
      </c>
      <c r="J535" t="s">
        <v>10464</v>
      </c>
      <c r="K535" t="s">
        <v>74</v>
      </c>
      <c r="L535" t="s">
        <v>74</v>
      </c>
      <c r="M535" t="s">
        <v>78</v>
      </c>
      <c r="N535" t="s">
        <v>79</v>
      </c>
      <c r="O535" t="s">
        <v>74</v>
      </c>
      <c r="P535" t="s">
        <v>74</v>
      </c>
      <c r="Q535" t="s">
        <v>74</v>
      </c>
      <c r="R535" t="s">
        <v>74</v>
      </c>
      <c r="S535" t="s">
        <v>74</v>
      </c>
      <c r="T535" t="s">
        <v>10465</v>
      </c>
      <c r="U535" t="s">
        <v>10466</v>
      </c>
      <c r="V535" t="s">
        <v>10467</v>
      </c>
      <c r="W535" t="s">
        <v>10468</v>
      </c>
      <c r="X535" t="s">
        <v>10469</v>
      </c>
      <c r="Y535" t="s">
        <v>10470</v>
      </c>
      <c r="Z535" t="s">
        <v>10471</v>
      </c>
      <c r="AA535" t="s">
        <v>10472</v>
      </c>
      <c r="AB535" t="s">
        <v>10473</v>
      </c>
      <c r="AC535" t="s">
        <v>10474</v>
      </c>
      <c r="AD535" t="s">
        <v>10475</v>
      </c>
      <c r="AE535" t="s">
        <v>10476</v>
      </c>
      <c r="AF535" t="s">
        <v>74</v>
      </c>
      <c r="AG535">
        <v>18</v>
      </c>
      <c r="AH535">
        <v>3</v>
      </c>
      <c r="AI535">
        <v>3</v>
      </c>
      <c r="AJ535">
        <v>0</v>
      </c>
      <c r="AK535">
        <v>14</v>
      </c>
      <c r="AL535" t="s">
        <v>2519</v>
      </c>
      <c r="AM535" t="s">
        <v>2520</v>
      </c>
      <c r="AN535" t="s">
        <v>3313</v>
      </c>
      <c r="AO535" t="s">
        <v>10477</v>
      </c>
      <c r="AP535" t="s">
        <v>10478</v>
      </c>
      <c r="AQ535" t="s">
        <v>74</v>
      </c>
      <c r="AR535" t="s">
        <v>10479</v>
      </c>
      <c r="AS535" t="s">
        <v>10480</v>
      </c>
      <c r="AT535" t="s">
        <v>9222</v>
      </c>
      <c r="AU535">
        <v>2018</v>
      </c>
      <c r="AV535">
        <v>42</v>
      </c>
      <c r="AW535" t="s">
        <v>74</v>
      </c>
      <c r="AX535" t="s">
        <v>74</v>
      </c>
      <c r="AY535" t="s">
        <v>74</v>
      </c>
      <c r="AZ535" t="s">
        <v>74</v>
      </c>
      <c r="BA535" t="s">
        <v>74</v>
      </c>
      <c r="BB535">
        <v>67</v>
      </c>
      <c r="BC535">
        <v>70</v>
      </c>
      <c r="BD535" t="s">
        <v>74</v>
      </c>
      <c r="BE535" t="s">
        <v>10481</v>
      </c>
      <c r="BF535" t="str">
        <f>HYPERLINK("http://dx.doi.org/10.1016/j.margen.2018.04.003","http://dx.doi.org/10.1016/j.margen.2018.04.003")</f>
        <v>http://dx.doi.org/10.1016/j.margen.2018.04.003</v>
      </c>
      <c r="BG535" t="s">
        <v>74</v>
      </c>
      <c r="BH535" t="s">
        <v>74</v>
      </c>
      <c r="BI535">
        <v>4</v>
      </c>
      <c r="BJ535" t="s">
        <v>10482</v>
      </c>
      <c r="BK535" t="s">
        <v>101</v>
      </c>
      <c r="BL535" t="s">
        <v>10482</v>
      </c>
      <c r="BM535" t="s">
        <v>10483</v>
      </c>
      <c r="BN535" t="s">
        <v>74</v>
      </c>
      <c r="BO535" t="s">
        <v>74</v>
      </c>
      <c r="BP535" t="s">
        <v>74</v>
      </c>
      <c r="BQ535" t="s">
        <v>74</v>
      </c>
      <c r="BR535" t="s">
        <v>104</v>
      </c>
      <c r="BS535" t="s">
        <v>10484</v>
      </c>
      <c r="BT535" t="str">
        <f>HYPERLINK("https%3A%2F%2Fwww.webofscience.com%2Fwos%2Fwoscc%2Ffull-record%2FWOS:000454376100010","View Full Record in Web of Science")</f>
        <v>View Full Record in Web of Science</v>
      </c>
    </row>
    <row r="536" spans="1:72" x14ac:dyDescent="0.15">
      <c r="A536" t="s">
        <v>72</v>
      </c>
      <c r="B536" t="s">
        <v>10485</v>
      </c>
      <c r="C536" t="s">
        <v>74</v>
      </c>
      <c r="D536" t="s">
        <v>74</v>
      </c>
      <c r="E536" t="s">
        <v>74</v>
      </c>
      <c r="F536" t="s">
        <v>10486</v>
      </c>
      <c r="G536" t="s">
        <v>74</v>
      </c>
      <c r="H536" t="s">
        <v>74</v>
      </c>
      <c r="I536" t="s">
        <v>10487</v>
      </c>
      <c r="J536" t="s">
        <v>10488</v>
      </c>
      <c r="K536" t="s">
        <v>74</v>
      </c>
      <c r="L536" t="s">
        <v>74</v>
      </c>
      <c r="M536" t="s">
        <v>78</v>
      </c>
      <c r="N536" t="s">
        <v>79</v>
      </c>
      <c r="O536" t="s">
        <v>74</v>
      </c>
      <c r="P536" t="s">
        <v>74</v>
      </c>
      <c r="Q536" t="s">
        <v>74</v>
      </c>
      <c r="R536" t="s">
        <v>74</v>
      </c>
      <c r="S536" t="s">
        <v>74</v>
      </c>
      <c r="T536" t="s">
        <v>74</v>
      </c>
      <c r="U536" t="s">
        <v>10489</v>
      </c>
      <c r="V536" t="s">
        <v>10490</v>
      </c>
      <c r="W536" t="s">
        <v>10491</v>
      </c>
      <c r="X536" t="s">
        <v>10492</v>
      </c>
      <c r="Y536" t="s">
        <v>10493</v>
      </c>
      <c r="Z536" t="s">
        <v>74</v>
      </c>
      <c r="AA536" t="s">
        <v>10494</v>
      </c>
      <c r="AB536" t="s">
        <v>10495</v>
      </c>
      <c r="AC536" t="s">
        <v>10496</v>
      </c>
      <c r="AD536" t="s">
        <v>10497</v>
      </c>
      <c r="AE536" t="s">
        <v>10498</v>
      </c>
      <c r="AF536" t="s">
        <v>74</v>
      </c>
      <c r="AG536">
        <v>80</v>
      </c>
      <c r="AH536">
        <v>5</v>
      </c>
      <c r="AI536">
        <v>5</v>
      </c>
      <c r="AJ536">
        <v>1</v>
      </c>
      <c r="AK536">
        <v>6</v>
      </c>
      <c r="AL536" t="s">
        <v>6139</v>
      </c>
      <c r="AM536" t="s">
        <v>3353</v>
      </c>
      <c r="AN536" t="s">
        <v>6140</v>
      </c>
      <c r="AO536" t="s">
        <v>10499</v>
      </c>
      <c r="AP536" t="s">
        <v>10500</v>
      </c>
      <c r="AQ536" t="s">
        <v>74</v>
      </c>
      <c r="AR536" t="s">
        <v>10501</v>
      </c>
      <c r="AS536" t="s">
        <v>10502</v>
      </c>
      <c r="AT536" t="s">
        <v>9222</v>
      </c>
      <c r="AU536">
        <v>2018</v>
      </c>
      <c r="AV536">
        <v>98</v>
      </c>
      <c r="AW536" t="s">
        <v>74</v>
      </c>
      <c r="AX536" t="s">
        <v>74</v>
      </c>
      <c r="AY536" t="s">
        <v>74</v>
      </c>
      <c r="AZ536" t="s">
        <v>74</v>
      </c>
      <c r="BA536" t="s">
        <v>74</v>
      </c>
      <c r="BB536">
        <v>85</v>
      </c>
      <c r="BC536">
        <v>91</v>
      </c>
      <c r="BD536" t="s">
        <v>74</v>
      </c>
      <c r="BE536" t="s">
        <v>10503</v>
      </c>
      <c r="BF536" t="str">
        <f>HYPERLINK("http://dx.doi.org/10.1016/j.marpol.2018.09.015","http://dx.doi.org/10.1016/j.marpol.2018.09.015")</f>
        <v>http://dx.doi.org/10.1016/j.marpol.2018.09.015</v>
      </c>
      <c r="BG536" t="s">
        <v>74</v>
      </c>
      <c r="BH536" t="s">
        <v>74</v>
      </c>
      <c r="BI536">
        <v>7</v>
      </c>
      <c r="BJ536" t="s">
        <v>10504</v>
      </c>
      <c r="BK536" t="s">
        <v>10505</v>
      </c>
      <c r="BL536" t="s">
        <v>10506</v>
      </c>
      <c r="BM536" t="s">
        <v>10507</v>
      </c>
      <c r="BN536" t="s">
        <v>74</v>
      </c>
      <c r="BO536" t="s">
        <v>74</v>
      </c>
      <c r="BP536" t="s">
        <v>74</v>
      </c>
      <c r="BQ536" t="s">
        <v>74</v>
      </c>
      <c r="BR536" t="s">
        <v>104</v>
      </c>
      <c r="BS536" t="s">
        <v>10508</v>
      </c>
      <c r="BT536" t="str">
        <f>HYPERLINK("https%3A%2F%2Fwww.webofscience.com%2Fwos%2Fwoscc%2Ffull-record%2FWOS:000454467100010","View Full Record in Web of Science")</f>
        <v>View Full Record in Web of Science</v>
      </c>
    </row>
    <row r="537" spans="1:72" x14ac:dyDescent="0.15">
      <c r="A537" t="s">
        <v>72</v>
      </c>
      <c r="B537" t="s">
        <v>10509</v>
      </c>
      <c r="C537" t="s">
        <v>74</v>
      </c>
      <c r="D537" t="s">
        <v>74</v>
      </c>
      <c r="E537" t="s">
        <v>74</v>
      </c>
      <c r="F537" t="s">
        <v>10510</v>
      </c>
      <c r="G537" t="s">
        <v>74</v>
      </c>
      <c r="H537" t="s">
        <v>74</v>
      </c>
      <c r="I537" t="s">
        <v>10511</v>
      </c>
      <c r="J537" t="s">
        <v>10488</v>
      </c>
      <c r="K537" t="s">
        <v>74</v>
      </c>
      <c r="L537" t="s">
        <v>74</v>
      </c>
      <c r="M537" t="s">
        <v>78</v>
      </c>
      <c r="N537" t="s">
        <v>79</v>
      </c>
      <c r="O537" t="s">
        <v>74</v>
      </c>
      <c r="P537" t="s">
        <v>74</v>
      </c>
      <c r="Q537" t="s">
        <v>74</v>
      </c>
      <c r="R537" t="s">
        <v>74</v>
      </c>
      <c r="S537" t="s">
        <v>74</v>
      </c>
      <c r="T537" t="s">
        <v>10512</v>
      </c>
      <c r="U537" t="s">
        <v>10513</v>
      </c>
      <c r="V537" t="s">
        <v>10514</v>
      </c>
      <c r="W537" t="s">
        <v>10515</v>
      </c>
      <c r="X537" t="s">
        <v>10516</v>
      </c>
      <c r="Y537" t="s">
        <v>10517</v>
      </c>
      <c r="Z537" t="s">
        <v>10518</v>
      </c>
      <c r="AA537" t="s">
        <v>10519</v>
      </c>
      <c r="AB537" t="s">
        <v>10520</v>
      </c>
      <c r="AC537" t="s">
        <v>10521</v>
      </c>
      <c r="AD537" t="s">
        <v>10522</v>
      </c>
      <c r="AE537" t="s">
        <v>10523</v>
      </c>
      <c r="AF537" t="s">
        <v>74</v>
      </c>
      <c r="AG537">
        <v>87</v>
      </c>
      <c r="AH537">
        <v>7</v>
      </c>
      <c r="AI537">
        <v>8</v>
      </c>
      <c r="AJ537">
        <v>1</v>
      </c>
      <c r="AK537">
        <v>15</v>
      </c>
      <c r="AL537" t="s">
        <v>6139</v>
      </c>
      <c r="AM537" t="s">
        <v>3353</v>
      </c>
      <c r="AN537" t="s">
        <v>6140</v>
      </c>
      <c r="AO537" t="s">
        <v>10499</v>
      </c>
      <c r="AP537" t="s">
        <v>10500</v>
      </c>
      <c r="AQ537" t="s">
        <v>74</v>
      </c>
      <c r="AR537" t="s">
        <v>10501</v>
      </c>
      <c r="AS537" t="s">
        <v>10502</v>
      </c>
      <c r="AT537" t="s">
        <v>9222</v>
      </c>
      <c r="AU537">
        <v>2018</v>
      </c>
      <c r="AV537">
        <v>98</v>
      </c>
      <c r="AW537" t="s">
        <v>74</v>
      </c>
      <c r="AX537" t="s">
        <v>74</v>
      </c>
      <c r="AY537" t="s">
        <v>74</v>
      </c>
      <c r="AZ537" t="s">
        <v>74</v>
      </c>
      <c r="BA537" t="s">
        <v>74</v>
      </c>
      <c r="BB537">
        <v>133</v>
      </c>
      <c r="BC537">
        <v>145</v>
      </c>
      <c r="BD537" t="s">
        <v>74</v>
      </c>
      <c r="BE537" t="s">
        <v>10524</v>
      </c>
      <c r="BF537" t="str">
        <f>HYPERLINK("http://dx.doi.org/10.1016/j.marpol.2018.08.011","http://dx.doi.org/10.1016/j.marpol.2018.08.011")</f>
        <v>http://dx.doi.org/10.1016/j.marpol.2018.08.011</v>
      </c>
      <c r="BG537" t="s">
        <v>74</v>
      </c>
      <c r="BH537" t="s">
        <v>74</v>
      </c>
      <c r="BI537">
        <v>13</v>
      </c>
      <c r="BJ537" t="s">
        <v>10504</v>
      </c>
      <c r="BK537" t="s">
        <v>10505</v>
      </c>
      <c r="BL537" t="s">
        <v>10506</v>
      </c>
      <c r="BM537" t="s">
        <v>10507</v>
      </c>
      <c r="BN537" t="s">
        <v>74</v>
      </c>
      <c r="BO537" t="s">
        <v>74</v>
      </c>
      <c r="BP537" t="s">
        <v>74</v>
      </c>
      <c r="BQ537" t="s">
        <v>74</v>
      </c>
      <c r="BR537" t="s">
        <v>104</v>
      </c>
      <c r="BS537" t="s">
        <v>10525</v>
      </c>
      <c r="BT537" t="str">
        <f>HYPERLINK("https%3A%2F%2Fwww.webofscience.com%2Fwos%2Fwoscc%2Ffull-record%2FWOS:000454467100016","View Full Record in Web of Science")</f>
        <v>View Full Record in Web of Science</v>
      </c>
    </row>
    <row r="538" spans="1:72" x14ac:dyDescent="0.15">
      <c r="A538" t="s">
        <v>72</v>
      </c>
      <c r="B538" t="s">
        <v>10526</v>
      </c>
      <c r="C538" t="s">
        <v>74</v>
      </c>
      <c r="D538" t="s">
        <v>74</v>
      </c>
      <c r="E538" t="s">
        <v>74</v>
      </c>
      <c r="F538" t="s">
        <v>10527</v>
      </c>
      <c r="G538" t="s">
        <v>74</v>
      </c>
      <c r="H538" t="s">
        <v>74</v>
      </c>
      <c r="I538" t="s">
        <v>10528</v>
      </c>
      <c r="J538" t="s">
        <v>10529</v>
      </c>
      <c r="K538" t="s">
        <v>74</v>
      </c>
      <c r="L538" t="s">
        <v>74</v>
      </c>
      <c r="M538" t="s">
        <v>78</v>
      </c>
      <c r="N538" t="s">
        <v>79</v>
      </c>
      <c r="O538" t="s">
        <v>74</v>
      </c>
      <c r="P538" t="s">
        <v>74</v>
      </c>
      <c r="Q538" t="s">
        <v>74</v>
      </c>
      <c r="R538" t="s">
        <v>74</v>
      </c>
      <c r="S538" t="s">
        <v>74</v>
      </c>
      <c r="T538" t="s">
        <v>10530</v>
      </c>
      <c r="U538" t="s">
        <v>10531</v>
      </c>
      <c r="V538" t="s">
        <v>10532</v>
      </c>
      <c r="W538" t="s">
        <v>10533</v>
      </c>
      <c r="X538" t="s">
        <v>10534</v>
      </c>
      <c r="Y538" t="s">
        <v>10535</v>
      </c>
      <c r="Z538" t="s">
        <v>10536</v>
      </c>
      <c r="AA538" t="s">
        <v>10537</v>
      </c>
      <c r="AB538" t="s">
        <v>10538</v>
      </c>
      <c r="AC538" t="s">
        <v>10539</v>
      </c>
      <c r="AD538" t="s">
        <v>10540</v>
      </c>
      <c r="AE538" t="s">
        <v>10541</v>
      </c>
      <c r="AF538" t="s">
        <v>74</v>
      </c>
      <c r="AG538">
        <v>91</v>
      </c>
      <c r="AH538">
        <v>7</v>
      </c>
      <c r="AI538">
        <v>9</v>
      </c>
      <c r="AJ538">
        <v>0</v>
      </c>
      <c r="AK538">
        <v>7</v>
      </c>
      <c r="AL538" t="s">
        <v>2316</v>
      </c>
      <c r="AM538" t="s">
        <v>1685</v>
      </c>
      <c r="AN538" t="s">
        <v>2317</v>
      </c>
      <c r="AO538" t="s">
        <v>10542</v>
      </c>
      <c r="AP538" t="s">
        <v>10543</v>
      </c>
      <c r="AQ538" t="s">
        <v>74</v>
      </c>
      <c r="AR538" t="s">
        <v>10544</v>
      </c>
      <c r="AS538" t="s">
        <v>10545</v>
      </c>
      <c r="AT538" t="s">
        <v>9222</v>
      </c>
      <c r="AU538">
        <v>2018</v>
      </c>
      <c r="AV538">
        <v>15</v>
      </c>
      <c r="AW538">
        <v>1</v>
      </c>
      <c r="AX538" t="s">
        <v>74</v>
      </c>
      <c r="AY538" t="s">
        <v>74</v>
      </c>
      <c r="AZ538" t="s">
        <v>74</v>
      </c>
      <c r="BA538" t="s">
        <v>74</v>
      </c>
      <c r="BB538">
        <v>111</v>
      </c>
      <c r="BC538">
        <v>137</v>
      </c>
      <c r="BD538" t="s">
        <v>74</v>
      </c>
      <c r="BE538" t="s">
        <v>10546</v>
      </c>
      <c r="BF538" t="str">
        <f>HYPERLINK("http://dx.doi.org/10.2478/bgeo-2018-0020","http://dx.doi.org/10.2478/bgeo-2018-0020")</f>
        <v>http://dx.doi.org/10.2478/bgeo-2018-0020</v>
      </c>
      <c r="BG538" t="s">
        <v>74</v>
      </c>
      <c r="BH538" t="s">
        <v>74</v>
      </c>
      <c r="BI538">
        <v>27</v>
      </c>
      <c r="BJ538" t="s">
        <v>10547</v>
      </c>
      <c r="BK538" t="s">
        <v>349</v>
      </c>
      <c r="BL538" t="s">
        <v>10548</v>
      </c>
      <c r="BM538" t="s">
        <v>10549</v>
      </c>
      <c r="BN538" t="s">
        <v>74</v>
      </c>
      <c r="BO538" t="s">
        <v>131</v>
      </c>
      <c r="BP538" t="s">
        <v>74</v>
      </c>
      <c r="BQ538" t="s">
        <v>74</v>
      </c>
      <c r="BR538" t="s">
        <v>104</v>
      </c>
      <c r="BS538" t="s">
        <v>10550</v>
      </c>
      <c r="BT538" t="str">
        <f>HYPERLINK("https%3A%2F%2Fwww.webofscience.com%2Fwos%2Fwoscc%2Ffull-record%2FWOS:000454199900010","View Full Record in Web of Science")</f>
        <v>View Full Record in Web of Science</v>
      </c>
    </row>
    <row r="539" spans="1:72" x14ac:dyDescent="0.15">
      <c r="A539" t="s">
        <v>72</v>
      </c>
      <c r="B539" t="s">
        <v>10551</v>
      </c>
      <c r="C539" t="s">
        <v>74</v>
      </c>
      <c r="D539" t="s">
        <v>74</v>
      </c>
      <c r="E539" t="s">
        <v>74</v>
      </c>
      <c r="F539" t="s">
        <v>10552</v>
      </c>
      <c r="G539" t="s">
        <v>74</v>
      </c>
      <c r="H539" t="s">
        <v>74</v>
      </c>
      <c r="I539" t="s">
        <v>10553</v>
      </c>
      <c r="J539" t="s">
        <v>4792</v>
      </c>
      <c r="K539" t="s">
        <v>74</v>
      </c>
      <c r="L539" t="s">
        <v>74</v>
      </c>
      <c r="M539" t="s">
        <v>78</v>
      </c>
      <c r="N539" t="s">
        <v>79</v>
      </c>
      <c r="O539" t="s">
        <v>74</v>
      </c>
      <c r="P539" t="s">
        <v>74</v>
      </c>
      <c r="Q539" t="s">
        <v>74</v>
      </c>
      <c r="R539" t="s">
        <v>74</v>
      </c>
      <c r="S539" t="s">
        <v>74</v>
      </c>
      <c r="T539" t="s">
        <v>10554</v>
      </c>
      <c r="U539" t="s">
        <v>10555</v>
      </c>
      <c r="V539" t="s">
        <v>10556</v>
      </c>
      <c r="W539" t="s">
        <v>10557</v>
      </c>
      <c r="X539" t="s">
        <v>10558</v>
      </c>
      <c r="Y539" t="s">
        <v>10559</v>
      </c>
      <c r="Z539" t="s">
        <v>10560</v>
      </c>
      <c r="AA539" t="s">
        <v>10561</v>
      </c>
      <c r="AB539" t="s">
        <v>10562</v>
      </c>
      <c r="AC539" t="s">
        <v>10563</v>
      </c>
      <c r="AD539" t="s">
        <v>10564</v>
      </c>
      <c r="AE539" t="s">
        <v>10565</v>
      </c>
      <c r="AF539" t="s">
        <v>74</v>
      </c>
      <c r="AG539">
        <v>106</v>
      </c>
      <c r="AH539">
        <v>15</v>
      </c>
      <c r="AI539">
        <v>20</v>
      </c>
      <c r="AJ539">
        <v>1</v>
      </c>
      <c r="AK539">
        <v>20</v>
      </c>
      <c r="AL539" t="s">
        <v>3670</v>
      </c>
      <c r="AM539" t="s">
        <v>3671</v>
      </c>
      <c r="AN539" t="s">
        <v>3672</v>
      </c>
      <c r="AO539" t="s">
        <v>4805</v>
      </c>
      <c r="AP539" t="s">
        <v>74</v>
      </c>
      <c r="AQ539" t="s">
        <v>74</v>
      </c>
      <c r="AR539" t="s">
        <v>4806</v>
      </c>
      <c r="AS539" t="s">
        <v>4807</v>
      </c>
      <c r="AT539" t="s">
        <v>9222</v>
      </c>
      <c r="AU539">
        <v>2018</v>
      </c>
      <c r="AV539">
        <v>8</v>
      </c>
      <c r="AW539">
        <v>23</v>
      </c>
      <c r="AX539" t="s">
        <v>74</v>
      </c>
      <c r="AY539" t="s">
        <v>74</v>
      </c>
      <c r="AZ539" t="s">
        <v>74</v>
      </c>
      <c r="BA539" t="s">
        <v>74</v>
      </c>
      <c r="BB539">
        <v>11857</v>
      </c>
      <c r="BC539">
        <v>11874</v>
      </c>
      <c r="BD539" t="s">
        <v>74</v>
      </c>
      <c r="BE539" t="s">
        <v>10566</v>
      </c>
      <c r="BF539" t="str">
        <f>HYPERLINK("http://dx.doi.org/10.1002/ece3.4643","http://dx.doi.org/10.1002/ece3.4643")</f>
        <v>http://dx.doi.org/10.1002/ece3.4643</v>
      </c>
      <c r="BG539" t="s">
        <v>74</v>
      </c>
      <c r="BH539" t="s">
        <v>74</v>
      </c>
      <c r="BI539">
        <v>18</v>
      </c>
      <c r="BJ539" t="s">
        <v>4809</v>
      </c>
      <c r="BK539" t="s">
        <v>101</v>
      </c>
      <c r="BL539" t="s">
        <v>4810</v>
      </c>
      <c r="BM539" t="s">
        <v>10567</v>
      </c>
      <c r="BN539">
        <v>30598782</v>
      </c>
      <c r="BO539" t="s">
        <v>221</v>
      </c>
      <c r="BP539" t="s">
        <v>74</v>
      </c>
      <c r="BQ539" t="s">
        <v>74</v>
      </c>
      <c r="BR539" t="s">
        <v>104</v>
      </c>
      <c r="BS539" t="s">
        <v>10568</v>
      </c>
      <c r="BT539" t="str">
        <f>HYPERLINK("https%3A%2F%2Fwww.webofscience.com%2Fwos%2Fwoscc%2Ffull-record%2FWOS:000454107200041","View Full Record in Web of Science")</f>
        <v>View Full Record in Web of Science</v>
      </c>
    </row>
    <row r="540" spans="1:72" x14ac:dyDescent="0.15">
      <c r="A540" t="s">
        <v>72</v>
      </c>
      <c r="B540" t="s">
        <v>10569</v>
      </c>
      <c r="C540" t="s">
        <v>74</v>
      </c>
      <c r="D540" t="s">
        <v>74</v>
      </c>
      <c r="E540" t="s">
        <v>74</v>
      </c>
      <c r="F540" t="s">
        <v>10570</v>
      </c>
      <c r="G540" t="s">
        <v>74</v>
      </c>
      <c r="H540" t="s">
        <v>74</v>
      </c>
      <c r="I540" t="s">
        <v>10571</v>
      </c>
      <c r="J540" t="s">
        <v>3343</v>
      </c>
      <c r="K540" t="s">
        <v>74</v>
      </c>
      <c r="L540" t="s">
        <v>74</v>
      </c>
      <c r="M540" t="s">
        <v>78</v>
      </c>
      <c r="N540" t="s">
        <v>79</v>
      </c>
      <c r="O540" t="s">
        <v>74</v>
      </c>
      <c r="P540" t="s">
        <v>74</v>
      </c>
      <c r="Q540" t="s">
        <v>74</v>
      </c>
      <c r="R540" t="s">
        <v>74</v>
      </c>
      <c r="S540" t="s">
        <v>74</v>
      </c>
      <c r="T540" t="s">
        <v>10572</v>
      </c>
      <c r="U540" t="s">
        <v>10573</v>
      </c>
      <c r="V540" t="s">
        <v>10574</v>
      </c>
      <c r="W540" t="s">
        <v>10575</v>
      </c>
      <c r="X540" t="s">
        <v>10576</v>
      </c>
      <c r="Y540" t="s">
        <v>3307</v>
      </c>
      <c r="Z540" t="s">
        <v>3308</v>
      </c>
      <c r="AA540" t="s">
        <v>10577</v>
      </c>
      <c r="AB540" t="s">
        <v>10578</v>
      </c>
      <c r="AC540" t="s">
        <v>10579</v>
      </c>
      <c r="AD540" t="s">
        <v>10579</v>
      </c>
      <c r="AE540" t="s">
        <v>10580</v>
      </c>
      <c r="AF540" t="s">
        <v>74</v>
      </c>
      <c r="AG540">
        <v>54</v>
      </c>
      <c r="AH540">
        <v>31</v>
      </c>
      <c r="AI540">
        <v>32</v>
      </c>
      <c r="AJ540">
        <v>2</v>
      </c>
      <c r="AK540">
        <v>21</v>
      </c>
      <c r="AL540" t="s">
        <v>3352</v>
      </c>
      <c r="AM540" t="s">
        <v>3353</v>
      </c>
      <c r="AN540" t="s">
        <v>3354</v>
      </c>
      <c r="AO540" t="s">
        <v>3355</v>
      </c>
      <c r="AP540" t="s">
        <v>3356</v>
      </c>
      <c r="AQ540" t="s">
        <v>74</v>
      </c>
      <c r="AR540" t="s">
        <v>3357</v>
      </c>
      <c r="AS540" t="s">
        <v>3358</v>
      </c>
      <c r="AT540" t="s">
        <v>9222</v>
      </c>
      <c r="AU540">
        <v>2018</v>
      </c>
      <c r="AV540">
        <v>137</v>
      </c>
      <c r="AW540" t="s">
        <v>74</v>
      </c>
      <c r="AX540" t="s">
        <v>74</v>
      </c>
      <c r="AY540" t="s">
        <v>74</v>
      </c>
      <c r="AZ540" t="s">
        <v>74</v>
      </c>
      <c r="BA540" t="s">
        <v>74</v>
      </c>
      <c r="BB540">
        <v>96</v>
      </c>
      <c r="BC540">
        <v>103</v>
      </c>
      <c r="BD540" t="s">
        <v>74</v>
      </c>
      <c r="BE540" t="s">
        <v>10581</v>
      </c>
      <c r="BF540" t="str">
        <f>HYPERLINK("http://dx.doi.org/10.1016/j.marpolbul.2018.10.016","http://dx.doi.org/10.1016/j.marpolbul.2018.10.016")</f>
        <v>http://dx.doi.org/10.1016/j.marpolbul.2018.10.016</v>
      </c>
      <c r="BG540" t="s">
        <v>74</v>
      </c>
      <c r="BH540" t="s">
        <v>74</v>
      </c>
      <c r="BI540">
        <v>8</v>
      </c>
      <c r="BJ540" t="s">
        <v>3360</v>
      </c>
      <c r="BK540" t="s">
        <v>101</v>
      </c>
      <c r="BL540" t="s">
        <v>3361</v>
      </c>
      <c r="BM540" t="s">
        <v>10582</v>
      </c>
      <c r="BN540">
        <v>30503494</v>
      </c>
      <c r="BO540" t="s">
        <v>404</v>
      </c>
      <c r="BP540" t="s">
        <v>74</v>
      </c>
      <c r="BQ540" t="s">
        <v>74</v>
      </c>
      <c r="BR540" t="s">
        <v>104</v>
      </c>
      <c r="BS540" t="s">
        <v>10583</v>
      </c>
      <c r="BT540" t="str">
        <f>HYPERLINK("https%3A%2F%2Fwww.webofscience.com%2Fwos%2Fwoscc%2Ffull-record%2FWOS:000453490300013","View Full Record in Web of Science")</f>
        <v>View Full Record in Web of Science</v>
      </c>
    </row>
    <row r="541" spans="1:72" x14ac:dyDescent="0.15">
      <c r="A541" t="s">
        <v>72</v>
      </c>
      <c r="B541" t="s">
        <v>10584</v>
      </c>
      <c r="C541" t="s">
        <v>74</v>
      </c>
      <c r="D541" t="s">
        <v>74</v>
      </c>
      <c r="E541" t="s">
        <v>74</v>
      </c>
      <c r="F541" t="s">
        <v>10585</v>
      </c>
      <c r="G541" t="s">
        <v>74</v>
      </c>
      <c r="H541" t="s">
        <v>74</v>
      </c>
      <c r="I541" t="s">
        <v>10586</v>
      </c>
      <c r="J541" t="s">
        <v>3343</v>
      </c>
      <c r="K541" t="s">
        <v>74</v>
      </c>
      <c r="L541" t="s">
        <v>74</v>
      </c>
      <c r="M541" t="s">
        <v>78</v>
      </c>
      <c r="N541" t="s">
        <v>79</v>
      </c>
      <c r="O541" t="s">
        <v>74</v>
      </c>
      <c r="P541" t="s">
        <v>74</v>
      </c>
      <c r="Q541" t="s">
        <v>74</v>
      </c>
      <c r="R541" t="s">
        <v>74</v>
      </c>
      <c r="S541" t="s">
        <v>74</v>
      </c>
      <c r="T541" t="s">
        <v>10587</v>
      </c>
      <c r="U541" t="s">
        <v>10588</v>
      </c>
      <c r="V541" t="s">
        <v>10589</v>
      </c>
      <c r="W541" t="s">
        <v>10590</v>
      </c>
      <c r="X541" t="s">
        <v>10591</v>
      </c>
      <c r="Y541" t="s">
        <v>10592</v>
      </c>
      <c r="Z541" t="s">
        <v>10593</v>
      </c>
      <c r="AA541" t="s">
        <v>10594</v>
      </c>
      <c r="AB541" t="s">
        <v>10595</v>
      </c>
      <c r="AC541" t="s">
        <v>10596</v>
      </c>
      <c r="AD541" t="s">
        <v>10597</v>
      </c>
      <c r="AE541" t="s">
        <v>10598</v>
      </c>
      <c r="AF541" t="s">
        <v>74</v>
      </c>
      <c r="AG541">
        <v>60</v>
      </c>
      <c r="AH541">
        <v>4</v>
      </c>
      <c r="AI541">
        <v>4</v>
      </c>
      <c r="AJ541">
        <v>0</v>
      </c>
      <c r="AK541">
        <v>21</v>
      </c>
      <c r="AL541" t="s">
        <v>3352</v>
      </c>
      <c r="AM541" t="s">
        <v>3353</v>
      </c>
      <c r="AN541" t="s">
        <v>3354</v>
      </c>
      <c r="AO541" t="s">
        <v>3355</v>
      </c>
      <c r="AP541" t="s">
        <v>3356</v>
      </c>
      <c r="AQ541" t="s">
        <v>74</v>
      </c>
      <c r="AR541" t="s">
        <v>3357</v>
      </c>
      <c r="AS541" t="s">
        <v>3358</v>
      </c>
      <c r="AT541" t="s">
        <v>9222</v>
      </c>
      <c r="AU541">
        <v>2018</v>
      </c>
      <c r="AV541">
        <v>137</v>
      </c>
      <c r="AW541" t="s">
        <v>74</v>
      </c>
      <c r="AX541" t="s">
        <v>74</v>
      </c>
      <c r="AY541" t="s">
        <v>74</v>
      </c>
      <c r="AZ541" t="s">
        <v>74</v>
      </c>
      <c r="BA541" t="s">
        <v>74</v>
      </c>
      <c r="BB541">
        <v>113</v>
      </c>
      <c r="BC541">
        <v>118</v>
      </c>
      <c r="BD541" t="s">
        <v>74</v>
      </c>
      <c r="BE541" t="s">
        <v>10599</v>
      </c>
      <c r="BF541" t="str">
        <f>HYPERLINK("http://dx.doi.org/10.1016/j.marpolbul.2018.10.008","http://dx.doi.org/10.1016/j.marpolbul.2018.10.008")</f>
        <v>http://dx.doi.org/10.1016/j.marpolbul.2018.10.008</v>
      </c>
      <c r="BG541" t="s">
        <v>74</v>
      </c>
      <c r="BH541" t="s">
        <v>74</v>
      </c>
      <c r="BI541">
        <v>6</v>
      </c>
      <c r="BJ541" t="s">
        <v>3360</v>
      </c>
      <c r="BK541" t="s">
        <v>101</v>
      </c>
      <c r="BL541" t="s">
        <v>3361</v>
      </c>
      <c r="BM541" t="s">
        <v>10582</v>
      </c>
      <c r="BN541">
        <v>30503416</v>
      </c>
      <c r="BO541" t="s">
        <v>2948</v>
      </c>
      <c r="BP541" t="s">
        <v>74</v>
      </c>
      <c r="BQ541" t="s">
        <v>74</v>
      </c>
      <c r="BR541" t="s">
        <v>104</v>
      </c>
      <c r="BS541" t="s">
        <v>10600</v>
      </c>
      <c r="BT541" t="str">
        <f>HYPERLINK("https%3A%2F%2Fwww.webofscience.com%2Fwos%2Fwoscc%2Ffull-record%2FWOS:000453490300015","View Full Record in Web of Science")</f>
        <v>View Full Record in Web of Science</v>
      </c>
    </row>
    <row r="542" spans="1:72" x14ac:dyDescent="0.15">
      <c r="A542" t="s">
        <v>72</v>
      </c>
      <c r="B542" t="s">
        <v>10601</v>
      </c>
      <c r="C542" t="s">
        <v>74</v>
      </c>
      <c r="D542" t="s">
        <v>74</v>
      </c>
      <c r="E542" t="s">
        <v>74</v>
      </c>
      <c r="F542" t="s">
        <v>10602</v>
      </c>
      <c r="G542" t="s">
        <v>74</v>
      </c>
      <c r="H542" t="s">
        <v>74</v>
      </c>
      <c r="I542" t="s">
        <v>10603</v>
      </c>
      <c r="J542" t="s">
        <v>3343</v>
      </c>
      <c r="K542" t="s">
        <v>74</v>
      </c>
      <c r="L542" t="s">
        <v>74</v>
      </c>
      <c r="M542" t="s">
        <v>78</v>
      </c>
      <c r="N542" t="s">
        <v>79</v>
      </c>
      <c r="O542" t="s">
        <v>74</v>
      </c>
      <c r="P542" t="s">
        <v>74</v>
      </c>
      <c r="Q542" t="s">
        <v>74</v>
      </c>
      <c r="R542" t="s">
        <v>74</v>
      </c>
      <c r="S542" t="s">
        <v>74</v>
      </c>
      <c r="T542" t="s">
        <v>10604</v>
      </c>
      <c r="U542" t="s">
        <v>10605</v>
      </c>
      <c r="V542" t="s">
        <v>10606</v>
      </c>
      <c r="W542" t="s">
        <v>10607</v>
      </c>
      <c r="X542" t="s">
        <v>10608</v>
      </c>
      <c r="Y542" t="s">
        <v>10609</v>
      </c>
      <c r="Z542" t="s">
        <v>10610</v>
      </c>
      <c r="AA542" t="s">
        <v>10611</v>
      </c>
      <c r="AB542" t="s">
        <v>10612</v>
      </c>
      <c r="AC542" t="s">
        <v>10613</v>
      </c>
      <c r="AD542" t="s">
        <v>10614</v>
      </c>
      <c r="AE542" t="s">
        <v>10615</v>
      </c>
      <c r="AF542" t="s">
        <v>74</v>
      </c>
      <c r="AG542">
        <v>48</v>
      </c>
      <c r="AH542">
        <v>26</v>
      </c>
      <c r="AI542">
        <v>27</v>
      </c>
      <c r="AJ542">
        <v>3</v>
      </c>
      <c r="AK542">
        <v>31</v>
      </c>
      <c r="AL542" t="s">
        <v>3352</v>
      </c>
      <c r="AM542" t="s">
        <v>3353</v>
      </c>
      <c r="AN542" t="s">
        <v>3354</v>
      </c>
      <c r="AO542" t="s">
        <v>3355</v>
      </c>
      <c r="AP542" t="s">
        <v>3356</v>
      </c>
      <c r="AQ542" t="s">
        <v>74</v>
      </c>
      <c r="AR542" t="s">
        <v>3357</v>
      </c>
      <c r="AS542" t="s">
        <v>3358</v>
      </c>
      <c r="AT542" t="s">
        <v>9222</v>
      </c>
      <c r="AU542">
        <v>2018</v>
      </c>
      <c r="AV542">
        <v>137</v>
      </c>
      <c r="AW542" t="s">
        <v>74</v>
      </c>
      <c r="AX542" t="s">
        <v>74</v>
      </c>
      <c r="AY542" t="s">
        <v>74</v>
      </c>
      <c r="AZ542" t="s">
        <v>74</v>
      </c>
      <c r="BA542" t="s">
        <v>74</v>
      </c>
      <c r="BB542">
        <v>246</v>
      </c>
      <c r="BC542">
        <v>251</v>
      </c>
      <c r="BD542" t="s">
        <v>74</v>
      </c>
      <c r="BE542" t="s">
        <v>10616</v>
      </c>
      <c r="BF542" t="str">
        <f>HYPERLINK("http://dx.doi.org/10.1016/j.marpolbul.2018.10.022","http://dx.doi.org/10.1016/j.marpolbul.2018.10.022")</f>
        <v>http://dx.doi.org/10.1016/j.marpolbul.2018.10.022</v>
      </c>
      <c r="BG542" t="s">
        <v>74</v>
      </c>
      <c r="BH542" t="s">
        <v>74</v>
      </c>
      <c r="BI542">
        <v>6</v>
      </c>
      <c r="BJ542" t="s">
        <v>3360</v>
      </c>
      <c r="BK542" t="s">
        <v>101</v>
      </c>
      <c r="BL542" t="s">
        <v>3361</v>
      </c>
      <c r="BM542" t="s">
        <v>10582</v>
      </c>
      <c r="BN542">
        <v>30503432</v>
      </c>
      <c r="BO542" t="s">
        <v>74</v>
      </c>
      <c r="BP542" t="s">
        <v>74</v>
      </c>
      <c r="BQ542" t="s">
        <v>74</v>
      </c>
      <c r="BR542" t="s">
        <v>104</v>
      </c>
      <c r="BS542" t="s">
        <v>10617</v>
      </c>
      <c r="BT542" t="str">
        <f>HYPERLINK("https%3A%2F%2Fwww.webofscience.com%2Fwos%2Fwoscc%2Ffull-record%2FWOS:000453490300029","View Full Record in Web of Science")</f>
        <v>View Full Record in Web of Science</v>
      </c>
    </row>
    <row r="543" spans="1:72" x14ac:dyDescent="0.15">
      <c r="A543" t="s">
        <v>72</v>
      </c>
      <c r="B543" t="s">
        <v>4935</v>
      </c>
      <c r="C543" t="s">
        <v>74</v>
      </c>
      <c r="D543" t="s">
        <v>74</v>
      </c>
      <c r="E543" t="s">
        <v>74</v>
      </c>
      <c r="F543" t="s">
        <v>4935</v>
      </c>
      <c r="G543" t="s">
        <v>74</v>
      </c>
      <c r="H543" t="s">
        <v>74</v>
      </c>
      <c r="I543" t="s">
        <v>10618</v>
      </c>
      <c r="J543" t="s">
        <v>10619</v>
      </c>
      <c r="K543" t="s">
        <v>74</v>
      </c>
      <c r="L543" t="s">
        <v>74</v>
      </c>
      <c r="M543" t="s">
        <v>78</v>
      </c>
      <c r="N543" t="s">
        <v>4937</v>
      </c>
      <c r="O543" t="s">
        <v>74</v>
      </c>
      <c r="P543" t="s">
        <v>74</v>
      </c>
      <c r="Q543" t="s">
        <v>74</v>
      </c>
      <c r="R543" t="s">
        <v>74</v>
      </c>
      <c r="S543" t="s">
        <v>74</v>
      </c>
      <c r="T543" t="s">
        <v>74</v>
      </c>
      <c r="U543" t="s">
        <v>74</v>
      </c>
      <c r="V543" t="s">
        <v>74</v>
      </c>
      <c r="W543" t="s">
        <v>74</v>
      </c>
      <c r="X543" t="s">
        <v>74</v>
      </c>
      <c r="Y543" t="s">
        <v>74</v>
      </c>
      <c r="Z543" t="s">
        <v>74</v>
      </c>
      <c r="AA543" t="s">
        <v>74</v>
      </c>
      <c r="AB543" t="s">
        <v>74</v>
      </c>
      <c r="AC543" t="s">
        <v>74</v>
      </c>
      <c r="AD543" t="s">
        <v>74</v>
      </c>
      <c r="AE543" t="s">
        <v>74</v>
      </c>
      <c r="AF543" t="s">
        <v>74</v>
      </c>
      <c r="AG543">
        <v>0</v>
      </c>
      <c r="AH543">
        <v>0</v>
      </c>
      <c r="AI543">
        <v>0</v>
      </c>
      <c r="AJ543">
        <v>0</v>
      </c>
      <c r="AK543">
        <v>0</v>
      </c>
      <c r="AL543" t="s">
        <v>10620</v>
      </c>
      <c r="AM543" t="s">
        <v>1402</v>
      </c>
      <c r="AN543" t="s">
        <v>10621</v>
      </c>
      <c r="AO543" t="s">
        <v>10622</v>
      </c>
      <c r="AP543" t="s">
        <v>10623</v>
      </c>
      <c r="AQ543" t="s">
        <v>74</v>
      </c>
      <c r="AR543" t="s">
        <v>10624</v>
      </c>
      <c r="AS543" t="s">
        <v>10625</v>
      </c>
      <c r="AT543" t="s">
        <v>9222</v>
      </c>
      <c r="AU543">
        <v>2018</v>
      </c>
      <c r="AV543">
        <v>46</v>
      </c>
      <c r="AW543">
        <v>3</v>
      </c>
      <c r="AX543" t="s">
        <v>74</v>
      </c>
      <c r="AY543" t="s">
        <v>74</v>
      </c>
      <c r="AZ543" t="s">
        <v>74</v>
      </c>
      <c r="BA543" t="s">
        <v>74</v>
      </c>
      <c r="BB543">
        <v>293</v>
      </c>
      <c r="BC543">
        <v>293</v>
      </c>
      <c r="BD543" t="s">
        <v>74</v>
      </c>
      <c r="BE543" t="s">
        <v>74</v>
      </c>
      <c r="BF543" t="s">
        <v>74</v>
      </c>
      <c r="BG543" t="s">
        <v>74</v>
      </c>
      <c r="BH543" t="s">
        <v>74</v>
      </c>
      <c r="BI543">
        <v>1</v>
      </c>
      <c r="BJ543" t="s">
        <v>10626</v>
      </c>
      <c r="BK543" t="s">
        <v>101</v>
      </c>
      <c r="BL543" t="s">
        <v>10626</v>
      </c>
      <c r="BM543" t="s">
        <v>10627</v>
      </c>
      <c r="BN543" t="s">
        <v>74</v>
      </c>
      <c r="BO543" t="s">
        <v>74</v>
      </c>
      <c r="BP543" t="s">
        <v>74</v>
      </c>
      <c r="BQ543" t="s">
        <v>74</v>
      </c>
      <c r="BR543" t="s">
        <v>104</v>
      </c>
      <c r="BS543" t="s">
        <v>10628</v>
      </c>
      <c r="BT543" t="str">
        <f>HYPERLINK("https%3A%2F%2Fwww.webofscience.com%2Fwos%2Fwoscc%2Ffull-record%2FWOS:000453841500017","View Full Record in Web of Science")</f>
        <v>View Full Record in Web of Science</v>
      </c>
    </row>
    <row r="544" spans="1:72" x14ac:dyDescent="0.15">
      <c r="A544" t="s">
        <v>72</v>
      </c>
      <c r="B544" t="s">
        <v>10629</v>
      </c>
      <c r="C544" t="s">
        <v>74</v>
      </c>
      <c r="D544" t="s">
        <v>74</v>
      </c>
      <c r="E544" t="s">
        <v>74</v>
      </c>
      <c r="F544" t="s">
        <v>10630</v>
      </c>
      <c r="G544" t="s">
        <v>74</v>
      </c>
      <c r="H544" t="s">
        <v>74</v>
      </c>
      <c r="I544" t="s">
        <v>10631</v>
      </c>
      <c r="J544" t="s">
        <v>10632</v>
      </c>
      <c r="K544" t="s">
        <v>74</v>
      </c>
      <c r="L544" t="s">
        <v>74</v>
      </c>
      <c r="M544" t="s">
        <v>78</v>
      </c>
      <c r="N544" t="s">
        <v>79</v>
      </c>
      <c r="O544" t="s">
        <v>74</v>
      </c>
      <c r="P544" t="s">
        <v>74</v>
      </c>
      <c r="Q544" t="s">
        <v>74</v>
      </c>
      <c r="R544" t="s">
        <v>74</v>
      </c>
      <c r="S544" t="s">
        <v>74</v>
      </c>
      <c r="T544" t="s">
        <v>10633</v>
      </c>
      <c r="U544" t="s">
        <v>10634</v>
      </c>
      <c r="V544" t="s">
        <v>10635</v>
      </c>
      <c r="W544" t="s">
        <v>10636</v>
      </c>
      <c r="X544" t="s">
        <v>10637</v>
      </c>
      <c r="Y544" t="s">
        <v>10638</v>
      </c>
      <c r="Z544" t="s">
        <v>10639</v>
      </c>
      <c r="AA544" t="s">
        <v>74</v>
      </c>
      <c r="AB544" t="s">
        <v>10640</v>
      </c>
      <c r="AC544" t="s">
        <v>10641</v>
      </c>
      <c r="AD544" t="s">
        <v>10642</v>
      </c>
      <c r="AE544" t="s">
        <v>10643</v>
      </c>
      <c r="AF544" t="s">
        <v>74</v>
      </c>
      <c r="AG544">
        <v>122</v>
      </c>
      <c r="AH544">
        <v>13</v>
      </c>
      <c r="AI544">
        <v>14</v>
      </c>
      <c r="AJ544">
        <v>0</v>
      </c>
      <c r="AK544">
        <v>27</v>
      </c>
      <c r="AL544" t="s">
        <v>10644</v>
      </c>
      <c r="AM544" t="s">
        <v>10645</v>
      </c>
      <c r="AN544" t="s">
        <v>10646</v>
      </c>
      <c r="AO544" t="s">
        <v>10647</v>
      </c>
      <c r="AP544" t="s">
        <v>10648</v>
      </c>
      <c r="AQ544" t="s">
        <v>74</v>
      </c>
      <c r="AR544" t="s">
        <v>10649</v>
      </c>
      <c r="AS544" t="s">
        <v>10650</v>
      </c>
      <c r="AT544" t="s">
        <v>9222</v>
      </c>
      <c r="AU544">
        <v>2018</v>
      </c>
      <c r="AV544">
        <v>103</v>
      </c>
      <c r="AW544">
        <v>12</v>
      </c>
      <c r="AX544" t="s">
        <v>74</v>
      </c>
      <c r="AY544" t="s">
        <v>74</v>
      </c>
      <c r="AZ544" t="s">
        <v>74</v>
      </c>
      <c r="BA544" t="s">
        <v>74</v>
      </c>
      <c r="BB544">
        <v>2011</v>
      </c>
      <c r="BC544">
        <v>2027</v>
      </c>
      <c r="BD544" t="s">
        <v>74</v>
      </c>
      <c r="BE544" t="s">
        <v>10651</v>
      </c>
      <c r="BF544" t="str">
        <f>HYPERLINK("http://dx.doi.org/10.2138/am-2018-6520","http://dx.doi.org/10.2138/am-2018-6520")</f>
        <v>http://dx.doi.org/10.2138/am-2018-6520</v>
      </c>
      <c r="BG544" t="s">
        <v>74</v>
      </c>
      <c r="BH544" t="s">
        <v>74</v>
      </c>
      <c r="BI544">
        <v>17</v>
      </c>
      <c r="BJ544" t="s">
        <v>10652</v>
      </c>
      <c r="BK544" t="s">
        <v>101</v>
      </c>
      <c r="BL544" t="s">
        <v>10652</v>
      </c>
      <c r="BM544" t="s">
        <v>10653</v>
      </c>
      <c r="BN544" t="s">
        <v>74</v>
      </c>
      <c r="BO544" t="s">
        <v>74</v>
      </c>
      <c r="BP544" t="s">
        <v>74</v>
      </c>
      <c r="BQ544" t="s">
        <v>74</v>
      </c>
      <c r="BR544" t="s">
        <v>104</v>
      </c>
      <c r="BS544" t="s">
        <v>10654</v>
      </c>
      <c r="BT544" t="str">
        <f>HYPERLINK("https%3A%2F%2Fwww.webofscience.com%2Fwos%2Fwoscc%2Ffull-record%2FWOS:000453705600014","View Full Record in Web of Science")</f>
        <v>View Full Record in Web of Science</v>
      </c>
    </row>
    <row r="545" spans="1:72" x14ac:dyDescent="0.15">
      <c r="A545" t="s">
        <v>72</v>
      </c>
      <c r="B545" t="s">
        <v>10655</v>
      </c>
      <c r="C545" t="s">
        <v>74</v>
      </c>
      <c r="D545" t="s">
        <v>74</v>
      </c>
      <c r="E545" t="s">
        <v>74</v>
      </c>
      <c r="F545" t="s">
        <v>10656</v>
      </c>
      <c r="G545" t="s">
        <v>74</v>
      </c>
      <c r="H545" t="s">
        <v>74</v>
      </c>
      <c r="I545" t="s">
        <v>10657</v>
      </c>
      <c r="J545" t="s">
        <v>4942</v>
      </c>
      <c r="K545" t="s">
        <v>74</v>
      </c>
      <c r="L545" t="s">
        <v>74</v>
      </c>
      <c r="M545" t="s">
        <v>78</v>
      </c>
      <c r="N545" t="s">
        <v>79</v>
      </c>
      <c r="O545" t="s">
        <v>74</v>
      </c>
      <c r="P545" t="s">
        <v>74</v>
      </c>
      <c r="Q545" t="s">
        <v>74</v>
      </c>
      <c r="R545" t="s">
        <v>74</v>
      </c>
      <c r="S545" t="s">
        <v>74</v>
      </c>
      <c r="T545" t="s">
        <v>10658</v>
      </c>
      <c r="U545" t="s">
        <v>10659</v>
      </c>
      <c r="V545" t="s">
        <v>10660</v>
      </c>
      <c r="W545" t="s">
        <v>10661</v>
      </c>
      <c r="X545" t="s">
        <v>10662</v>
      </c>
      <c r="Y545" t="s">
        <v>10663</v>
      </c>
      <c r="Z545" t="s">
        <v>10664</v>
      </c>
      <c r="AA545" t="s">
        <v>10665</v>
      </c>
      <c r="AB545" t="s">
        <v>10666</v>
      </c>
      <c r="AC545" t="s">
        <v>10667</v>
      </c>
      <c r="AD545" t="s">
        <v>10668</v>
      </c>
      <c r="AE545" t="s">
        <v>10667</v>
      </c>
      <c r="AF545" t="s">
        <v>74</v>
      </c>
      <c r="AG545">
        <v>62</v>
      </c>
      <c r="AH545">
        <v>40</v>
      </c>
      <c r="AI545">
        <v>40</v>
      </c>
      <c r="AJ545">
        <v>3</v>
      </c>
      <c r="AK545">
        <v>23</v>
      </c>
      <c r="AL545" t="s">
        <v>3670</v>
      </c>
      <c r="AM545" t="s">
        <v>3671</v>
      </c>
      <c r="AN545" t="s">
        <v>3672</v>
      </c>
      <c r="AO545" t="s">
        <v>4954</v>
      </c>
      <c r="AP545" t="s">
        <v>4955</v>
      </c>
      <c r="AQ545" t="s">
        <v>74</v>
      </c>
      <c r="AR545" t="s">
        <v>4956</v>
      </c>
      <c r="AS545" t="s">
        <v>4957</v>
      </c>
      <c r="AT545" t="s">
        <v>9222</v>
      </c>
      <c r="AU545">
        <v>2018</v>
      </c>
      <c r="AV545">
        <v>28</v>
      </c>
      <c r="AW545">
        <v>6</v>
      </c>
      <c r="AX545" t="s">
        <v>74</v>
      </c>
      <c r="AY545" t="s">
        <v>74</v>
      </c>
      <c r="AZ545" t="s">
        <v>74</v>
      </c>
      <c r="BA545" t="s">
        <v>74</v>
      </c>
      <c r="BB545">
        <v>1337</v>
      </c>
      <c r="BC545">
        <v>1350</v>
      </c>
      <c r="BD545" t="s">
        <v>74</v>
      </c>
      <c r="BE545" t="s">
        <v>10669</v>
      </c>
      <c r="BF545" t="str">
        <f>HYPERLINK("http://dx.doi.org/10.1002/aqc.2934","http://dx.doi.org/10.1002/aqc.2934")</f>
        <v>http://dx.doi.org/10.1002/aqc.2934</v>
      </c>
      <c r="BG545" t="s">
        <v>74</v>
      </c>
      <c r="BH545" t="s">
        <v>74</v>
      </c>
      <c r="BI545">
        <v>14</v>
      </c>
      <c r="BJ545" t="s">
        <v>4959</v>
      </c>
      <c r="BK545" t="s">
        <v>3493</v>
      </c>
      <c r="BL545" t="s">
        <v>4960</v>
      </c>
      <c r="BM545" t="s">
        <v>10670</v>
      </c>
      <c r="BN545" t="s">
        <v>74</v>
      </c>
      <c r="BO545" t="s">
        <v>162</v>
      </c>
      <c r="BP545" t="s">
        <v>74</v>
      </c>
      <c r="BQ545" t="s">
        <v>74</v>
      </c>
      <c r="BR545" t="s">
        <v>104</v>
      </c>
      <c r="BS545" t="s">
        <v>10671</v>
      </c>
      <c r="BT545" t="str">
        <f>HYPERLINK("https%3A%2F%2Fwww.webofscience.com%2Fwos%2Fwoscc%2Ffull-record%2FWOS:000453874900008","View Full Record in Web of Science")</f>
        <v>View Full Record in Web of Science</v>
      </c>
    </row>
    <row r="546" spans="1:72" x14ac:dyDescent="0.15">
      <c r="A546" t="s">
        <v>72</v>
      </c>
      <c r="B546" t="s">
        <v>10672</v>
      </c>
      <c r="C546" t="s">
        <v>74</v>
      </c>
      <c r="D546" t="s">
        <v>74</v>
      </c>
      <c r="E546" t="s">
        <v>74</v>
      </c>
      <c r="F546" t="s">
        <v>10673</v>
      </c>
      <c r="G546" t="s">
        <v>74</v>
      </c>
      <c r="H546" t="s">
        <v>74</v>
      </c>
      <c r="I546" t="s">
        <v>10674</v>
      </c>
      <c r="J546" t="s">
        <v>10675</v>
      </c>
      <c r="K546" t="s">
        <v>74</v>
      </c>
      <c r="L546" t="s">
        <v>74</v>
      </c>
      <c r="M546" t="s">
        <v>78</v>
      </c>
      <c r="N546" t="s">
        <v>79</v>
      </c>
      <c r="O546" t="s">
        <v>74</v>
      </c>
      <c r="P546" t="s">
        <v>74</v>
      </c>
      <c r="Q546" t="s">
        <v>74</v>
      </c>
      <c r="R546" t="s">
        <v>74</v>
      </c>
      <c r="S546" t="s">
        <v>74</v>
      </c>
      <c r="T546" t="s">
        <v>10676</v>
      </c>
      <c r="U546" t="s">
        <v>10677</v>
      </c>
      <c r="V546" t="s">
        <v>10678</v>
      </c>
      <c r="W546" t="s">
        <v>10679</v>
      </c>
      <c r="X546" t="s">
        <v>10680</v>
      </c>
      <c r="Y546" t="s">
        <v>10681</v>
      </c>
      <c r="Z546" t="s">
        <v>10682</v>
      </c>
      <c r="AA546" t="s">
        <v>10683</v>
      </c>
      <c r="AB546" t="s">
        <v>10684</v>
      </c>
      <c r="AC546" t="s">
        <v>10685</v>
      </c>
      <c r="AD546" t="s">
        <v>2819</v>
      </c>
      <c r="AE546" t="s">
        <v>74</v>
      </c>
      <c r="AF546" t="s">
        <v>74</v>
      </c>
      <c r="AG546">
        <v>30</v>
      </c>
      <c r="AH546">
        <v>7</v>
      </c>
      <c r="AI546">
        <v>8</v>
      </c>
      <c r="AJ546">
        <v>0</v>
      </c>
      <c r="AK546">
        <v>41</v>
      </c>
      <c r="AL546" t="s">
        <v>10644</v>
      </c>
      <c r="AM546" t="s">
        <v>10645</v>
      </c>
      <c r="AN546" t="s">
        <v>10646</v>
      </c>
      <c r="AO546" t="s">
        <v>10686</v>
      </c>
      <c r="AP546" t="s">
        <v>10687</v>
      </c>
      <c r="AQ546" t="s">
        <v>74</v>
      </c>
      <c r="AR546" t="s">
        <v>10675</v>
      </c>
      <c r="AS546" t="s">
        <v>10688</v>
      </c>
      <c r="AT546" t="s">
        <v>9222</v>
      </c>
      <c r="AU546">
        <v>2018</v>
      </c>
      <c r="AV546">
        <v>14</v>
      </c>
      <c r="AW546">
        <v>6</v>
      </c>
      <c r="AX546" t="s">
        <v>74</v>
      </c>
      <c r="AY546" t="s">
        <v>74</v>
      </c>
      <c r="AZ546" t="s">
        <v>74</v>
      </c>
      <c r="BA546" t="s">
        <v>74</v>
      </c>
      <c r="BB546">
        <v>397</v>
      </c>
      <c r="BC546">
        <v>402</v>
      </c>
      <c r="BD546" t="s">
        <v>74</v>
      </c>
      <c r="BE546" t="s">
        <v>10689</v>
      </c>
      <c r="BF546" t="str">
        <f>HYPERLINK("http://dx.doi.org/10.2138/gselements.14.6.397","http://dx.doi.org/10.2138/gselements.14.6.397")</f>
        <v>http://dx.doi.org/10.2138/gselements.14.6.397</v>
      </c>
      <c r="BG546" t="s">
        <v>74</v>
      </c>
      <c r="BH546" t="s">
        <v>74</v>
      </c>
      <c r="BI546">
        <v>6</v>
      </c>
      <c r="BJ546" t="s">
        <v>10652</v>
      </c>
      <c r="BK546" t="s">
        <v>101</v>
      </c>
      <c r="BL546" t="s">
        <v>10652</v>
      </c>
      <c r="BM546" t="s">
        <v>10690</v>
      </c>
      <c r="BN546" t="s">
        <v>74</v>
      </c>
      <c r="BO546" t="s">
        <v>404</v>
      </c>
      <c r="BP546" t="s">
        <v>74</v>
      </c>
      <c r="BQ546" t="s">
        <v>74</v>
      </c>
      <c r="BR546" t="s">
        <v>104</v>
      </c>
      <c r="BS546" t="s">
        <v>10691</v>
      </c>
      <c r="BT546" t="str">
        <f>HYPERLINK("https%3A%2F%2Fwww.webofscience.com%2Fwos%2Fwoscc%2Ffull-record%2FWOS:000453658900006","View Full Record in Web of Science")</f>
        <v>View Full Record in Web of Science</v>
      </c>
    </row>
    <row r="547" spans="1:72" x14ac:dyDescent="0.15">
      <c r="A547" t="s">
        <v>72</v>
      </c>
      <c r="B547" t="s">
        <v>10692</v>
      </c>
      <c r="C547" t="s">
        <v>74</v>
      </c>
      <c r="D547" t="s">
        <v>74</v>
      </c>
      <c r="E547" t="s">
        <v>74</v>
      </c>
      <c r="F547" t="s">
        <v>10693</v>
      </c>
      <c r="G547" t="s">
        <v>74</v>
      </c>
      <c r="H547" t="s">
        <v>74</v>
      </c>
      <c r="I547" t="s">
        <v>10694</v>
      </c>
      <c r="J547" t="s">
        <v>10695</v>
      </c>
      <c r="K547" t="s">
        <v>74</v>
      </c>
      <c r="L547" t="s">
        <v>74</v>
      </c>
      <c r="M547" t="s">
        <v>78</v>
      </c>
      <c r="N547" t="s">
        <v>79</v>
      </c>
      <c r="O547" t="s">
        <v>74</v>
      </c>
      <c r="P547" t="s">
        <v>74</v>
      </c>
      <c r="Q547" t="s">
        <v>74</v>
      </c>
      <c r="R547" t="s">
        <v>74</v>
      </c>
      <c r="S547" t="s">
        <v>74</v>
      </c>
      <c r="T547" t="s">
        <v>10696</v>
      </c>
      <c r="U547" t="s">
        <v>10697</v>
      </c>
      <c r="V547" t="s">
        <v>10698</v>
      </c>
      <c r="W547" t="s">
        <v>10699</v>
      </c>
      <c r="X547" t="s">
        <v>10700</v>
      </c>
      <c r="Y547" t="s">
        <v>10701</v>
      </c>
      <c r="Z547" t="s">
        <v>10702</v>
      </c>
      <c r="AA547" t="s">
        <v>10703</v>
      </c>
      <c r="AB547" t="s">
        <v>10704</v>
      </c>
      <c r="AC547" t="s">
        <v>10705</v>
      </c>
      <c r="AD547" t="s">
        <v>10706</v>
      </c>
      <c r="AE547" t="s">
        <v>10707</v>
      </c>
      <c r="AF547" t="s">
        <v>74</v>
      </c>
      <c r="AG547">
        <v>61</v>
      </c>
      <c r="AH547">
        <v>54</v>
      </c>
      <c r="AI547">
        <v>61</v>
      </c>
      <c r="AJ547">
        <v>6</v>
      </c>
      <c r="AK547">
        <v>45</v>
      </c>
      <c r="AL547" t="s">
        <v>10708</v>
      </c>
      <c r="AM547" t="s">
        <v>2290</v>
      </c>
      <c r="AN547" t="s">
        <v>7614</v>
      </c>
      <c r="AO547" t="s">
        <v>10709</v>
      </c>
      <c r="AP547" t="s">
        <v>74</v>
      </c>
      <c r="AQ547" t="s">
        <v>74</v>
      </c>
      <c r="AR547" t="s">
        <v>10710</v>
      </c>
      <c r="AS547" t="s">
        <v>10711</v>
      </c>
      <c r="AT547" t="s">
        <v>9222</v>
      </c>
      <c r="AU547">
        <v>2018</v>
      </c>
      <c r="AV547">
        <v>13</v>
      </c>
      <c r="AW547">
        <v>12</v>
      </c>
      <c r="AX547" t="s">
        <v>74</v>
      </c>
      <c r="AY547" t="s">
        <v>74</v>
      </c>
      <c r="AZ547" t="s">
        <v>74</v>
      </c>
      <c r="BA547" t="s">
        <v>74</v>
      </c>
      <c r="BB547" t="s">
        <v>74</v>
      </c>
      <c r="BC547" t="s">
        <v>74</v>
      </c>
      <c r="BD547">
        <v>125012</v>
      </c>
      <c r="BE547" t="s">
        <v>10712</v>
      </c>
      <c r="BF547" t="str">
        <f>HYPERLINK("http://dx.doi.org/10.1088/1748-9326/aaf2ed","http://dx.doi.org/10.1088/1748-9326/aaf2ed")</f>
        <v>http://dx.doi.org/10.1088/1748-9326/aaf2ed</v>
      </c>
      <c r="BG547" t="s">
        <v>74</v>
      </c>
      <c r="BH547" t="s">
        <v>74</v>
      </c>
      <c r="BI547">
        <v>11</v>
      </c>
      <c r="BJ547" t="s">
        <v>2635</v>
      </c>
      <c r="BK547" t="s">
        <v>101</v>
      </c>
      <c r="BL547" t="s">
        <v>2636</v>
      </c>
      <c r="BM547" t="s">
        <v>10713</v>
      </c>
      <c r="BN547" t="s">
        <v>74</v>
      </c>
      <c r="BO547" t="s">
        <v>221</v>
      </c>
      <c r="BP547" t="s">
        <v>74</v>
      </c>
      <c r="BQ547" t="s">
        <v>74</v>
      </c>
      <c r="BR547" t="s">
        <v>104</v>
      </c>
      <c r="BS547" t="s">
        <v>10714</v>
      </c>
      <c r="BT547" t="str">
        <f>HYPERLINK("https%3A%2F%2Fwww.webofscience.com%2Fwos%2Fwoscc%2Ffull-record%2FWOS:000454316600001","View Full Record in Web of Science")</f>
        <v>View Full Record in Web of Science</v>
      </c>
    </row>
    <row r="548" spans="1:72" x14ac:dyDescent="0.15">
      <c r="A548" t="s">
        <v>72</v>
      </c>
      <c r="B548" t="s">
        <v>10715</v>
      </c>
      <c r="C548" t="s">
        <v>74</v>
      </c>
      <c r="D548" t="s">
        <v>74</v>
      </c>
      <c r="E548" t="s">
        <v>74</v>
      </c>
      <c r="F548" t="s">
        <v>10716</v>
      </c>
      <c r="G548" t="s">
        <v>74</v>
      </c>
      <c r="H548" t="s">
        <v>74</v>
      </c>
      <c r="I548" t="s">
        <v>10717</v>
      </c>
      <c r="J548" t="s">
        <v>10718</v>
      </c>
      <c r="K548" t="s">
        <v>74</v>
      </c>
      <c r="L548" t="s">
        <v>74</v>
      </c>
      <c r="M548" t="s">
        <v>78</v>
      </c>
      <c r="N548" t="s">
        <v>79</v>
      </c>
      <c r="O548" t="s">
        <v>74</v>
      </c>
      <c r="P548" t="s">
        <v>74</v>
      </c>
      <c r="Q548" t="s">
        <v>74</v>
      </c>
      <c r="R548" t="s">
        <v>74</v>
      </c>
      <c r="S548" t="s">
        <v>74</v>
      </c>
      <c r="T548" t="s">
        <v>10719</v>
      </c>
      <c r="U548" t="s">
        <v>10720</v>
      </c>
      <c r="V548" t="s">
        <v>74</v>
      </c>
      <c r="W548" t="s">
        <v>10721</v>
      </c>
      <c r="X548" t="s">
        <v>10722</v>
      </c>
      <c r="Y548" t="s">
        <v>10723</v>
      </c>
      <c r="Z548" t="s">
        <v>10724</v>
      </c>
      <c r="AA548" t="s">
        <v>10725</v>
      </c>
      <c r="AB548" t="s">
        <v>10726</v>
      </c>
      <c r="AC548" t="s">
        <v>10727</v>
      </c>
      <c r="AD548" t="s">
        <v>10728</v>
      </c>
      <c r="AE548" t="s">
        <v>10729</v>
      </c>
      <c r="AF548" t="s">
        <v>74</v>
      </c>
      <c r="AG548">
        <v>27</v>
      </c>
      <c r="AH548">
        <v>8</v>
      </c>
      <c r="AI548">
        <v>8</v>
      </c>
      <c r="AJ548">
        <v>0</v>
      </c>
      <c r="AK548">
        <v>22</v>
      </c>
      <c r="AL548" t="s">
        <v>7701</v>
      </c>
      <c r="AM548" t="s">
        <v>3008</v>
      </c>
      <c r="AN548" t="s">
        <v>7702</v>
      </c>
      <c r="AO548" t="s">
        <v>10730</v>
      </c>
      <c r="AP548" t="s">
        <v>74</v>
      </c>
      <c r="AQ548" t="s">
        <v>74</v>
      </c>
      <c r="AR548" t="s">
        <v>10731</v>
      </c>
      <c r="AS548" t="s">
        <v>10732</v>
      </c>
      <c r="AT548" t="s">
        <v>9222</v>
      </c>
      <c r="AU548">
        <v>2018</v>
      </c>
      <c r="AV548">
        <v>60</v>
      </c>
      <c r="AW548" t="s">
        <v>74</v>
      </c>
      <c r="AX548" t="s">
        <v>74</v>
      </c>
      <c r="AY548" t="s">
        <v>74</v>
      </c>
      <c r="AZ548" t="s">
        <v>74</v>
      </c>
      <c r="BA548" t="s">
        <v>74</v>
      </c>
      <c r="BB548">
        <v>112</v>
      </c>
      <c r="BC548">
        <v>115</v>
      </c>
      <c r="BD548" t="s">
        <v>74</v>
      </c>
      <c r="BE548" t="s">
        <v>10733</v>
      </c>
      <c r="BF548" t="str">
        <f>HYPERLINK("http://dx.doi.org/10.1016/j.jenvp.2018.09.003","http://dx.doi.org/10.1016/j.jenvp.2018.09.003")</f>
        <v>http://dx.doi.org/10.1016/j.jenvp.2018.09.003</v>
      </c>
      <c r="BG548" t="s">
        <v>74</v>
      </c>
      <c r="BH548" t="s">
        <v>74</v>
      </c>
      <c r="BI548">
        <v>4</v>
      </c>
      <c r="BJ548" t="s">
        <v>10734</v>
      </c>
      <c r="BK548" t="s">
        <v>10505</v>
      </c>
      <c r="BL548" t="s">
        <v>10735</v>
      </c>
      <c r="BM548" t="s">
        <v>10736</v>
      </c>
      <c r="BN548" t="s">
        <v>74</v>
      </c>
      <c r="BO548" t="s">
        <v>74</v>
      </c>
      <c r="BP548" t="s">
        <v>74</v>
      </c>
      <c r="BQ548" t="s">
        <v>74</v>
      </c>
      <c r="BR548" t="s">
        <v>104</v>
      </c>
      <c r="BS548" t="s">
        <v>10737</v>
      </c>
      <c r="BT548" t="str">
        <f>HYPERLINK("https%3A%2F%2Fwww.webofscience.com%2Fwos%2Fwoscc%2Ffull-record%2FWOS:000453622500015","View Full Record in Web of Science")</f>
        <v>View Full Record in Web of Science</v>
      </c>
    </row>
    <row r="549" spans="1:72" x14ac:dyDescent="0.15">
      <c r="A549" t="s">
        <v>72</v>
      </c>
      <c r="B549" t="s">
        <v>10738</v>
      </c>
      <c r="C549" t="s">
        <v>74</v>
      </c>
      <c r="D549" t="s">
        <v>74</v>
      </c>
      <c r="E549" t="s">
        <v>74</v>
      </c>
      <c r="F549" t="s">
        <v>10739</v>
      </c>
      <c r="G549" t="s">
        <v>74</v>
      </c>
      <c r="H549" t="s">
        <v>74</v>
      </c>
      <c r="I549" t="s">
        <v>10740</v>
      </c>
      <c r="J549" t="s">
        <v>10741</v>
      </c>
      <c r="K549" t="s">
        <v>74</v>
      </c>
      <c r="L549" t="s">
        <v>74</v>
      </c>
      <c r="M549" t="s">
        <v>78</v>
      </c>
      <c r="N549" t="s">
        <v>79</v>
      </c>
      <c r="O549" t="s">
        <v>74</v>
      </c>
      <c r="P549" t="s">
        <v>74</v>
      </c>
      <c r="Q549" t="s">
        <v>74</v>
      </c>
      <c r="R549" t="s">
        <v>74</v>
      </c>
      <c r="S549" t="s">
        <v>74</v>
      </c>
      <c r="T549" t="s">
        <v>10742</v>
      </c>
      <c r="U549" t="s">
        <v>10743</v>
      </c>
      <c r="V549" t="s">
        <v>10744</v>
      </c>
      <c r="W549" t="s">
        <v>10745</v>
      </c>
      <c r="X549" t="s">
        <v>10746</v>
      </c>
      <c r="Y549" t="s">
        <v>10747</v>
      </c>
      <c r="Z549" t="s">
        <v>10748</v>
      </c>
      <c r="AA549" t="s">
        <v>10749</v>
      </c>
      <c r="AB549" t="s">
        <v>10750</v>
      </c>
      <c r="AC549" t="s">
        <v>10751</v>
      </c>
      <c r="AD549" t="s">
        <v>10752</v>
      </c>
      <c r="AE549" t="s">
        <v>10753</v>
      </c>
      <c r="AF549" t="s">
        <v>74</v>
      </c>
      <c r="AG549">
        <v>45</v>
      </c>
      <c r="AH549">
        <v>5</v>
      </c>
      <c r="AI549">
        <v>5</v>
      </c>
      <c r="AJ549">
        <v>0</v>
      </c>
      <c r="AK549">
        <v>12</v>
      </c>
      <c r="AL549" t="s">
        <v>6139</v>
      </c>
      <c r="AM549" t="s">
        <v>3353</v>
      </c>
      <c r="AN549" t="s">
        <v>6140</v>
      </c>
      <c r="AO549" t="s">
        <v>10754</v>
      </c>
      <c r="AP549" t="s">
        <v>10755</v>
      </c>
      <c r="AQ549" t="s">
        <v>74</v>
      </c>
      <c r="AR549" t="s">
        <v>10756</v>
      </c>
      <c r="AS549" t="s">
        <v>10757</v>
      </c>
      <c r="AT549" t="s">
        <v>10758</v>
      </c>
      <c r="AU549">
        <v>2018</v>
      </c>
      <c r="AV549">
        <v>62</v>
      </c>
      <c r="AW549">
        <v>11</v>
      </c>
      <c r="AX549" t="s">
        <v>74</v>
      </c>
      <c r="AY549" t="s">
        <v>74</v>
      </c>
      <c r="AZ549" t="s">
        <v>74</v>
      </c>
      <c r="BA549" t="s">
        <v>74</v>
      </c>
      <c r="BB549">
        <v>3249</v>
      </c>
      <c r="BC549">
        <v>3266</v>
      </c>
      <c r="BD549" t="s">
        <v>74</v>
      </c>
      <c r="BE549" t="s">
        <v>10759</v>
      </c>
      <c r="BF549" t="str">
        <f>HYPERLINK("http://dx.doi.org/10.1016/j.asr.2018.08.015","http://dx.doi.org/10.1016/j.asr.2018.08.015")</f>
        <v>http://dx.doi.org/10.1016/j.asr.2018.08.015</v>
      </c>
      <c r="BG549" t="s">
        <v>74</v>
      </c>
      <c r="BH549" t="s">
        <v>74</v>
      </c>
      <c r="BI549">
        <v>18</v>
      </c>
      <c r="BJ549" t="s">
        <v>10760</v>
      </c>
      <c r="BK549" t="s">
        <v>101</v>
      </c>
      <c r="BL549" t="s">
        <v>10761</v>
      </c>
      <c r="BM549" t="s">
        <v>10762</v>
      </c>
      <c r="BN549" t="s">
        <v>74</v>
      </c>
      <c r="BO549" t="s">
        <v>3810</v>
      </c>
      <c r="BP549" t="s">
        <v>74</v>
      </c>
      <c r="BQ549" t="s">
        <v>74</v>
      </c>
      <c r="BR549" t="s">
        <v>104</v>
      </c>
      <c r="BS549" t="s">
        <v>10763</v>
      </c>
      <c r="BT549" t="str">
        <f>HYPERLINK("https%3A%2F%2Fwww.webofscience.com%2Fwos%2Fwoscc%2Ffull-record%2FWOS:000452581600022","View Full Record in Web of Science")</f>
        <v>View Full Record in Web of Science</v>
      </c>
    </row>
    <row r="550" spans="1:72" x14ac:dyDescent="0.15">
      <c r="A550" t="s">
        <v>72</v>
      </c>
      <c r="B550" t="s">
        <v>10764</v>
      </c>
      <c r="C550" t="s">
        <v>74</v>
      </c>
      <c r="D550" t="s">
        <v>74</v>
      </c>
      <c r="E550" t="s">
        <v>74</v>
      </c>
      <c r="F550" t="s">
        <v>10765</v>
      </c>
      <c r="G550" t="s">
        <v>74</v>
      </c>
      <c r="H550" t="s">
        <v>74</v>
      </c>
      <c r="I550" t="s">
        <v>10766</v>
      </c>
      <c r="J550" t="s">
        <v>10767</v>
      </c>
      <c r="K550" t="s">
        <v>74</v>
      </c>
      <c r="L550" t="s">
        <v>74</v>
      </c>
      <c r="M550" t="s">
        <v>78</v>
      </c>
      <c r="N550" t="s">
        <v>79</v>
      </c>
      <c r="O550" t="s">
        <v>74</v>
      </c>
      <c r="P550" t="s">
        <v>74</v>
      </c>
      <c r="Q550" t="s">
        <v>74</v>
      </c>
      <c r="R550" t="s">
        <v>74</v>
      </c>
      <c r="S550" t="s">
        <v>74</v>
      </c>
      <c r="T550" t="s">
        <v>10768</v>
      </c>
      <c r="U550" t="s">
        <v>74</v>
      </c>
      <c r="V550" t="s">
        <v>10769</v>
      </c>
      <c r="W550" t="s">
        <v>10770</v>
      </c>
      <c r="X550" t="s">
        <v>10771</v>
      </c>
      <c r="Y550" t="s">
        <v>10772</v>
      </c>
      <c r="Z550" t="s">
        <v>10773</v>
      </c>
      <c r="AA550" t="s">
        <v>10774</v>
      </c>
      <c r="AB550" t="s">
        <v>10775</v>
      </c>
      <c r="AC550" t="s">
        <v>10776</v>
      </c>
      <c r="AD550" t="s">
        <v>10777</v>
      </c>
      <c r="AE550" t="s">
        <v>10778</v>
      </c>
      <c r="AF550" t="s">
        <v>74</v>
      </c>
      <c r="AG550">
        <v>13</v>
      </c>
      <c r="AH550">
        <v>3</v>
      </c>
      <c r="AI550">
        <v>3</v>
      </c>
      <c r="AJ550">
        <v>0</v>
      </c>
      <c r="AK550">
        <v>6</v>
      </c>
      <c r="AL550" t="s">
        <v>10779</v>
      </c>
      <c r="AM550" t="s">
        <v>10780</v>
      </c>
      <c r="AN550" t="s">
        <v>10781</v>
      </c>
      <c r="AO550" t="s">
        <v>10782</v>
      </c>
      <c r="AP550" t="s">
        <v>10783</v>
      </c>
      <c r="AQ550" t="s">
        <v>74</v>
      </c>
      <c r="AR550" t="s">
        <v>10784</v>
      </c>
      <c r="AS550" t="s">
        <v>10785</v>
      </c>
      <c r="AT550" t="s">
        <v>9222</v>
      </c>
      <c r="AU550">
        <v>2018</v>
      </c>
      <c r="AV550">
        <v>18</v>
      </c>
      <c r="AW550">
        <v>12</v>
      </c>
      <c r="AX550" t="s">
        <v>74</v>
      </c>
      <c r="AY550" t="s">
        <v>74</v>
      </c>
      <c r="AZ550" t="s">
        <v>74</v>
      </c>
      <c r="BA550" t="s">
        <v>74</v>
      </c>
      <c r="BB550">
        <v>3202</v>
      </c>
      <c r="BC550">
        <v>3210</v>
      </c>
      <c r="BD550" t="s">
        <v>74</v>
      </c>
      <c r="BE550" t="s">
        <v>10786</v>
      </c>
      <c r="BF550" t="str">
        <f>HYPERLINK("http://dx.doi.org/10.4209/aaqr.2018.08.0308","http://dx.doi.org/10.4209/aaqr.2018.08.0308")</f>
        <v>http://dx.doi.org/10.4209/aaqr.2018.08.0308</v>
      </c>
      <c r="BG550" t="s">
        <v>74</v>
      </c>
      <c r="BH550" t="s">
        <v>74</v>
      </c>
      <c r="BI550">
        <v>9</v>
      </c>
      <c r="BJ550" t="s">
        <v>798</v>
      </c>
      <c r="BK550" t="s">
        <v>101</v>
      </c>
      <c r="BL550" t="s">
        <v>799</v>
      </c>
      <c r="BM550" t="s">
        <v>10787</v>
      </c>
      <c r="BN550" t="s">
        <v>74</v>
      </c>
      <c r="BO550" t="s">
        <v>1556</v>
      </c>
      <c r="BP550" t="s">
        <v>74</v>
      </c>
      <c r="BQ550" t="s">
        <v>74</v>
      </c>
      <c r="BR550" t="s">
        <v>104</v>
      </c>
      <c r="BS550" t="s">
        <v>10788</v>
      </c>
      <c r="BT550" t="str">
        <f>HYPERLINK("https%3A%2F%2Fwww.webofscience.com%2Fwos%2Fwoscc%2Ffull-record%2FWOS:000451841400025","View Full Record in Web of Science")</f>
        <v>View Full Record in Web of Science</v>
      </c>
    </row>
    <row r="551" spans="1:72" x14ac:dyDescent="0.15">
      <c r="A551" t="s">
        <v>72</v>
      </c>
      <c r="B551" t="s">
        <v>10789</v>
      </c>
      <c r="C551" t="s">
        <v>74</v>
      </c>
      <c r="D551" t="s">
        <v>74</v>
      </c>
      <c r="E551" t="s">
        <v>74</v>
      </c>
      <c r="F551" t="s">
        <v>10790</v>
      </c>
      <c r="G551" t="s">
        <v>74</v>
      </c>
      <c r="H551" t="s">
        <v>74</v>
      </c>
      <c r="I551" t="s">
        <v>10791</v>
      </c>
      <c r="J551" t="s">
        <v>10792</v>
      </c>
      <c r="K551" t="s">
        <v>74</v>
      </c>
      <c r="L551" t="s">
        <v>74</v>
      </c>
      <c r="M551" t="s">
        <v>78</v>
      </c>
      <c r="N551" t="s">
        <v>79</v>
      </c>
      <c r="O551" t="s">
        <v>74</v>
      </c>
      <c r="P551" t="s">
        <v>74</v>
      </c>
      <c r="Q551" t="s">
        <v>74</v>
      </c>
      <c r="R551" t="s">
        <v>74</v>
      </c>
      <c r="S551" t="s">
        <v>74</v>
      </c>
      <c r="T551" t="s">
        <v>10793</v>
      </c>
      <c r="U551" t="s">
        <v>10794</v>
      </c>
      <c r="V551" t="s">
        <v>10795</v>
      </c>
      <c r="W551" t="s">
        <v>10796</v>
      </c>
      <c r="X551" t="s">
        <v>10797</v>
      </c>
      <c r="Y551" t="s">
        <v>10798</v>
      </c>
      <c r="Z551" t="s">
        <v>10799</v>
      </c>
      <c r="AA551" t="s">
        <v>10800</v>
      </c>
      <c r="AB551" t="s">
        <v>10801</v>
      </c>
      <c r="AC551" t="s">
        <v>10802</v>
      </c>
      <c r="AD551" t="s">
        <v>10803</v>
      </c>
      <c r="AE551" t="s">
        <v>10804</v>
      </c>
      <c r="AF551" t="s">
        <v>74</v>
      </c>
      <c r="AG551">
        <v>31</v>
      </c>
      <c r="AH551">
        <v>4</v>
      </c>
      <c r="AI551">
        <v>4</v>
      </c>
      <c r="AJ551">
        <v>1</v>
      </c>
      <c r="AK551">
        <v>7</v>
      </c>
      <c r="AL551" t="s">
        <v>1079</v>
      </c>
      <c r="AM551" t="s">
        <v>4862</v>
      </c>
      <c r="AN551" t="s">
        <v>4863</v>
      </c>
      <c r="AO551" t="s">
        <v>10805</v>
      </c>
      <c r="AP551" t="s">
        <v>10806</v>
      </c>
      <c r="AQ551" t="s">
        <v>74</v>
      </c>
      <c r="AR551" t="s">
        <v>10807</v>
      </c>
      <c r="AS551" t="s">
        <v>10808</v>
      </c>
      <c r="AT551" t="s">
        <v>9222</v>
      </c>
      <c r="AU551">
        <v>2018</v>
      </c>
      <c r="AV551">
        <v>363</v>
      </c>
      <c r="AW551">
        <v>12</v>
      </c>
      <c r="AX551" t="s">
        <v>74</v>
      </c>
      <c r="AY551" t="s">
        <v>74</v>
      </c>
      <c r="AZ551" t="s">
        <v>74</v>
      </c>
      <c r="BA551" t="s">
        <v>74</v>
      </c>
      <c r="BB551" t="s">
        <v>74</v>
      </c>
      <c r="BC551" t="s">
        <v>74</v>
      </c>
      <c r="BD551">
        <v>262</v>
      </c>
      <c r="BE551" t="s">
        <v>10809</v>
      </c>
      <c r="BF551" t="str">
        <f>HYPERLINK("http://dx.doi.org/10.1007/s10509-018-3484-x","http://dx.doi.org/10.1007/s10509-018-3484-x")</f>
        <v>http://dx.doi.org/10.1007/s10509-018-3484-x</v>
      </c>
      <c r="BG551" t="s">
        <v>74</v>
      </c>
      <c r="BH551" t="s">
        <v>74</v>
      </c>
      <c r="BI551">
        <v>11</v>
      </c>
      <c r="BJ551" t="s">
        <v>2351</v>
      </c>
      <c r="BK551" t="s">
        <v>101</v>
      </c>
      <c r="BL551" t="s">
        <v>2351</v>
      </c>
      <c r="BM551" t="s">
        <v>10810</v>
      </c>
      <c r="BN551" t="s">
        <v>74</v>
      </c>
      <c r="BO551" t="s">
        <v>3810</v>
      </c>
      <c r="BP551" t="s">
        <v>74</v>
      </c>
      <c r="BQ551" t="s">
        <v>74</v>
      </c>
      <c r="BR551" t="s">
        <v>104</v>
      </c>
      <c r="BS551" t="s">
        <v>10811</v>
      </c>
      <c r="BT551" t="str">
        <f>HYPERLINK("https%3A%2F%2Fwww.webofscience.com%2Fwos%2Fwoscc%2Ffull-record%2FWOS:000452112500001","View Full Record in Web of Science")</f>
        <v>View Full Record in Web of Science</v>
      </c>
    </row>
    <row r="552" spans="1:72" x14ac:dyDescent="0.15">
      <c r="A552" t="s">
        <v>72</v>
      </c>
      <c r="B552" t="s">
        <v>10812</v>
      </c>
      <c r="C552" t="s">
        <v>74</v>
      </c>
      <c r="D552" t="s">
        <v>74</v>
      </c>
      <c r="E552" t="s">
        <v>74</v>
      </c>
      <c r="F552" t="s">
        <v>10813</v>
      </c>
      <c r="G552" t="s">
        <v>74</v>
      </c>
      <c r="H552" t="s">
        <v>74</v>
      </c>
      <c r="I552" t="s">
        <v>10814</v>
      </c>
      <c r="J552" t="s">
        <v>10815</v>
      </c>
      <c r="K552" t="s">
        <v>74</v>
      </c>
      <c r="L552" t="s">
        <v>74</v>
      </c>
      <c r="M552" t="s">
        <v>78</v>
      </c>
      <c r="N552" t="s">
        <v>79</v>
      </c>
      <c r="O552" t="s">
        <v>74</v>
      </c>
      <c r="P552" t="s">
        <v>74</v>
      </c>
      <c r="Q552" t="s">
        <v>74</v>
      </c>
      <c r="R552" t="s">
        <v>74</v>
      </c>
      <c r="S552" t="s">
        <v>74</v>
      </c>
      <c r="T552" t="s">
        <v>10816</v>
      </c>
      <c r="U552" t="s">
        <v>10817</v>
      </c>
      <c r="V552" t="s">
        <v>10818</v>
      </c>
      <c r="W552" t="s">
        <v>10819</v>
      </c>
      <c r="X552" t="s">
        <v>10820</v>
      </c>
      <c r="Y552" t="s">
        <v>10821</v>
      </c>
      <c r="Z552" t="s">
        <v>10822</v>
      </c>
      <c r="AA552" t="s">
        <v>10823</v>
      </c>
      <c r="AB552" t="s">
        <v>10824</v>
      </c>
      <c r="AC552" t="s">
        <v>74</v>
      </c>
      <c r="AD552" t="s">
        <v>74</v>
      </c>
      <c r="AE552" t="s">
        <v>74</v>
      </c>
      <c r="AF552" t="s">
        <v>74</v>
      </c>
      <c r="AG552">
        <v>88</v>
      </c>
      <c r="AH552">
        <v>13</v>
      </c>
      <c r="AI552">
        <v>13</v>
      </c>
      <c r="AJ552">
        <v>1</v>
      </c>
      <c r="AK552">
        <v>16</v>
      </c>
      <c r="AL552" t="s">
        <v>3670</v>
      </c>
      <c r="AM552" t="s">
        <v>3671</v>
      </c>
      <c r="AN552" t="s">
        <v>3672</v>
      </c>
      <c r="AO552" t="s">
        <v>10825</v>
      </c>
      <c r="AP552" t="s">
        <v>10826</v>
      </c>
      <c r="AQ552" t="s">
        <v>74</v>
      </c>
      <c r="AR552" t="s">
        <v>10827</v>
      </c>
      <c r="AS552" t="s">
        <v>10828</v>
      </c>
      <c r="AT552" t="s">
        <v>9222</v>
      </c>
      <c r="AU552">
        <v>2018</v>
      </c>
      <c r="AV552">
        <v>30</v>
      </c>
      <c r="AW552">
        <v>6</v>
      </c>
      <c r="AX552" t="s">
        <v>74</v>
      </c>
      <c r="AY552" t="s">
        <v>74</v>
      </c>
      <c r="AZ552" t="s">
        <v>74</v>
      </c>
      <c r="BA552" t="s">
        <v>74</v>
      </c>
      <c r="BB552">
        <v>1280</v>
      </c>
      <c r="BC552">
        <v>1297</v>
      </c>
      <c r="BD552" t="s">
        <v>74</v>
      </c>
      <c r="BE552" t="s">
        <v>10829</v>
      </c>
      <c r="BF552" t="str">
        <f>HYPERLINK("http://dx.doi.org/10.1111/bre.12304","http://dx.doi.org/10.1111/bre.12304")</f>
        <v>http://dx.doi.org/10.1111/bre.12304</v>
      </c>
      <c r="BG552" t="s">
        <v>74</v>
      </c>
      <c r="BH552" t="s">
        <v>74</v>
      </c>
      <c r="BI552">
        <v>18</v>
      </c>
      <c r="BJ552" t="s">
        <v>884</v>
      </c>
      <c r="BK552" t="s">
        <v>101</v>
      </c>
      <c r="BL552" t="s">
        <v>528</v>
      </c>
      <c r="BM552" t="s">
        <v>10830</v>
      </c>
      <c r="BN552" t="s">
        <v>74</v>
      </c>
      <c r="BO552" t="s">
        <v>74</v>
      </c>
      <c r="BP552" t="s">
        <v>74</v>
      </c>
      <c r="BQ552" t="s">
        <v>74</v>
      </c>
      <c r="BR552" t="s">
        <v>104</v>
      </c>
      <c r="BS552" t="s">
        <v>10831</v>
      </c>
      <c r="BT552" t="str">
        <f>HYPERLINK("https%3A%2F%2Fwww.webofscience.com%2Fwos%2Fwoscc%2Ffull-record%2FWOS:000449713500011","View Full Record in Web of Science")</f>
        <v>View Full Record in Web of Science</v>
      </c>
    </row>
    <row r="553" spans="1:72" x14ac:dyDescent="0.15">
      <c r="A553" t="s">
        <v>72</v>
      </c>
      <c r="B553" t="s">
        <v>10832</v>
      </c>
      <c r="C553" t="s">
        <v>74</v>
      </c>
      <c r="D553" t="s">
        <v>74</v>
      </c>
      <c r="E553" t="s">
        <v>74</v>
      </c>
      <c r="F553" t="s">
        <v>10833</v>
      </c>
      <c r="G553" t="s">
        <v>74</v>
      </c>
      <c r="H553" t="s">
        <v>74</v>
      </c>
      <c r="I553" t="s">
        <v>10834</v>
      </c>
      <c r="J553" t="s">
        <v>10835</v>
      </c>
      <c r="K553" t="s">
        <v>74</v>
      </c>
      <c r="L553" t="s">
        <v>74</v>
      </c>
      <c r="M553" t="s">
        <v>78</v>
      </c>
      <c r="N553" t="s">
        <v>79</v>
      </c>
      <c r="O553" t="s">
        <v>74</v>
      </c>
      <c r="P553" t="s">
        <v>74</v>
      </c>
      <c r="Q553" t="s">
        <v>74</v>
      </c>
      <c r="R553" t="s">
        <v>74</v>
      </c>
      <c r="S553" t="s">
        <v>74</v>
      </c>
      <c r="T553" t="s">
        <v>10836</v>
      </c>
      <c r="U553" t="s">
        <v>10837</v>
      </c>
      <c r="V553" t="s">
        <v>10838</v>
      </c>
      <c r="W553" t="s">
        <v>10839</v>
      </c>
      <c r="X553" t="s">
        <v>10840</v>
      </c>
      <c r="Y553" t="s">
        <v>10841</v>
      </c>
      <c r="Z553" t="s">
        <v>10842</v>
      </c>
      <c r="AA553" t="s">
        <v>10843</v>
      </c>
      <c r="AB553" t="s">
        <v>10844</v>
      </c>
      <c r="AC553" t="s">
        <v>10845</v>
      </c>
      <c r="AD553" t="s">
        <v>10846</v>
      </c>
      <c r="AE553" t="s">
        <v>10847</v>
      </c>
      <c r="AF553" t="s">
        <v>74</v>
      </c>
      <c r="AG553">
        <v>52</v>
      </c>
      <c r="AH553">
        <v>7</v>
      </c>
      <c r="AI553">
        <v>7</v>
      </c>
      <c r="AJ553">
        <v>1</v>
      </c>
      <c r="AK553">
        <v>19</v>
      </c>
      <c r="AL553" t="s">
        <v>1079</v>
      </c>
      <c r="AM553" t="s">
        <v>1080</v>
      </c>
      <c r="AN553" t="s">
        <v>1106</v>
      </c>
      <c r="AO553" t="s">
        <v>10848</v>
      </c>
      <c r="AP553" t="s">
        <v>10849</v>
      </c>
      <c r="AQ553" t="s">
        <v>74</v>
      </c>
      <c r="AR553" t="s">
        <v>10835</v>
      </c>
      <c r="AS553" t="s">
        <v>10850</v>
      </c>
      <c r="AT553" t="s">
        <v>9222</v>
      </c>
      <c r="AU553">
        <v>2018</v>
      </c>
      <c r="AV553">
        <v>37</v>
      </c>
      <c r="AW553">
        <v>4</v>
      </c>
      <c r="AX553" t="s">
        <v>74</v>
      </c>
      <c r="AY553" t="s">
        <v>74</v>
      </c>
      <c r="AZ553" t="s">
        <v>74</v>
      </c>
      <c r="BA553" t="s">
        <v>74</v>
      </c>
      <c r="BB553">
        <v>1013</v>
      </c>
      <c r="BC553">
        <v>1025</v>
      </c>
      <c r="BD553" t="s">
        <v>74</v>
      </c>
      <c r="BE553" t="s">
        <v>10851</v>
      </c>
      <c r="BF553" t="str">
        <f>HYPERLINK("http://dx.doi.org/10.1007/s00338-018-1711-0","http://dx.doi.org/10.1007/s00338-018-1711-0")</f>
        <v>http://dx.doi.org/10.1007/s00338-018-1711-0</v>
      </c>
      <c r="BG553" t="s">
        <v>74</v>
      </c>
      <c r="BH553" t="s">
        <v>74</v>
      </c>
      <c r="BI553">
        <v>13</v>
      </c>
      <c r="BJ553" t="s">
        <v>694</v>
      </c>
      <c r="BK553" t="s">
        <v>101</v>
      </c>
      <c r="BL553" t="s">
        <v>694</v>
      </c>
      <c r="BM553" t="s">
        <v>10852</v>
      </c>
      <c r="BN553" t="s">
        <v>74</v>
      </c>
      <c r="BO553" t="s">
        <v>74</v>
      </c>
      <c r="BP553" t="s">
        <v>74</v>
      </c>
      <c r="BQ553" t="s">
        <v>74</v>
      </c>
      <c r="BR553" t="s">
        <v>104</v>
      </c>
      <c r="BS553" t="s">
        <v>10853</v>
      </c>
      <c r="BT553" t="str">
        <f>HYPERLINK("https%3A%2F%2Fwww.webofscience.com%2Fwos%2Fwoscc%2Ffull-record%2FWOS:000452084700006","View Full Record in Web of Science")</f>
        <v>View Full Record in Web of Science</v>
      </c>
    </row>
    <row r="554" spans="1:72" x14ac:dyDescent="0.15">
      <c r="A554" t="s">
        <v>72</v>
      </c>
      <c r="B554" t="s">
        <v>10854</v>
      </c>
      <c r="C554" t="s">
        <v>74</v>
      </c>
      <c r="D554" t="s">
        <v>74</v>
      </c>
      <c r="E554" t="s">
        <v>74</v>
      </c>
      <c r="F554" t="s">
        <v>10855</v>
      </c>
      <c r="G554" t="s">
        <v>74</v>
      </c>
      <c r="H554" t="s">
        <v>74</v>
      </c>
      <c r="I554" t="s">
        <v>10856</v>
      </c>
      <c r="J554" t="s">
        <v>10835</v>
      </c>
      <c r="K554" t="s">
        <v>74</v>
      </c>
      <c r="L554" t="s">
        <v>74</v>
      </c>
      <c r="M554" t="s">
        <v>78</v>
      </c>
      <c r="N554" t="s">
        <v>79</v>
      </c>
      <c r="O554" t="s">
        <v>74</v>
      </c>
      <c r="P554" t="s">
        <v>74</v>
      </c>
      <c r="Q554" t="s">
        <v>74</v>
      </c>
      <c r="R554" t="s">
        <v>74</v>
      </c>
      <c r="S554" t="s">
        <v>74</v>
      </c>
      <c r="T554" t="s">
        <v>10857</v>
      </c>
      <c r="U554" t="s">
        <v>10858</v>
      </c>
      <c r="V554" t="s">
        <v>10859</v>
      </c>
      <c r="W554" t="s">
        <v>10860</v>
      </c>
      <c r="X554" t="s">
        <v>3608</v>
      </c>
      <c r="Y554" t="s">
        <v>10861</v>
      </c>
      <c r="Z554" t="s">
        <v>10862</v>
      </c>
      <c r="AA554" t="s">
        <v>10863</v>
      </c>
      <c r="AB554" t="s">
        <v>10864</v>
      </c>
      <c r="AC554" t="s">
        <v>10865</v>
      </c>
      <c r="AD554" t="s">
        <v>10866</v>
      </c>
      <c r="AE554" t="s">
        <v>10867</v>
      </c>
      <c r="AF554" t="s">
        <v>74</v>
      </c>
      <c r="AG554">
        <v>47</v>
      </c>
      <c r="AH554">
        <v>25</v>
      </c>
      <c r="AI554">
        <v>25</v>
      </c>
      <c r="AJ554">
        <v>2</v>
      </c>
      <c r="AK554">
        <v>45</v>
      </c>
      <c r="AL554" t="s">
        <v>1079</v>
      </c>
      <c r="AM554" t="s">
        <v>1080</v>
      </c>
      <c r="AN554" t="s">
        <v>1106</v>
      </c>
      <c r="AO554" t="s">
        <v>10848</v>
      </c>
      <c r="AP554" t="s">
        <v>10849</v>
      </c>
      <c r="AQ554" t="s">
        <v>74</v>
      </c>
      <c r="AR554" t="s">
        <v>10835</v>
      </c>
      <c r="AS554" t="s">
        <v>10850</v>
      </c>
      <c r="AT554" t="s">
        <v>9222</v>
      </c>
      <c r="AU554">
        <v>2018</v>
      </c>
      <c r="AV554">
        <v>37</v>
      </c>
      <c r="AW554">
        <v>4</v>
      </c>
      <c r="AX554" t="s">
        <v>74</v>
      </c>
      <c r="AY554" t="s">
        <v>74</v>
      </c>
      <c r="AZ554" t="s">
        <v>74</v>
      </c>
      <c r="BA554" t="s">
        <v>74</v>
      </c>
      <c r="BB554">
        <v>1053</v>
      </c>
      <c r="BC554">
        <v>1073</v>
      </c>
      <c r="BD554" t="s">
        <v>74</v>
      </c>
      <c r="BE554" t="s">
        <v>10868</v>
      </c>
      <c r="BF554" t="str">
        <f>HYPERLINK("http://dx.doi.org/10.1007/s00338-018-1728-4","http://dx.doi.org/10.1007/s00338-018-1728-4")</f>
        <v>http://dx.doi.org/10.1007/s00338-018-1728-4</v>
      </c>
      <c r="BG554" t="s">
        <v>74</v>
      </c>
      <c r="BH554" t="s">
        <v>74</v>
      </c>
      <c r="BI554">
        <v>21</v>
      </c>
      <c r="BJ554" t="s">
        <v>694</v>
      </c>
      <c r="BK554" t="s">
        <v>101</v>
      </c>
      <c r="BL554" t="s">
        <v>694</v>
      </c>
      <c r="BM554" t="s">
        <v>10852</v>
      </c>
      <c r="BN554" t="s">
        <v>74</v>
      </c>
      <c r="BO554" t="s">
        <v>74</v>
      </c>
      <c r="BP554" t="s">
        <v>74</v>
      </c>
      <c r="BQ554" t="s">
        <v>74</v>
      </c>
      <c r="BR554" t="s">
        <v>104</v>
      </c>
      <c r="BS554" t="s">
        <v>10869</v>
      </c>
      <c r="BT554" t="str">
        <f>HYPERLINK("https%3A%2F%2Fwww.webofscience.com%2Fwos%2Fwoscc%2Ffull-record%2FWOS:000452084700009","View Full Record in Web of Science")</f>
        <v>View Full Record in Web of Science</v>
      </c>
    </row>
    <row r="555" spans="1:72" x14ac:dyDescent="0.15">
      <c r="A555" t="s">
        <v>72</v>
      </c>
      <c r="B555" t="s">
        <v>10870</v>
      </c>
      <c r="C555" t="s">
        <v>74</v>
      </c>
      <c r="D555" t="s">
        <v>74</v>
      </c>
      <c r="E555" t="s">
        <v>74</v>
      </c>
      <c r="F555" t="s">
        <v>10871</v>
      </c>
      <c r="G555" t="s">
        <v>74</v>
      </c>
      <c r="H555" t="s">
        <v>74</v>
      </c>
      <c r="I555" t="s">
        <v>10872</v>
      </c>
      <c r="J555" t="s">
        <v>5457</v>
      </c>
      <c r="K555" t="s">
        <v>74</v>
      </c>
      <c r="L555" t="s">
        <v>74</v>
      </c>
      <c r="M555" t="s">
        <v>78</v>
      </c>
      <c r="N555" t="s">
        <v>79</v>
      </c>
      <c r="O555" t="s">
        <v>74</v>
      </c>
      <c r="P555" t="s">
        <v>74</v>
      </c>
      <c r="Q555" t="s">
        <v>74</v>
      </c>
      <c r="R555" t="s">
        <v>74</v>
      </c>
      <c r="S555" t="s">
        <v>74</v>
      </c>
      <c r="T555" t="s">
        <v>10873</v>
      </c>
      <c r="U555" t="s">
        <v>10874</v>
      </c>
      <c r="V555" t="s">
        <v>10875</v>
      </c>
      <c r="W555" t="s">
        <v>10876</v>
      </c>
      <c r="X555" t="s">
        <v>10877</v>
      </c>
      <c r="Y555" t="s">
        <v>10878</v>
      </c>
      <c r="Z555" t="s">
        <v>10879</v>
      </c>
      <c r="AA555" t="s">
        <v>10880</v>
      </c>
      <c r="AB555" t="s">
        <v>10881</v>
      </c>
      <c r="AC555" t="s">
        <v>74</v>
      </c>
      <c r="AD555" t="s">
        <v>74</v>
      </c>
      <c r="AE555" t="s">
        <v>74</v>
      </c>
      <c r="AF555" t="s">
        <v>74</v>
      </c>
      <c r="AG555">
        <v>69</v>
      </c>
      <c r="AH555">
        <v>9</v>
      </c>
      <c r="AI555">
        <v>9</v>
      </c>
      <c r="AJ555">
        <v>4</v>
      </c>
      <c r="AK555">
        <v>27</v>
      </c>
      <c r="AL555" t="s">
        <v>3670</v>
      </c>
      <c r="AM555" t="s">
        <v>3671</v>
      </c>
      <c r="AN555" t="s">
        <v>3672</v>
      </c>
      <c r="AO555" t="s">
        <v>5470</v>
      </c>
      <c r="AP555" t="s">
        <v>5471</v>
      </c>
      <c r="AQ555" t="s">
        <v>74</v>
      </c>
      <c r="AR555" t="s">
        <v>5472</v>
      </c>
      <c r="AS555" t="s">
        <v>5473</v>
      </c>
      <c r="AT555" t="s">
        <v>9222</v>
      </c>
      <c r="AU555">
        <v>2018</v>
      </c>
      <c r="AV555">
        <v>24</v>
      </c>
      <c r="AW555">
        <v>12</v>
      </c>
      <c r="AX555" t="s">
        <v>74</v>
      </c>
      <c r="AY555" t="s">
        <v>74</v>
      </c>
      <c r="AZ555" t="s">
        <v>74</v>
      </c>
      <c r="BA555" t="s">
        <v>74</v>
      </c>
      <c r="BB555">
        <v>1744</v>
      </c>
      <c r="BC555">
        <v>1755</v>
      </c>
      <c r="BD555" t="s">
        <v>74</v>
      </c>
      <c r="BE555" t="s">
        <v>10882</v>
      </c>
      <c r="BF555" t="str">
        <f>HYPERLINK("http://dx.doi.org/10.1111/ddi.12830","http://dx.doi.org/10.1111/ddi.12830")</f>
        <v>http://dx.doi.org/10.1111/ddi.12830</v>
      </c>
      <c r="BG555" t="s">
        <v>74</v>
      </c>
      <c r="BH555" t="s">
        <v>74</v>
      </c>
      <c r="BI555">
        <v>12</v>
      </c>
      <c r="BJ555" t="s">
        <v>1087</v>
      </c>
      <c r="BK555" t="s">
        <v>101</v>
      </c>
      <c r="BL555" t="s">
        <v>102</v>
      </c>
      <c r="BM555" t="s">
        <v>10883</v>
      </c>
      <c r="BN555" t="s">
        <v>74</v>
      </c>
      <c r="BO555" t="s">
        <v>162</v>
      </c>
      <c r="BP555" t="s">
        <v>74</v>
      </c>
      <c r="BQ555" t="s">
        <v>74</v>
      </c>
      <c r="BR555" t="s">
        <v>104</v>
      </c>
      <c r="BS555" t="s">
        <v>10884</v>
      </c>
      <c r="BT555" t="str">
        <f>HYPERLINK("https%3A%2F%2Fwww.webofscience.com%2Fwos%2Fwoscc%2Ffull-record%2FWOS:000450303700003","View Full Record in Web of Science")</f>
        <v>View Full Record in Web of Science</v>
      </c>
    </row>
    <row r="556" spans="1:72" x14ac:dyDescent="0.15">
      <c r="A556" t="s">
        <v>72</v>
      </c>
      <c r="B556" t="s">
        <v>10885</v>
      </c>
      <c r="C556" t="s">
        <v>74</v>
      </c>
      <c r="D556" t="s">
        <v>74</v>
      </c>
      <c r="E556" t="s">
        <v>74</v>
      </c>
      <c r="F556" t="s">
        <v>10886</v>
      </c>
      <c r="G556" t="s">
        <v>74</v>
      </c>
      <c r="H556" t="s">
        <v>74</v>
      </c>
      <c r="I556" t="s">
        <v>10887</v>
      </c>
      <c r="J556" t="s">
        <v>7392</v>
      </c>
      <c r="K556" t="s">
        <v>74</v>
      </c>
      <c r="L556" t="s">
        <v>74</v>
      </c>
      <c r="M556" t="s">
        <v>78</v>
      </c>
      <c r="N556" t="s">
        <v>79</v>
      </c>
      <c r="O556" t="s">
        <v>74</v>
      </c>
      <c r="P556" t="s">
        <v>74</v>
      </c>
      <c r="Q556" t="s">
        <v>74</v>
      </c>
      <c r="R556" t="s">
        <v>74</v>
      </c>
      <c r="S556" t="s">
        <v>74</v>
      </c>
      <c r="T556" t="s">
        <v>10888</v>
      </c>
      <c r="U556" t="s">
        <v>10889</v>
      </c>
      <c r="V556" t="s">
        <v>10890</v>
      </c>
      <c r="W556" t="s">
        <v>10891</v>
      </c>
      <c r="X556" t="s">
        <v>10892</v>
      </c>
      <c r="Y556" t="s">
        <v>10893</v>
      </c>
      <c r="Z556" t="s">
        <v>10894</v>
      </c>
      <c r="AA556" t="s">
        <v>10895</v>
      </c>
      <c r="AB556" t="s">
        <v>10896</v>
      </c>
      <c r="AC556" t="s">
        <v>74</v>
      </c>
      <c r="AD556" t="s">
        <v>74</v>
      </c>
      <c r="AE556" t="s">
        <v>74</v>
      </c>
      <c r="AF556" t="s">
        <v>74</v>
      </c>
      <c r="AG556">
        <v>50</v>
      </c>
      <c r="AH556">
        <v>6</v>
      </c>
      <c r="AI556">
        <v>6</v>
      </c>
      <c r="AJ556">
        <v>2</v>
      </c>
      <c r="AK556">
        <v>11</v>
      </c>
      <c r="AL556" t="s">
        <v>2519</v>
      </c>
      <c r="AM556" t="s">
        <v>2520</v>
      </c>
      <c r="AN556" t="s">
        <v>3313</v>
      </c>
      <c r="AO556" t="s">
        <v>7405</v>
      </c>
      <c r="AP556" t="s">
        <v>7406</v>
      </c>
      <c r="AQ556" t="s">
        <v>74</v>
      </c>
      <c r="AR556" t="s">
        <v>7407</v>
      </c>
      <c r="AS556" t="s">
        <v>7408</v>
      </c>
      <c r="AT556" t="s">
        <v>10758</v>
      </c>
      <c r="AU556">
        <v>2018</v>
      </c>
      <c r="AV556">
        <v>503</v>
      </c>
      <c r="AW556" t="s">
        <v>74</v>
      </c>
      <c r="AX556" t="s">
        <v>74</v>
      </c>
      <c r="AY556" t="s">
        <v>74</v>
      </c>
      <c r="AZ556" t="s">
        <v>74</v>
      </c>
      <c r="BA556" t="s">
        <v>74</v>
      </c>
      <c r="BB556">
        <v>78</v>
      </c>
      <c r="BC556">
        <v>87</v>
      </c>
      <c r="BD556" t="s">
        <v>74</v>
      </c>
      <c r="BE556" t="s">
        <v>10897</v>
      </c>
      <c r="BF556" t="str">
        <f>HYPERLINK("http://dx.doi.org/10.1016/j.epsl.2018.09.024","http://dx.doi.org/10.1016/j.epsl.2018.09.024")</f>
        <v>http://dx.doi.org/10.1016/j.epsl.2018.09.024</v>
      </c>
      <c r="BG556" t="s">
        <v>74</v>
      </c>
      <c r="BH556" t="s">
        <v>74</v>
      </c>
      <c r="BI556">
        <v>10</v>
      </c>
      <c r="BJ556" t="s">
        <v>746</v>
      </c>
      <c r="BK556" t="s">
        <v>101</v>
      </c>
      <c r="BL556" t="s">
        <v>746</v>
      </c>
      <c r="BM556" t="s">
        <v>10898</v>
      </c>
      <c r="BN556" t="s">
        <v>74</v>
      </c>
      <c r="BO556" t="s">
        <v>404</v>
      </c>
      <c r="BP556" t="s">
        <v>74</v>
      </c>
      <c r="BQ556" t="s">
        <v>74</v>
      </c>
      <c r="BR556" t="s">
        <v>104</v>
      </c>
      <c r="BS556" t="s">
        <v>10899</v>
      </c>
      <c r="BT556" t="str">
        <f>HYPERLINK("https%3A%2F%2Fwww.webofscience.com%2Fwos%2Fwoscc%2Ffull-record%2FWOS:000449246100009","View Full Record in Web of Science")</f>
        <v>View Full Record in Web of Science</v>
      </c>
    </row>
    <row r="557" spans="1:72" x14ac:dyDescent="0.15">
      <c r="A557" t="s">
        <v>72</v>
      </c>
      <c r="B557" t="s">
        <v>10900</v>
      </c>
      <c r="C557" t="s">
        <v>74</v>
      </c>
      <c r="D557" t="s">
        <v>74</v>
      </c>
      <c r="E557" t="s">
        <v>74</v>
      </c>
      <c r="F557" t="s">
        <v>10901</v>
      </c>
      <c r="G557" t="s">
        <v>74</v>
      </c>
      <c r="H557" t="s">
        <v>74</v>
      </c>
      <c r="I557" t="s">
        <v>10902</v>
      </c>
      <c r="J557" t="s">
        <v>10903</v>
      </c>
      <c r="K557" t="s">
        <v>74</v>
      </c>
      <c r="L557" t="s">
        <v>74</v>
      </c>
      <c r="M557" t="s">
        <v>78</v>
      </c>
      <c r="N557" t="s">
        <v>79</v>
      </c>
      <c r="O557" t="s">
        <v>74</v>
      </c>
      <c r="P557" t="s">
        <v>74</v>
      </c>
      <c r="Q557" t="s">
        <v>74</v>
      </c>
      <c r="R557" t="s">
        <v>74</v>
      </c>
      <c r="S557" t="s">
        <v>74</v>
      </c>
      <c r="T557" t="s">
        <v>10904</v>
      </c>
      <c r="U557" t="s">
        <v>10905</v>
      </c>
      <c r="V557" t="s">
        <v>10906</v>
      </c>
      <c r="W557" t="s">
        <v>10907</v>
      </c>
      <c r="X557" t="s">
        <v>10908</v>
      </c>
      <c r="Y557" t="s">
        <v>10909</v>
      </c>
      <c r="Z557" t="s">
        <v>10910</v>
      </c>
      <c r="AA557" t="s">
        <v>10911</v>
      </c>
      <c r="AB557" t="s">
        <v>10912</v>
      </c>
      <c r="AC557" t="s">
        <v>10913</v>
      </c>
      <c r="AD557" t="s">
        <v>10914</v>
      </c>
      <c r="AE557" t="s">
        <v>10915</v>
      </c>
      <c r="AF557" t="s">
        <v>74</v>
      </c>
      <c r="AG557">
        <v>39</v>
      </c>
      <c r="AH557">
        <v>4</v>
      </c>
      <c r="AI557">
        <v>4</v>
      </c>
      <c r="AJ557">
        <v>0</v>
      </c>
      <c r="AK557">
        <v>17</v>
      </c>
      <c r="AL557" t="s">
        <v>6139</v>
      </c>
      <c r="AM557" t="s">
        <v>3353</v>
      </c>
      <c r="AN557" t="s">
        <v>6140</v>
      </c>
      <c r="AO557" t="s">
        <v>10916</v>
      </c>
      <c r="AP557" t="s">
        <v>10917</v>
      </c>
      <c r="AQ557" t="s">
        <v>74</v>
      </c>
      <c r="AR557" t="s">
        <v>10918</v>
      </c>
      <c r="AS557" t="s">
        <v>10919</v>
      </c>
      <c r="AT557" t="s">
        <v>9222</v>
      </c>
      <c r="AU557">
        <v>2018</v>
      </c>
      <c r="AV557">
        <v>243</v>
      </c>
      <c r="AW557" t="s">
        <v>74</v>
      </c>
      <c r="AX557" t="s">
        <v>4058</v>
      </c>
      <c r="AY557" t="s">
        <v>74</v>
      </c>
      <c r="AZ557" t="s">
        <v>74</v>
      </c>
      <c r="BA557" t="s">
        <v>74</v>
      </c>
      <c r="BB557">
        <v>37</v>
      </c>
      <c r="BC557">
        <v>48</v>
      </c>
      <c r="BD557" t="s">
        <v>74</v>
      </c>
      <c r="BE557" t="s">
        <v>10920</v>
      </c>
      <c r="BF557" t="str">
        <f>HYPERLINK("http://dx.doi.org/10.1016/j.envpol.2018.08.043","http://dx.doi.org/10.1016/j.envpol.2018.08.043")</f>
        <v>http://dx.doi.org/10.1016/j.envpol.2018.08.043</v>
      </c>
      <c r="BG557" t="s">
        <v>74</v>
      </c>
      <c r="BH557" t="s">
        <v>74</v>
      </c>
      <c r="BI557">
        <v>12</v>
      </c>
      <c r="BJ557" t="s">
        <v>798</v>
      </c>
      <c r="BK557" t="s">
        <v>101</v>
      </c>
      <c r="BL557" t="s">
        <v>799</v>
      </c>
      <c r="BM557" t="s">
        <v>10921</v>
      </c>
      <c r="BN557">
        <v>30170205</v>
      </c>
      <c r="BO557" t="s">
        <v>3810</v>
      </c>
      <c r="BP557" t="s">
        <v>74</v>
      </c>
      <c r="BQ557" t="s">
        <v>74</v>
      </c>
      <c r="BR557" t="s">
        <v>104</v>
      </c>
      <c r="BS557" t="s">
        <v>10922</v>
      </c>
      <c r="BT557" t="str">
        <f>HYPERLINK("https%3A%2F%2Fwww.webofscience.com%2Fwos%2Fwoscc%2Ffull-record%2FWOS:000449891800005","View Full Record in Web of Science")</f>
        <v>View Full Record in Web of Science</v>
      </c>
    </row>
    <row r="558" spans="1:72" x14ac:dyDescent="0.15">
      <c r="A558" t="s">
        <v>72</v>
      </c>
      <c r="B558" t="s">
        <v>10923</v>
      </c>
      <c r="C558" t="s">
        <v>74</v>
      </c>
      <c r="D558" t="s">
        <v>74</v>
      </c>
      <c r="E558" t="s">
        <v>74</v>
      </c>
      <c r="F558" t="s">
        <v>10924</v>
      </c>
      <c r="G558" t="s">
        <v>74</v>
      </c>
      <c r="H558" t="s">
        <v>74</v>
      </c>
      <c r="I558" t="s">
        <v>10925</v>
      </c>
      <c r="J558" t="s">
        <v>10926</v>
      </c>
      <c r="K558" t="s">
        <v>74</v>
      </c>
      <c r="L558" t="s">
        <v>74</v>
      </c>
      <c r="M558" t="s">
        <v>78</v>
      </c>
      <c r="N558" t="s">
        <v>79</v>
      </c>
      <c r="O558" t="s">
        <v>74</v>
      </c>
      <c r="P558" t="s">
        <v>74</v>
      </c>
      <c r="Q558" t="s">
        <v>74</v>
      </c>
      <c r="R558" t="s">
        <v>74</v>
      </c>
      <c r="S558" t="s">
        <v>74</v>
      </c>
      <c r="T558" t="s">
        <v>10927</v>
      </c>
      <c r="U558" t="s">
        <v>10928</v>
      </c>
      <c r="V558" t="s">
        <v>10929</v>
      </c>
      <c r="W558" t="s">
        <v>10930</v>
      </c>
      <c r="X558" t="s">
        <v>10931</v>
      </c>
      <c r="Y558" t="s">
        <v>10932</v>
      </c>
      <c r="Z558" t="s">
        <v>10933</v>
      </c>
      <c r="AA558" t="s">
        <v>10934</v>
      </c>
      <c r="AB558" t="s">
        <v>10935</v>
      </c>
      <c r="AC558" t="s">
        <v>10936</v>
      </c>
      <c r="AD558" t="s">
        <v>10937</v>
      </c>
      <c r="AE558" t="s">
        <v>10938</v>
      </c>
      <c r="AF558" t="s">
        <v>74</v>
      </c>
      <c r="AG558">
        <v>71</v>
      </c>
      <c r="AH558">
        <v>11</v>
      </c>
      <c r="AI558">
        <v>11</v>
      </c>
      <c r="AJ558">
        <v>1</v>
      </c>
      <c r="AK558">
        <v>22</v>
      </c>
      <c r="AL558" t="s">
        <v>3290</v>
      </c>
      <c r="AM558" t="s">
        <v>2520</v>
      </c>
      <c r="AN558" t="s">
        <v>3291</v>
      </c>
      <c r="AO558" t="s">
        <v>10939</v>
      </c>
      <c r="AP558" t="s">
        <v>10940</v>
      </c>
      <c r="AQ558" t="s">
        <v>74</v>
      </c>
      <c r="AR558" t="s">
        <v>10941</v>
      </c>
      <c r="AS558" t="s">
        <v>10942</v>
      </c>
      <c r="AT558" t="s">
        <v>9222</v>
      </c>
      <c r="AU558">
        <v>2018</v>
      </c>
      <c r="AV558">
        <v>208</v>
      </c>
      <c r="AW558" t="s">
        <v>74</v>
      </c>
      <c r="AX558" t="s">
        <v>74</v>
      </c>
      <c r="AY558" t="s">
        <v>74</v>
      </c>
      <c r="AZ558" t="s">
        <v>74</v>
      </c>
      <c r="BA558" t="s">
        <v>74</v>
      </c>
      <c r="BB558">
        <v>247</v>
      </c>
      <c r="BC558">
        <v>257</v>
      </c>
      <c r="BD558" t="s">
        <v>74</v>
      </c>
      <c r="BE558" t="s">
        <v>10943</v>
      </c>
      <c r="BF558" t="str">
        <f>HYPERLINK("http://dx.doi.org/10.1016/j.fishres.2018.08.006","http://dx.doi.org/10.1016/j.fishres.2018.08.006")</f>
        <v>http://dx.doi.org/10.1016/j.fishres.2018.08.006</v>
      </c>
      <c r="BG558" t="s">
        <v>74</v>
      </c>
      <c r="BH558" t="s">
        <v>74</v>
      </c>
      <c r="BI558">
        <v>11</v>
      </c>
      <c r="BJ558" t="s">
        <v>625</v>
      </c>
      <c r="BK558" t="s">
        <v>3493</v>
      </c>
      <c r="BL558" t="s">
        <v>625</v>
      </c>
      <c r="BM558" t="s">
        <v>10944</v>
      </c>
      <c r="BN558" t="s">
        <v>74</v>
      </c>
      <c r="BO558" t="s">
        <v>74</v>
      </c>
      <c r="BP558" t="s">
        <v>74</v>
      </c>
      <c r="BQ558" t="s">
        <v>74</v>
      </c>
      <c r="BR558" t="s">
        <v>104</v>
      </c>
      <c r="BS558" t="s">
        <v>10945</v>
      </c>
      <c r="BT558" t="str">
        <f>HYPERLINK("https%3A%2F%2Fwww.webofscience.com%2Fwos%2Fwoscc%2Ffull-record%2FWOS:000447108300026","View Full Record in Web of Science")</f>
        <v>View Full Record in Web of Science</v>
      </c>
    </row>
    <row r="559" spans="1:72" x14ac:dyDescent="0.15">
      <c r="A559" t="s">
        <v>72</v>
      </c>
      <c r="B559" t="s">
        <v>10946</v>
      </c>
      <c r="C559" t="s">
        <v>74</v>
      </c>
      <c r="D559" t="s">
        <v>74</v>
      </c>
      <c r="E559" t="s">
        <v>74</v>
      </c>
      <c r="F559" t="s">
        <v>10947</v>
      </c>
      <c r="G559" t="s">
        <v>74</v>
      </c>
      <c r="H559" t="s">
        <v>74</v>
      </c>
      <c r="I559" t="s">
        <v>10948</v>
      </c>
      <c r="J559" t="s">
        <v>10949</v>
      </c>
      <c r="K559" t="s">
        <v>74</v>
      </c>
      <c r="L559" t="s">
        <v>74</v>
      </c>
      <c r="M559" t="s">
        <v>78</v>
      </c>
      <c r="N559" t="s">
        <v>4937</v>
      </c>
      <c r="O559" t="s">
        <v>74</v>
      </c>
      <c r="P559" t="s">
        <v>74</v>
      </c>
      <c r="Q559" t="s">
        <v>74</v>
      </c>
      <c r="R559" t="s">
        <v>74</v>
      </c>
      <c r="S559" t="s">
        <v>74</v>
      </c>
      <c r="T559" t="s">
        <v>74</v>
      </c>
      <c r="U559" t="s">
        <v>74</v>
      </c>
      <c r="V559" t="s">
        <v>74</v>
      </c>
      <c r="W559" t="s">
        <v>74</v>
      </c>
      <c r="X559" t="s">
        <v>74</v>
      </c>
      <c r="Y559" t="s">
        <v>74</v>
      </c>
      <c r="Z559" t="s">
        <v>74</v>
      </c>
      <c r="AA559" t="s">
        <v>74</v>
      </c>
      <c r="AB559" t="s">
        <v>74</v>
      </c>
      <c r="AC559" t="s">
        <v>74</v>
      </c>
      <c r="AD559" t="s">
        <v>74</v>
      </c>
      <c r="AE559" t="s">
        <v>74</v>
      </c>
      <c r="AF559" t="s">
        <v>74</v>
      </c>
      <c r="AG559">
        <v>0</v>
      </c>
      <c r="AH559">
        <v>0</v>
      </c>
      <c r="AI559">
        <v>0</v>
      </c>
      <c r="AJ559">
        <v>0</v>
      </c>
      <c r="AK559">
        <v>1</v>
      </c>
      <c r="AL559" t="s">
        <v>3670</v>
      </c>
      <c r="AM559" t="s">
        <v>3671</v>
      </c>
      <c r="AN559" t="s">
        <v>3672</v>
      </c>
      <c r="AO559" t="s">
        <v>10950</v>
      </c>
      <c r="AP559" t="s">
        <v>10951</v>
      </c>
      <c r="AQ559" t="s">
        <v>74</v>
      </c>
      <c r="AR559" t="s">
        <v>10952</v>
      </c>
      <c r="AS559" t="s">
        <v>10953</v>
      </c>
      <c r="AT559" t="s">
        <v>9222</v>
      </c>
      <c r="AU559">
        <v>2018</v>
      </c>
      <c r="AV559">
        <v>16</v>
      </c>
      <c r="AW559">
        <v>10</v>
      </c>
      <c r="AX559" t="s">
        <v>74</v>
      </c>
      <c r="AY559" t="s">
        <v>74</v>
      </c>
      <c r="AZ559" t="s">
        <v>74</v>
      </c>
      <c r="BA559" t="s">
        <v>74</v>
      </c>
      <c r="BB559">
        <v>553</v>
      </c>
      <c r="BC559">
        <v>553</v>
      </c>
      <c r="BD559" t="s">
        <v>74</v>
      </c>
      <c r="BE559" t="s">
        <v>74</v>
      </c>
      <c r="BF559" t="s">
        <v>74</v>
      </c>
      <c r="BG559" t="s">
        <v>74</v>
      </c>
      <c r="BH559" t="s">
        <v>74</v>
      </c>
      <c r="BI559">
        <v>1</v>
      </c>
      <c r="BJ559" t="s">
        <v>1432</v>
      </c>
      <c r="BK559" t="s">
        <v>101</v>
      </c>
      <c r="BL559" t="s">
        <v>799</v>
      </c>
      <c r="BM559" t="s">
        <v>10954</v>
      </c>
      <c r="BN559" t="s">
        <v>74</v>
      </c>
      <c r="BO559" t="s">
        <v>74</v>
      </c>
      <c r="BP559" t="s">
        <v>74</v>
      </c>
      <c r="BQ559" t="s">
        <v>74</v>
      </c>
      <c r="BR559" t="s">
        <v>104</v>
      </c>
      <c r="BS559" t="s">
        <v>10955</v>
      </c>
      <c r="BT559" t="str">
        <f>HYPERLINK("https%3A%2F%2Fwww.webofscience.com%2Fwos%2Fwoscc%2Ffull-record%2FWOS:000451912200017","View Full Record in Web of Science")</f>
        <v>View Full Record in Web of Science</v>
      </c>
    </row>
    <row r="560" spans="1:72" x14ac:dyDescent="0.15">
      <c r="A560" t="s">
        <v>72</v>
      </c>
      <c r="B560" t="s">
        <v>10956</v>
      </c>
      <c r="C560" t="s">
        <v>74</v>
      </c>
      <c r="D560" t="s">
        <v>74</v>
      </c>
      <c r="E560" t="s">
        <v>74</v>
      </c>
      <c r="F560" t="s">
        <v>10957</v>
      </c>
      <c r="G560" t="s">
        <v>74</v>
      </c>
      <c r="H560" t="s">
        <v>74</v>
      </c>
      <c r="I560" t="s">
        <v>10958</v>
      </c>
      <c r="J560" t="s">
        <v>10959</v>
      </c>
      <c r="K560" t="s">
        <v>74</v>
      </c>
      <c r="L560" t="s">
        <v>74</v>
      </c>
      <c r="M560" t="s">
        <v>78</v>
      </c>
      <c r="N560" t="s">
        <v>79</v>
      </c>
      <c r="O560" t="s">
        <v>74</v>
      </c>
      <c r="P560" t="s">
        <v>74</v>
      </c>
      <c r="Q560" t="s">
        <v>74</v>
      </c>
      <c r="R560" t="s">
        <v>74</v>
      </c>
      <c r="S560" t="s">
        <v>74</v>
      </c>
      <c r="T560" t="s">
        <v>10960</v>
      </c>
      <c r="U560" t="s">
        <v>10961</v>
      </c>
      <c r="V560" t="s">
        <v>10962</v>
      </c>
      <c r="W560" t="s">
        <v>10963</v>
      </c>
      <c r="X560" t="s">
        <v>10964</v>
      </c>
      <c r="Y560" t="s">
        <v>10965</v>
      </c>
      <c r="Z560" t="s">
        <v>10966</v>
      </c>
      <c r="AA560" t="s">
        <v>10967</v>
      </c>
      <c r="AB560" t="s">
        <v>10968</v>
      </c>
      <c r="AC560" t="s">
        <v>10969</v>
      </c>
      <c r="AD560" t="s">
        <v>10970</v>
      </c>
      <c r="AE560" t="s">
        <v>10971</v>
      </c>
      <c r="AF560" t="s">
        <v>74</v>
      </c>
      <c r="AG560">
        <v>79</v>
      </c>
      <c r="AH560">
        <v>19</v>
      </c>
      <c r="AI560">
        <v>20</v>
      </c>
      <c r="AJ560">
        <v>3</v>
      </c>
      <c r="AK560">
        <v>31</v>
      </c>
      <c r="AL560" t="s">
        <v>3670</v>
      </c>
      <c r="AM560" t="s">
        <v>3671</v>
      </c>
      <c r="AN560" t="s">
        <v>3672</v>
      </c>
      <c r="AO560" t="s">
        <v>10972</v>
      </c>
      <c r="AP560" t="s">
        <v>10973</v>
      </c>
      <c r="AQ560" t="s">
        <v>74</v>
      </c>
      <c r="AR560" t="s">
        <v>10974</v>
      </c>
      <c r="AS560" t="s">
        <v>10975</v>
      </c>
      <c r="AT560" t="s">
        <v>9222</v>
      </c>
      <c r="AU560">
        <v>2018</v>
      </c>
      <c r="AV560">
        <v>32</v>
      </c>
      <c r="AW560">
        <v>12</v>
      </c>
      <c r="AX560" t="s">
        <v>74</v>
      </c>
      <c r="AY560" t="s">
        <v>74</v>
      </c>
      <c r="AZ560" t="s">
        <v>74</v>
      </c>
      <c r="BA560" t="s">
        <v>74</v>
      </c>
      <c r="BB560">
        <v>2717</v>
      </c>
      <c r="BC560">
        <v>2729</v>
      </c>
      <c r="BD560" t="s">
        <v>74</v>
      </c>
      <c r="BE560" t="s">
        <v>10976</v>
      </c>
      <c r="BF560" t="str">
        <f>HYPERLINK("http://dx.doi.org/10.1111/1365-2435.13211","http://dx.doi.org/10.1111/1365-2435.13211")</f>
        <v>http://dx.doi.org/10.1111/1365-2435.13211</v>
      </c>
      <c r="BG560" t="s">
        <v>74</v>
      </c>
      <c r="BH560" t="s">
        <v>74</v>
      </c>
      <c r="BI560">
        <v>13</v>
      </c>
      <c r="BJ560" t="s">
        <v>2400</v>
      </c>
      <c r="BK560" t="s">
        <v>101</v>
      </c>
      <c r="BL560" t="s">
        <v>799</v>
      </c>
      <c r="BM560" t="s">
        <v>10977</v>
      </c>
      <c r="BN560" t="s">
        <v>74</v>
      </c>
      <c r="BO560" t="s">
        <v>4408</v>
      </c>
      <c r="BP560" t="s">
        <v>74</v>
      </c>
      <c r="BQ560" t="s">
        <v>74</v>
      </c>
      <c r="BR560" t="s">
        <v>104</v>
      </c>
      <c r="BS560" t="s">
        <v>10978</v>
      </c>
      <c r="BT560" t="str">
        <f>HYPERLINK("https%3A%2F%2Fwww.webofscience.com%2Fwos%2Fwoscc%2Ffull-record%2FWOS:000452038300008","View Full Record in Web of Science")</f>
        <v>View Full Record in Web of Science</v>
      </c>
    </row>
    <row r="561" spans="1:72" x14ac:dyDescent="0.15">
      <c r="A561" t="s">
        <v>72</v>
      </c>
      <c r="B561" t="s">
        <v>10979</v>
      </c>
      <c r="C561" t="s">
        <v>74</v>
      </c>
      <c r="D561" t="s">
        <v>74</v>
      </c>
      <c r="E561" t="s">
        <v>74</v>
      </c>
      <c r="F561" t="s">
        <v>10980</v>
      </c>
      <c r="G561" t="s">
        <v>74</v>
      </c>
      <c r="H561" t="s">
        <v>74</v>
      </c>
      <c r="I561" t="s">
        <v>10981</v>
      </c>
      <c r="J561" t="s">
        <v>10982</v>
      </c>
      <c r="K561" t="s">
        <v>74</v>
      </c>
      <c r="L561" t="s">
        <v>74</v>
      </c>
      <c r="M561" t="s">
        <v>78</v>
      </c>
      <c r="N561" t="s">
        <v>79</v>
      </c>
      <c r="O561" t="s">
        <v>74</v>
      </c>
      <c r="P561" t="s">
        <v>74</v>
      </c>
      <c r="Q561" t="s">
        <v>74</v>
      </c>
      <c r="R561" t="s">
        <v>74</v>
      </c>
      <c r="S561" t="s">
        <v>74</v>
      </c>
      <c r="T561" t="s">
        <v>10983</v>
      </c>
      <c r="U561" t="s">
        <v>10984</v>
      </c>
      <c r="V561" t="s">
        <v>10985</v>
      </c>
      <c r="W561" t="s">
        <v>10986</v>
      </c>
      <c r="X561" t="s">
        <v>10987</v>
      </c>
      <c r="Y561" t="s">
        <v>10988</v>
      </c>
      <c r="Z561" t="s">
        <v>10989</v>
      </c>
      <c r="AA561" t="s">
        <v>10990</v>
      </c>
      <c r="AB561" t="s">
        <v>10991</v>
      </c>
      <c r="AC561" t="s">
        <v>10992</v>
      </c>
      <c r="AD561" t="s">
        <v>10993</v>
      </c>
      <c r="AE561" t="s">
        <v>10994</v>
      </c>
      <c r="AF561" t="s">
        <v>74</v>
      </c>
      <c r="AG561">
        <v>52</v>
      </c>
      <c r="AH561">
        <v>13</v>
      </c>
      <c r="AI561">
        <v>15</v>
      </c>
      <c r="AJ561">
        <v>2</v>
      </c>
      <c r="AK561">
        <v>13</v>
      </c>
      <c r="AL561" t="s">
        <v>6139</v>
      </c>
      <c r="AM561" t="s">
        <v>3353</v>
      </c>
      <c r="AN561" t="s">
        <v>6140</v>
      </c>
      <c r="AO561" t="s">
        <v>10995</v>
      </c>
      <c r="AP561" t="s">
        <v>10996</v>
      </c>
      <c r="AQ561" t="s">
        <v>74</v>
      </c>
      <c r="AR561" t="s">
        <v>10997</v>
      </c>
      <c r="AS561" t="s">
        <v>10998</v>
      </c>
      <c r="AT561" t="s">
        <v>9222</v>
      </c>
      <c r="AU561">
        <v>2018</v>
      </c>
      <c r="AV561">
        <v>122</v>
      </c>
      <c r="AW561">
        <v>12</v>
      </c>
      <c r="AX561" t="s">
        <v>74</v>
      </c>
      <c r="AY561" t="s">
        <v>74</v>
      </c>
      <c r="AZ561" t="s">
        <v>74</v>
      </c>
      <c r="BA561" t="s">
        <v>74</v>
      </c>
      <c r="BB561">
        <v>1222</v>
      </c>
      <c r="BC561">
        <v>1227</v>
      </c>
      <c r="BD561" t="s">
        <v>74</v>
      </c>
      <c r="BE561" t="s">
        <v>10999</v>
      </c>
      <c r="BF561" t="str">
        <f>HYPERLINK("http://dx.doi.org/10.1016/j.funbio.2018.10.002","http://dx.doi.org/10.1016/j.funbio.2018.10.002")</f>
        <v>http://dx.doi.org/10.1016/j.funbio.2018.10.002</v>
      </c>
      <c r="BG561" t="s">
        <v>74</v>
      </c>
      <c r="BH561" t="s">
        <v>74</v>
      </c>
      <c r="BI561">
        <v>6</v>
      </c>
      <c r="BJ561" t="s">
        <v>7667</v>
      </c>
      <c r="BK561" t="s">
        <v>101</v>
      </c>
      <c r="BL561" t="s">
        <v>7667</v>
      </c>
      <c r="BM561" t="s">
        <v>11000</v>
      </c>
      <c r="BN561">
        <v>30449360</v>
      </c>
      <c r="BO561" t="s">
        <v>74</v>
      </c>
      <c r="BP561" t="s">
        <v>74</v>
      </c>
      <c r="BQ561" t="s">
        <v>74</v>
      </c>
      <c r="BR561" t="s">
        <v>104</v>
      </c>
      <c r="BS561" t="s">
        <v>11001</v>
      </c>
      <c r="BT561" t="str">
        <f>HYPERLINK("https%3A%2F%2Fwww.webofscience.com%2Fwos%2Fwoscc%2Ffull-record%2FWOS:000452343900011","View Full Record in Web of Science")</f>
        <v>View Full Record in Web of Science</v>
      </c>
    </row>
    <row r="562" spans="1:72" x14ac:dyDescent="0.15">
      <c r="A562" t="s">
        <v>72</v>
      </c>
      <c r="B562" t="s">
        <v>11002</v>
      </c>
      <c r="C562" t="s">
        <v>74</v>
      </c>
      <c r="D562" t="s">
        <v>74</v>
      </c>
      <c r="E562" t="s">
        <v>74</v>
      </c>
      <c r="F562" t="s">
        <v>11003</v>
      </c>
      <c r="G562" t="s">
        <v>74</v>
      </c>
      <c r="H562" t="s">
        <v>74</v>
      </c>
      <c r="I562" t="s">
        <v>11004</v>
      </c>
      <c r="J562" t="s">
        <v>7578</v>
      </c>
      <c r="K562" t="s">
        <v>74</v>
      </c>
      <c r="L562" t="s">
        <v>74</v>
      </c>
      <c r="M562" t="s">
        <v>78</v>
      </c>
      <c r="N562" t="s">
        <v>79</v>
      </c>
      <c r="O562" t="s">
        <v>74</v>
      </c>
      <c r="P562" t="s">
        <v>74</v>
      </c>
      <c r="Q562" t="s">
        <v>74</v>
      </c>
      <c r="R562" t="s">
        <v>74</v>
      </c>
      <c r="S562" t="s">
        <v>74</v>
      </c>
      <c r="T562" t="s">
        <v>11005</v>
      </c>
      <c r="U562" t="s">
        <v>11006</v>
      </c>
      <c r="V562" t="s">
        <v>11007</v>
      </c>
      <c r="W562" t="s">
        <v>11008</v>
      </c>
      <c r="X562" t="s">
        <v>11009</v>
      </c>
      <c r="Y562" t="s">
        <v>11010</v>
      </c>
      <c r="Z562" t="s">
        <v>11011</v>
      </c>
      <c r="AA562" t="s">
        <v>11012</v>
      </c>
      <c r="AB562" t="s">
        <v>11013</v>
      </c>
      <c r="AC562" t="s">
        <v>11014</v>
      </c>
      <c r="AD562" t="s">
        <v>7358</v>
      </c>
      <c r="AE562" t="s">
        <v>11015</v>
      </c>
      <c r="AF562" t="s">
        <v>74</v>
      </c>
      <c r="AG562">
        <v>129</v>
      </c>
      <c r="AH562">
        <v>33</v>
      </c>
      <c r="AI562">
        <v>37</v>
      </c>
      <c r="AJ562">
        <v>1</v>
      </c>
      <c r="AK562">
        <v>27</v>
      </c>
      <c r="AL562" t="s">
        <v>3352</v>
      </c>
      <c r="AM562" t="s">
        <v>3353</v>
      </c>
      <c r="AN562" t="s">
        <v>3354</v>
      </c>
      <c r="AO562" t="s">
        <v>7591</v>
      </c>
      <c r="AP562" t="s">
        <v>7592</v>
      </c>
      <c r="AQ562" t="s">
        <v>74</v>
      </c>
      <c r="AR562" t="s">
        <v>7593</v>
      </c>
      <c r="AS562" t="s">
        <v>7594</v>
      </c>
      <c r="AT562" t="s">
        <v>10758</v>
      </c>
      <c r="AU562">
        <v>2018</v>
      </c>
      <c r="AV562">
        <v>242</v>
      </c>
      <c r="AW562" t="s">
        <v>74</v>
      </c>
      <c r="AX562" t="s">
        <v>74</v>
      </c>
      <c r="AY562" t="s">
        <v>74</v>
      </c>
      <c r="AZ562" t="s">
        <v>74</v>
      </c>
      <c r="BA562" t="s">
        <v>74</v>
      </c>
      <c r="BB562">
        <v>82</v>
      </c>
      <c r="BC562">
        <v>101</v>
      </c>
      <c r="BD562" t="s">
        <v>74</v>
      </c>
      <c r="BE562" t="s">
        <v>11016</v>
      </c>
      <c r="BF562" t="str">
        <f>HYPERLINK("http://dx.doi.org/10.1016/j.gca.2018.09.004","http://dx.doi.org/10.1016/j.gca.2018.09.004")</f>
        <v>http://dx.doi.org/10.1016/j.gca.2018.09.004</v>
      </c>
      <c r="BG562" t="s">
        <v>74</v>
      </c>
      <c r="BH562" t="s">
        <v>74</v>
      </c>
      <c r="BI562">
        <v>20</v>
      </c>
      <c r="BJ562" t="s">
        <v>746</v>
      </c>
      <c r="BK562" t="s">
        <v>101</v>
      </c>
      <c r="BL562" t="s">
        <v>746</v>
      </c>
      <c r="BM562" t="s">
        <v>11017</v>
      </c>
      <c r="BN562" t="s">
        <v>74</v>
      </c>
      <c r="BO562" t="s">
        <v>74</v>
      </c>
      <c r="BP562" t="s">
        <v>74</v>
      </c>
      <c r="BQ562" t="s">
        <v>74</v>
      </c>
      <c r="BR562" t="s">
        <v>104</v>
      </c>
      <c r="BS562" t="s">
        <v>11018</v>
      </c>
      <c r="BT562" t="str">
        <f>HYPERLINK("https%3A%2F%2Fwww.webofscience.com%2Fwos%2Fwoscc%2Ffull-record%2FWOS:000446475700006","View Full Record in Web of Science")</f>
        <v>View Full Record in Web of Science</v>
      </c>
    </row>
    <row r="563" spans="1:72" x14ac:dyDescent="0.15">
      <c r="A563" t="s">
        <v>72</v>
      </c>
      <c r="B563" t="s">
        <v>11019</v>
      </c>
      <c r="C563" t="s">
        <v>74</v>
      </c>
      <c r="D563" t="s">
        <v>74</v>
      </c>
      <c r="E563" t="s">
        <v>74</v>
      </c>
      <c r="F563" t="s">
        <v>11020</v>
      </c>
      <c r="G563" t="s">
        <v>74</v>
      </c>
      <c r="H563" t="s">
        <v>74</v>
      </c>
      <c r="I563" t="s">
        <v>11021</v>
      </c>
      <c r="J563" t="s">
        <v>7578</v>
      </c>
      <c r="K563" t="s">
        <v>74</v>
      </c>
      <c r="L563" t="s">
        <v>74</v>
      </c>
      <c r="M563" t="s">
        <v>78</v>
      </c>
      <c r="N563" t="s">
        <v>79</v>
      </c>
      <c r="O563" t="s">
        <v>74</v>
      </c>
      <c r="P563" t="s">
        <v>74</v>
      </c>
      <c r="Q563" t="s">
        <v>74</v>
      </c>
      <c r="R563" t="s">
        <v>74</v>
      </c>
      <c r="S563" t="s">
        <v>74</v>
      </c>
      <c r="T563" t="s">
        <v>11022</v>
      </c>
      <c r="U563" t="s">
        <v>11023</v>
      </c>
      <c r="V563" t="s">
        <v>11024</v>
      </c>
      <c r="W563" t="s">
        <v>11025</v>
      </c>
      <c r="X563" t="s">
        <v>11026</v>
      </c>
      <c r="Y563" t="s">
        <v>11027</v>
      </c>
      <c r="Z563" t="s">
        <v>11028</v>
      </c>
      <c r="AA563" t="s">
        <v>11029</v>
      </c>
      <c r="AB563" t="s">
        <v>11030</v>
      </c>
      <c r="AC563" t="s">
        <v>11031</v>
      </c>
      <c r="AD563" t="s">
        <v>11032</v>
      </c>
      <c r="AE563" t="s">
        <v>11033</v>
      </c>
      <c r="AF563" t="s">
        <v>74</v>
      </c>
      <c r="AG563">
        <v>156</v>
      </c>
      <c r="AH563">
        <v>10</v>
      </c>
      <c r="AI563">
        <v>11</v>
      </c>
      <c r="AJ563">
        <v>1</v>
      </c>
      <c r="AK563">
        <v>23</v>
      </c>
      <c r="AL563" t="s">
        <v>3352</v>
      </c>
      <c r="AM563" t="s">
        <v>3353</v>
      </c>
      <c r="AN563" t="s">
        <v>3354</v>
      </c>
      <c r="AO563" t="s">
        <v>7591</v>
      </c>
      <c r="AP563" t="s">
        <v>7592</v>
      </c>
      <c r="AQ563" t="s">
        <v>74</v>
      </c>
      <c r="AR563" t="s">
        <v>7593</v>
      </c>
      <c r="AS563" t="s">
        <v>7594</v>
      </c>
      <c r="AT563" t="s">
        <v>10758</v>
      </c>
      <c r="AU563">
        <v>2018</v>
      </c>
      <c r="AV563">
        <v>242</v>
      </c>
      <c r="AW563" t="s">
        <v>74</v>
      </c>
      <c r="AX563" t="s">
        <v>74</v>
      </c>
      <c r="AY563" t="s">
        <v>74</v>
      </c>
      <c r="AZ563" t="s">
        <v>74</v>
      </c>
      <c r="BA563" t="s">
        <v>74</v>
      </c>
      <c r="BB563">
        <v>266</v>
      </c>
      <c r="BC563">
        <v>297</v>
      </c>
      <c r="BD563" t="s">
        <v>74</v>
      </c>
      <c r="BE563" t="s">
        <v>11034</v>
      </c>
      <c r="BF563" t="str">
        <f>HYPERLINK("http://dx.doi.org/10.1016/j.gca.2018.08.027","http://dx.doi.org/10.1016/j.gca.2018.08.027")</f>
        <v>http://dx.doi.org/10.1016/j.gca.2018.08.027</v>
      </c>
      <c r="BG563" t="s">
        <v>74</v>
      </c>
      <c r="BH563" t="s">
        <v>74</v>
      </c>
      <c r="BI563">
        <v>32</v>
      </c>
      <c r="BJ563" t="s">
        <v>746</v>
      </c>
      <c r="BK563" t="s">
        <v>101</v>
      </c>
      <c r="BL563" t="s">
        <v>746</v>
      </c>
      <c r="BM563" t="s">
        <v>11017</v>
      </c>
      <c r="BN563" t="s">
        <v>74</v>
      </c>
      <c r="BO563" t="s">
        <v>74</v>
      </c>
      <c r="BP563" t="s">
        <v>74</v>
      </c>
      <c r="BQ563" t="s">
        <v>74</v>
      </c>
      <c r="BR563" t="s">
        <v>104</v>
      </c>
      <c r="BS563" t="s">
        <v>11035</v>
      </c>
      <c r="BT563" t="str">
        <f>HYPERLINK("https%3A%2F%2Fwww.webofscience.com%2Fwos%2Fwoscc%2Ffull-record%2FWOS:000446475700014","View Full Record in Web of Science")</f>
        <v>View Full Record in Web of Science</v>
      </c>
    </row>
    <row r="564" spans="1:72" x14ac:dyDescent="0.15">
      <c r="A564" t="s">
        <v>72</v>
      </c>
      <c r="B564" t="s">
        <v>11036</v>
      </c>
      <c r="C564" t="s">
        <v>74</v>
      </c>
      <c r="D564" t="s">
        <v>74</v>
      </c>
      <c r="E564" t="s">
        <v>74</v>
      </c>
      <c r="F564" t="s">
        <v>11037</v>
      </c>
      <c r="G564" t="s">
        <v>74</v>
      </c>
      <c r="H564" t="s">
        <v>74</v>
      </c>
      <c r="I564" t="s">
        <v>11038</v>
      </c>
      <c r="J564" t="s">
        <v>11039</v>
      </c>
      <c r="K564" t="s">
        <v>74</v>
      </c>
      <c r="L564" t="s">
        <v>74</v>
      </c>
      <c r="M564" t="s">
        <v>78</v>
      </c>
      <c r="N564" t="s">
        <v>79</v>
      </c>
      <c r="O564" t="s">
        <v>74</v>
      </c>
      <c r="P564" t="s">
        <v>74</v>
      </c>
      <c r="Q564" t="s">
        <v>74</v>
      </c>
      <c r="R564" t="s">
        <v>74</v>
      </c>
      <c r="S564" t="s">
        <v>74</v>
      </c>
      <c r="T564" t="s">
        <v>74</v>
      </c>
      <c r="U564" t="s">
        <v>11040</v>
      </c>
      <c r="V564" t="s">
        <v>11041</v>
      </c>
      <c r="W564" t="s">
        <v>11042</v>
      </c>
      <c r="X564" t="s">
        <v>11043</v>
      </c>
      <c r="Y564" t="s">
        <v>11044</v>
      </c>
      <c r="Z564" t="s">
        <v>74</v>
      </c>
      <c r="AA564" t="s">
        <v>11045</v>
      </c>
      <c r="AB564" t="s">
        <v>11046</v>
      </c>
      <c r="AC564" t="s">
        <v>11047</v>
      </c>
      <c r="AD564" t="s">
        <v>11048</v>
      </c>
      <c r="AE564" t="s">
        <v>11049</v>
      </c>
      <c r="AF564" t="s">
        <v>74</v>
      </c>
      <c r="AG564">
        <v>30</v>
      </c>
      <c r="AH564">
        <v>20</v>
      </c>
      <c r="AI564">
        <v>21</v>
      </c>
      <c r="AJ564">
        <v>1</v>
      </c>
      <c r="AK564">
        <v>13</v>
      </c>
      <c r="AL564" t="s">
        <v>9484</v>
      </c>
      <c r="AM564" t="s">
        <v>9485</v>
      </c>
      <c r="AN564" t="s">
        <v>9486</v>
      </c>
      <c r="AO564" t="s">
        <v>11050</v>
      </c>
      <c r="AP564" t="s">
        <v>11051</v>
      </c>
      <c r="AQ564" t="s">
        <v>74</v>
      </c>
      <c r="AR564" t="s">
        <v>11039</v>
      </c>
      <c r="AS564" t="s">
        <v>528</v>
      </c>
      <c r="AT564" t="s">
        <v>9222</v>
      </c>
      <c r="AU564">
        <v>2018</v>
      </c>
      <c r="AV564">
        <v>46</v>
      </c>
      <c r="AW564">
        <v>12</v>
      </c>
      <c r="AX564" t="s">
        <v>74</v>
      </c>
      <c r="AY564" t="s">
        <v>74</v>
      </c>
      <c r="AZ564" t="s">
        <v>74</v>
      </c>
      <c r="BA564" t="s">
        <v>74</v>
      </c>
      <c r="BB564">
        <v>1071</v>
      </c>
      <c r="BC564">
        <v>1074</v>
      </c>
      <c r="BD564" t="s">
        <v>74</v>
      </c>
      <c r="BE564" t="s">
        <v>11052</v>
      </c>
      <c r="BF564" t="str">
        <f>HYPERLINK("http://dx.doi.org/10.1130/G45347.1","http://dx.doi.org/10.1130/G45347.1")</f>
        <v>http://dx.doi.org/10.1130/G45347.1</v>
      </c>
      <c r="BG564" t="s">
        <v>74</v>
      </c>
      <c r="BH564" t="s">
        <v>74</v>
      </c>
      <c r="BI564">
        <v>4</v>
      </c>
      <c r="BJ564" t="s">
        <v>528</v>
      </c>
      <c r="BK564" t="s">
        <v>101</v>
      </c>
      <c r="BL564" t="s">
        <v>528</v>
      </c>
      <c r="BM564" t="s">
        <v>11053</v>
      </c>
      <c r="BN564" t="s">
        <v>74</v>
      </c>
      <c r="BO564" t="s">
        <v>11054</v>
      </c>
      <c r="BP564" t="s">
        <v>74</v>
      </c>
      <c r="BQ564" t="s">
        <v>74</v>
      </c>
      <c r="BR564" t="s">
        <v>104</v>
      </c>
      <c r="BS564" t="s">
        <v>11055</v>
      </c>
      <c r="BT564" t="str">
        <f>HYPERLINK("https%3A%2F%2Fwww.webofscience.com%2Fwos%2Fwoscc%2Ffull-record%2FWOS:000451275100013","View Full Record in Web of Science")</f>
        <v>View Full Record in Web of Science</v>
      </c>
    </row>
    <row r="565" spans="1:72" x14ac:dyDescent="0.15">
      <c r="A565" t="s">
        <v>72</v>
      </c>
      <c r="B565" t="s">
        <v>11056</v>
      </c>
      <c r="C565" t="s">
        <v>74</v>
      </c>
      <c r="D565" t="s">
        <v>74</v>
      </c>
      <c r="E565" t="s">
        <v>74</v>
      </c>
      <c r="F565" t="s">
        <v>11057</v>
      </c>
      <c r="G565" t="s">
        <v>74</v>
      </c>
      <c r="H565" t="s">
        <v>74</v>
      </c>
      <c r="I565" t="s">
        <v>11058</v>
      </c>
      <c r="J565" t="s">
        <v>11059</v>
      </c>
      <c r="K565" t="s">
        <v>74</v>
      </c>
      <c r="L565" t="s">
        <v>74</v>
      </c>
      <c r="M565" t="s">
        <v>78</v>
      </c>
      <c r="N565" t="s">
        <v>79</v>
      </c>
      <c r="O565" t="s">
        <v>74</v>
      </c>
      <c r="P565" t="s">
        <v>74</v>
      </c>
      <c r="Q565" t="s">
        <v>74</v>
      </c>
      <c r="R565" t="s">
        <v>74</v>
      </c>
      <c r="S565" t="s">
        <v>74</v>
      </c>
      <c r="T565" t="s">
        <v>11060</v>
      </c>
      <c r="U565" t="s">
        <v>11061</v>
      </c>
      <c r="V565" t="s">
        <v>11062</v>
      </c>
      <c r="W565" t="s">
        <v>11063</v>
      </c>
      <c r="X565" t="s">
        <v>11064</v>
      </c>
      <c r="Y565" t="s">
        <v>11065</v>
      </c>
      <c r="Z565" t="s">
        <v>11066</v>
      </c>
      <c r="AA565" t="s">
        <v>11067</v>
      </c>
      <c r="AB565" t="s">
        <v>11068</v>
      </c>
      <c r="AC565" t="s">
        <v>11069</v>
      </c>
      <c r="AD565" t="s">
        <v>11070</v>
      </c>
      <c r="AE565" t="s">
        <v>11071</v>
      </c>
      <c r="AF565" t="s">
        <v>74</v>
      </c>
      <c r="AG565">
        <v>82</v>
      </c>
      <c r="AH565">
        <v>13</v>
      </c>
      <c r="AI565">
        <v>14</v>
      </c>
      <c r="AJ565">
        <v>2</v>
      </c>
      <c r="AK565">
        <v>13</v>
      </c>
      <c r="AL565" t="s">
        <v>11072</v>
      </c>
      <c r="AM565" t="s">
        <v>9241</v>
      </c>
      <c r="AN565" t="s">
        <v>11073</v>
      </c>
      <c r="AO565" t="s">
        <v>11074</v>
      </c>
      <c r="AP565" t="s">
        <v>11075</v>
      </c>
      <c r="AQ565" t="s">
        <v>74</v>
      </c>
      <c r="AR565" t="s">
        <v>11076</v>
      </c>
      <c r="AS565" t="s">
        <v>11077</v>
      </c>
      <c r="AT565" t="s">
        <v>9222</v>
      </c>
      <c r="AU565">
        <v>2018</v>
      </c>
      <c r="AV565">
        <v>22</v>
      </c>
      <c r="AW565">
        <v>6</v>
      </c>
      <c r="AX565" t="s">
        <v>74</v>
      </c>
      <c r="AY565" t="s">
        <v>74</v>
      </c>
      <c r="AZ565" t="s">
        <v>74</v>
      </c>
      <c r="BA565" t="s">
        <v>74</v>
      </c>
      <c r="BB565">
        <v>939</v>
      </c>
      <c r="BC565">
        <v>953</v>
      </c>
      <c r="BD565" t="s">
        <v>74</v>
      </c>
      <c r="BE565" t="s">
        <v>11078</v>
      </c>
      <c r="BF565" t="str">
        <f>HYPERLINK("http://dx.doi.org/10.1007/s12303-018-0055-7","http://dx.doi.org/10.1007/s12303-018-0055-7")</f>
        <v>http://dx.doi.org/10.1007/s12303-018-0055-7</v>
      </c>
      <c r="BG565" t="s">
        <v>74</v>
      </c>
      <c r="BH565" t="s">
        <v>74</v>
      </c>
      <c r="BI565">
        <v>15</v>
      </c>
      <c r="BJ565" t="s">
        <v>884</v>
      </c>
      <c r="BK565" t="s">
        <v>101</v>
      </c>
      <c r="BL565" t="s">
        <v>528</v>
      </c>
      <c r="BM565" t="s">
        <v>11079</v>
      </c>
      <c r="BN565" t="s">
        <v>74</v>
      </c>
      <c r="BO565" t="s">
        <v>74</v>
      </c>
      <c r="BP565" t="s">
        <v>74</v>
      </c>
      <c r="BQ565" t="s">
        <v>74</v>
      </c>
      <c r="BR565" t="s">
        <v>104</v>
      </c>
      <c r="BS565" t="s">
        <v>11080</v>
      </c>
      <c r="BT565" t="str">
        <f>HYPERLINK("https%3A%2F%2Fwww.webofscience.com%2Fwos%2Fwoscc%2Ffull-record%2FWOS:000449989800006","View Full Record in Web of Science")</f>
        <v>View Full Record in Web of Science</v>
      </c>
    </row>
    <row r="566" spans="1:72" x14ac:dyDescent="0.15">
      <c r="A566" t="s">
        <v>72</v>
      </c>
      <c r="B566" t="s">
        <v>11081</v>
      </c>
      <c r="C566" t="s">
        <v>74</v>
      </c>
      <c r="D566" t="s">
        <v>74</v>
      </c>
      <c r="E566" t="s">
        <v>74</v>
      </c>
      <c r="F566" t="s">
        <v>11082</v>
      </c>
      <c r="G566" t="s">
        <v>74</v>
      </c>
      <c r="H566" t="s">
        <v>74</v>
      </c>
      <c r="I566" t="s">
        <v>11083</v>
      </c>
      <c r="J566" t="s">
        <v>11084</v>
      </c>
      <c r="K566" t="s">
        <v>74</v>
      </c>
      <c r="L566" t="s">
        <v>74</v>
      </c>
      <c r="M566" t="s">
        <v>78</v>
      </c>
      <c r="N566" t="s">
        <v>5330</v>
      </c>
      <c r="O566" t="s">
        <v>11085</v>
      </c>
      <c r="P566" t="s">
        <v>11086</v>
      </c>
      <c r="Q566" t="s">
        <v>11087</v>
      </c>
      <c r="R566" t="s">
        <v>74</v>
      </c>
      <c r="S566" t="s">
        <v>74</v>
      </c>
      <c r="T566" t="s">
        <v>11088</v>
      </c>
      <c r="U566" t="s">
        <v>11089</v>
      </c>
      <c r="V566" t="s">
        <v>11090</v>
      </c>
      <c r="W566" t="s">
        <v>11091</v>
      </c>
      <c r="X566" t="s">
        <v>11092</v>
      </c>
      <c r="Y566" t="s">
        <v>11093</v>
      </c>
      <c r="Z566" t="s">
        <v>11094</v>
      </c>
      <c r="AA566" t="s">
        <v>11095</v>
      </c>
      <c r="AB566" t="s">
        <v>11096</v>
      </c>
      <c r="AC566" t="s">
        <v>11097</v>
      </c>
      <c r="AD566" t="s">
        <v>11098</v>
      </c>
      <c r="AE566" t="s">
        <v>11099</v>
      </c>
      <c r="AF566" t="s">
        <v>74</v>
      </c>
      <c r="AG566">
        <v>86</v>
      </c>
      <c r="AH566">
        <v>16</v>
      </c>
      <c r="AI566">
        <v>17</v>
      </c>
      <c r="AJ566">
        <v>0</v>
      </c>
      <c r="AK566">
        <v>17</v>
      </c>
      <c r="AL566" t="s">
        <v>1079</v>
      </c>
      <c r="AM566" t="s">
        <v>4862</v>
      </c>
      <c r="AN566" t="s">
        <v>4863</v>
      </c>
      <c r="AO566" t="s">
        <v>11100</v>
      </c>
      <c r="AP566" t="s">
        <v>11101</v>
      </c>
      <c r="AQ566" t="s">
        <v>74</v>
      </c>
      <c r="AR566" t="s">
        <v>11084</v>
      </c>
      <c r="AS566" t="s">
        <v>11102</v>
      </c>
      <c r="AT566" t="s">
        <v>9222</v>
      </c>
      <c r="AU566">
        <v>2018</v>
      </c>
      <c r="AV566">
        <v>825</v>
      </c>
      <c r="AW566">
        <v>1</v>
      </c>
      <c r="AX566" t="s">
        <v>74</v>
      </c>
      <c r="AY566" t="s">
        <v>74</v>
      </c>
      <c r="AZ566" t="s">
        <v>4266</v>
      </c>
      <c r="BA566" t="s">
        <v>74</v>
      </c>
      <c r="BB566">
        <v>47</v>
      </c>
      <c r="BC566">
        <v>60</v>
      </c>
      <c r="BD566" t="s">
        <v>74</v>
      </c>
      <c r="BE566" t="s">
        <v>11103</v>
      </c>
      <c r="BF566" t="str">
        <f>HYPERLINK("http://dx.doi.org/10.1007/s10750-017-3445-3","http://dx.doi.org/10.1007/s10750-017-3445-3")</f>
        <v>http://dx.doi.org/10.1007/s10750-017-3445-3</v>
      </c>
      <c r="BG566" t="s">
        <v>74</v>
      </c>
      <c r="BH566" t="s">
        <v>74</v>
      </c>
      <c r="BI566">
        <v>14</v>
      </c>
      <c r="BJ566" t="s">
        <v>694</v>
      </c>
      <c r="BK566" t="s">
        <v>5354</v>
      </c>
      <c r="BL566" t="s">
        <v>694</v>
      </c>
      <c r="BM566" t="s">
        <v>11104</v>
      </c>
      <c r="BN566" t="s">
        <v>74</v>
      </c>
      <c r="BO566" t="s">
        <v>74</v>
      </c>
      <c r="BP566" t="s">
        <v>74</v>
      </c>
      <c r="BQ566" t="s">
        <v>74</v>
      </c>
      <c r="BR566" t="s">
        <v>104</v>
      </c>
      <c r="BS566" t="s">
        <v>11105</v>
      </c>
      <c r="BT566" t="str">
        <f>HYPERLINK("https%3A%2F%2Fwww.webofscience.com%2Fwos%2Fwoscc%2Ffull-record%2FWOS:000450649200004","View Full Record in Web of Science")</f>
        <v>View Full Record in Web of Science</v>
      </c>
    </row>
    <row r="567" spans="1:72" x14ac:dyDescent="0.15">
      <c r="A567" t="s">
        <v>72</v>
      </c>
      <c r="B567" t="s">
        <v>11106</v>
      </c>
      <c r="C567" t="s">
        <v>74</v>
      </c>
      <c r="D567" t="s">
        <v>74</v>
      </c>
      <c r="E567" t="s">
        <v>74</v>
      </c>
      <c r="F567" t="s">
        <v>11107</v>
      </c>
      <c r="G567" t="s">
        <v>74</v>
      </c>
      <c r="H567" t="s">
        <v>74</v>
      </c>
      <c r="I567" t="s">
        <v>11108</v>
      </c>
      <c r="J567" t="s">
        <v>5505</v>
      </c>
      <c r="K567" t="s">
        <v>74</v>
      </c>
      <c r="L567" t="s">
        <v>74</v>
      </c>
      <c r="M567" t="s">
        <v>78</v>
      </c>
      <c r="N567" t="s">
        <v>79</v>
      </c>
      <c r="O567" t="s">
        <v>74</v>
      </c>
      <c r="P567" t="s">
        <v>74</v>
      </c>
      <c r="Q567" t="s">
        <v>74</v>
      </c>
      <c r="R567" t="s">
        <v>74</v>
      </c>
      <c r="S567" t="s">
        <v>74</v>
      </c>
      <c r="T567" t="s">
        <v>11109</v>
      </c>
      <c r="U567" t="s">
        <v>11110</v>
      </c>
      <c r="V567" t="s">
        <v>11111</v>
      </c>
      <c r="W567" t="s">
        <v>11112</v>
      </c>
      <c r="X567" t="s">
        <v>11113</v>
      </c>
      <c r="Y567" t="s">
        <v>11114</v>
      </c>
      <c r="Z567" t="s">
        <v>11115</v>
      </c>
      <c r="AA567" t="s">
        <v>11116</v>
      </c>
      <c r="AB567" t="s">
        <v>11117</v>
      </c>
      <c r="AC567" t="s">
        <v>11118</v>
      </c>
      <c r="AD567" t="s">
        <v>11119</v>
      </c>
      <c r="AE567" t="s">
        <v>11120</v>
      </c>
      <c r="AF567" t="s">
        <v>74</v>
      </c>
      <c r="AG567">
        <v>33</v>
      </c>
      <c r="AH567">
        <v>1</v>
      </c>
      <c r="AI567">
        <v>1</v>
      </c>
      <c r="AJ567">
        <v>1</v>
      </c>
      <c r="AK567">
        <v>23</v>
      </c>
      <c r="AL567" t="s">
        <v>122</v>
      </c>
      <c r="AM567" t="s">
        <v>123</v>
      </c>
      <c r="AN567" t="s">
        <v>124</v>
      </c>
      <c r="AO567" t="s">
        <v>5518</v>
      </c>
      <c r="AP567" t="s">
        <v>5519</v>
      </c>
      <c r="AQ567" t="s">
        <v>74</v>
      </c>
      <c r="AR567" t="s">
        <v>5520</v>
      </c>
      <c r="AS567" t="s">
        <v>5521</v>
      </c>
      <c r="AT567" t="s">
        <v>9222</v>
      </c>
      <c r="AU567">
        <v>2018</v>
      </c>
      <c r="AV567">
        <v>56</v>
      </c>
      <c r="AW567">
        <v>12</v>
      </c>
      <c r="AX567" t="s">
        <v>74</v>
      </c>
      <c r="AY567" t="s">
        <v>74</v>
      </c>
      <c r="AZ567" t="s">
        <v>74</v>
      </c>
      <c r="BA567" t="s">
        <v>74</v>
      </c>
      <c r="BB567">
        <v>7350</v>
      </c>
      <c r="BC567">
        <v>7358</v>
      </c>
      <c r="BD567" t="s">
        <v>74</v>
      </c>
      <c r="BE567" t="s">
        <v>11121</v>
      </c>
      <c r="BF567" t="str">
        <f>HYPERLINK("http://dx.doi.org/10.1109/TGRS.2018.2850942","http://dx.doi.org/10.1109/TGRS.2018.2850942")</f>
        <v>http://dx.doi.org/10.1109/TGRS.2018.2850942</v>
      </c>
      <c r="BG567" t="s">
        <v>74</v>
      </c>
      <c r="BH567" t="s">
        <v>74</v>
      </c>
      <c r="BI567">
        <v>9</v>
      </c>
      <c r="BJ567" t="s">
        <v>5523</v>
      </c>
      <c r="BK567" t="s">
        <v>101</v>
      </c>
      <c r="BL567" t="s">
        <v>5524</v>
      </c>
      <c r="BM567" t="s">
        <v>11122</v>
      </c>
      <c r="BN567" t="s">
        <v>74</v>
      </c>
      <c r="BO567" t="s">
        <v>74</v>
      </c>
      <c r="BP567" t="s">
        <v>74</v>
      </c>
      <c r="BQ567" t="s">
        <v>74</v>
      </c>
      <c r="BR567" t="s">
        <v>104</v>
      </c>
      <c r="BS567" t="s">
        <v>11123</v>
      </c>
      <c r="BT567" t="str">
        <f>HYPERLINK("https%3A%2F%2Fwww.webofscience.com%2Fwos%2Fwoscc%2Ffull-record%2FWOS:000451621000039","View Full Record in Web of Science")</f>
        <v>View Full Record in Web of Science</v>
      </c>
    </row>
    <row r="568" spans="1:72" x14ac:dyDescent="0.15">
      <c r="A568" t="s">
        <v>72</v>
      </c>
      <c r="B568" t="s">
        <v>11124</v>
      </c>
      <c r="C568" t="s">
        <v>74</v>
      </c>
      <c r="D568" t="s">
        <v>74</v>
      </c>
      <c r="E568" t="s">
        <v>74</v>
      </c>
      <c r="F568" t="s">
        <v>11125</v>
      </c>
      <c r="G568" t="s">
        <v>74</v>
      </c>
      <c r="H568" t="s">
        <v>74</v>
      </c>
      <c r="I568" t="s">
        <v>11126</v>
      </c>
      <c r="J568" t="s">
        <v>11127</v>
      </c>
      <c r="K568" t="s">
        <v>74</v>
      </c>
      <c r="L568" t="s">
        <v>74</v>
      </c>
      <c r="M568" t="s">
        <v>78</v>
      </c>
      <c r="N568" t="s">
        <v>1003</v>
      </c>
      <c r="O568" t="s">
        <v>74</v>
      </c>
      <c r="P568" t="s">
        <v>74</v>
      </c>
      <c r="Q568" t="s">
        <v>74</v>
      </c>
      <c r="R568" t="s">
        <v>74</v>
      </c>
      <c r="S568" t="s">
        <v>74</v>
      </c>
      <c r="T568" t="s">
        <v>11128</v>
      </c>
      <c r="U568" t="s">
        <v>11129</v>
      </c>
      <c r="V568" t="s">
        <v>11130</v>
      </c>
      <c r="W568" t="s">
        <v>11131</v>
      </c>
      <c r="X568" t="s">
        <v>11132</v>
      </c>
      <c r="Y568" t="s">
        <v>11133</v>
      </c>
      <c r="Z568" t="s">
        <v>11134</v>
      </c>
      <c r="AA568" t="s">
        <v>11135</v>
      </c>
      <c r="AB568" t="s">
        <v>11136</v>
      </c>
      <c r="AC568" t="s">
        <v>11137</v>
      </c>
      <c r="AD568" t="s">
        <v>11138</v>
      </c>
      <c r="AE568" t="s">
        <v>11139</v>
      </c>
      <c r="AF568" t="s">
        <v>74</v>
      </c>
      <c r="AG568">
        <v>77</v>
      </c>
      <c r="AH568">
        <v>0</v>
      </c>
      <c r="AI568">
        <v>0</v>
      </c>
      <c r="AJ568">
        <v>4</v>
      </c>
      <c r="AK568">
        <v>42</v>
      </c>
      <c r="AL568" t="s">
        <v>11140</v>
      </c>
      <c r="AM568" t="s">
        <v>3008</v>
      </c>
      <c r="AN568" t="s">
        <v>11141</v>
      </c>
      <c r="AO568" t="s">
        <v>11142</v>
      </c>
      <c r="AP568" t="s">
        <v>11143</v>
      </c>
      <c r="AQ568" t="s">
        <v>74</v>
      </c>
      <c r="AR568" t="s">
        <v>11144</v>
      </c>
      <c r="AS568" t="s">
        <v>11145</v>
      </c>
      <c r="AT568" t="s">
        <v>9222</v>
      </c>
      <c r="AU568">
        <v>2018</v>
      </c>
      <c r="AV568">
        <v>27</v>
      </c>
      <c r="AW568">
        <v>10</v>
      </c>
      <c r="AX568" t="s">
        <v>74</v>
      </c>
      <c r="AY568" t="s">
        <v>74</v>
      </c>
      <c r="AZ568" t="s">
        <v>74</v>
      </c>
      <c r="BA568" t="s">
        <v>74</v>
      </c>
      <c r="BB568">
        <v>1322</v>
      </c>
      <c r="BC568">
        <v>1340</v>
      </c>
      <c r="BD568" t="s">
        <v>74</v>
      </c>
      <c r="BE568" t="s">
        <v>11146</v>
      </c>
      <c r="BF568" t="str">
        <f>HYPERLINK("http://dx.doi.org/10.1177/1420326X17719953","http://dx.doi.org/10.1177/1420326X17719953")</f>
        <v>http://dx.doi.org/10.1177/1420326X17719953</v>
      </c>
      <c r="BG568" t="s">
        <v>74</v>
      </c>
      <c r="BH568" t="s">
        <v>74</v>
      </c>
      <c r="BI568">
        <v>19</v>
      </c>
      <c r="BJ568" t="s">
        <v>11147</v>
      </c>
      <c r="BK568" t="s">
        <v>101</v>
      </c>
      <c r="BL568" t="s">
        <v>11148</v>
      </c>
      <c r="BM568" t="s">
        <v>11149</v>
      </c>
      <c r="BN568" t="s">
        <v>74</v>
      </c>
      <c r="BO568" t="s">
        <v>74</v>
      </c>
      <c r="BP568" t="s">
        <v>74</v>
      </c>
      <c r="BQ568" t="s">
        <v>74</v>
      </c>
      <c r="BR568" t="s">
        <v>104</v>
      </c>
      <c r="BS568" t="s">
        <v>11150</v>
      </c>
      <c r="BT568" t="str">
        <f>HYPERLINK("https%3A%2F%2Fwww.webofscience.com%2Fwos%2Fwoscc%2Ffull-record%2FWOS:000452276100003","View Full Record in Web of Science")</f>
        <v>View Full Record in Web of Science</v>
      </c>
    </row>
    <row r="569" spans="1:72" x14ac:dyDescent="0.15">
      <c r="A569" t="s">
        <v>72</v>
      </c>
      <c r="B569" t="s">
        <v>11151</v>
      </c>
      <c r="C569" t="s">
        <v>74</v>
      </c>
      <c r="D569" t="s">
        <v>74</v>
      </c>
      <c r="E569" t="s">
        <v>74</v>
      </c>
      <c r="F569" t="s">
        <v>11152</v>
      </c>
      <c r="G569" t="s">
        <v>74</v>
      </c>
      <c r="H569" t="s">
        <v>74</v>
      </c>
      <c r="I569" t="s">
        <v>11153</v>
      </c>
      <c r="J569" t="s">
        <v>11154</v>
      </c>
      <c r="K569" t="s">
        <v>74</v>
      </c>
      <c r="L569" t="s">
        <v>74</v>
      </c>
      <c r="M569" t="s">
        <v>78</v>
      </c>
      <c r="N569" t="s">
        <v>79</v>
      </c>
      <c r="O569" t="s">
        <v>74</v>
      </c>
      <c r="P569" t="s">
        <v>74</v>
      </c>
      <c r="Q569" t="s">
        <v>74</v>
      </c>
      <c r="R569" t="s">
        <v>74</v>
      </c>
      <c r="S569" t="s">
        <v>74</v>
      </c>
      <c r="T569" t="s">
        <v>74</v>
      </c>
      <c r="U569" t="s">
        <v>11155</v>
      </c>
      <c r="V569" t="s">
        <v>11156</v>
      </c>
      <c r="W569" t="s">
        <v>11157</v>
      </c>
      <c r="X569" t="s">
        <v>11158</v>
      </c>
      <c r="Y569" t="s">
        <v>11159</v>
      </c>
      <c r="Z569" t="s">
        <v>11160</v>
      </c>
      <c r="AA569" t="s">
        <v>11161</v>
      </c>
      <c r="AB569" t="s">
        <v>11162</v>
      </c>
      <c r="AC569" t="s">
        <v>11163</v>
      </c>
      <c r="AD569" t="s">
        <v>11164</v>
      </c>
      <c r="AE569" t="s">
        <v>11165</v>
      </c>
      <c r="AF569" t="s">
        <v>74</v>
      </c>
      <c r="AG569">
        <v>43</v>
      </c>
      <c r="AH569">
        <v>3</v>
      </c>
      <c r="AI569">
        <v>3</v>
      </c>
      <c r="AJ569">
        <v>1</v>
      </c>
      <c r="AK569">
        <v>20</v>
      </c>
      <c r="AL569" t="s">
        <v>150</v>
      </c>
      <c r="AM569" t="s">
        <v>151</v>
      </c>
      <c r="AN569" t="s">
        <v>11166</v>
      </c>
      <c r="AO569" t="s">
        <v>11167</v>
      </c>
      <c r="AP569" t="s">
        <v>11168</v>
      </c>
      <c r="AQ569" t="s">
        <v>74</v>
      </c>
      <c r="AR569" t="s">
        <v>11169</v>
      </c>
      <c r="AS569" t="s">
        <v>11170</v>
      </c>
      <c r="AT569" t="s">
        <v>10758</v>
      </c>
      <c r="AU569">
        <v>2018</v>
      </c>
      <c r="AV569">
        <v>33</v>
      </c>
      <c r="AW569">
        <v>12</v>
      </c>
      <c r="AX569" t="s">
        <v>74</v>
      </c>
      <c r="AY569" t="s">
        <v>74</v>
      </c>
      <c r="AZ569" t="s">
        <v>74</v>
      </c>
      <c r="BA569" t="s">
        <v>74</v>
      </c>
      <c r="BB569">
        <v>2124</v>
      </c>
      <c r="BC569">
        <v>2132</v>
      </c>
      <c r="BD569" t="s">
        <v>74</v>
      </c>
      <c r="BE569" t="s">
        <v>11171</v>
      </c>
      <c r="BF569" t="str">
        <f>HYPERLINK("http://dx.doi.org/10.1039/c8ja00296g","http://dx.doi.org/10.1039/c8ja00296g")</f>
        <v>http://dx.doi.org/10.1039/c8ja00296g</v>
      </c>
      <c r="BG569" t="s">
        <v>74</v>
      </c>
      <c r="BH569" t="s">
        <v>74</v>
      </c>
      <c r="BI569">
        <v>9</v>
      </c>
      <c r="BJ569" t="s">
        <v>11172</v>
      </c>
      <c r="BK569" t="s">
        <v>101</v>
      </c>
      <c r="BL569" t="s">
        <v>11173</v>
      </c>
      <c r="BM569" t="s">
        <v>11174</v>
      </c>
      <c r="BN569" t="s">
        <v>74</v>
      </c>
      <c r="BO569" t="s">
        <v>74</v>
      </c>
      <c r="BP569" t="s">
        <v>74</v>
      </c>
      <c r="BQ569" t="s">
        <v>74</v>
      </c>
      <c r="BR569" t="s">
        <v>104</v>
      </c>
      <c r="BS569" t="s">
        <v>11175</v>
      </c>
      <c r="BT569" t="str">
        <f>HYPERLINK("https%3A%2F%2Fwww.webofscience.com%2Fwos%2Fwoscc%2Ffull-record%2FWOS:000451536000009","View Full Record in Web of Science")</f>
        <v>View Full Record in Web of Science</v>
      </c>
    </row>
    <row r="570" spans="1:72" x14ac:dyDescent="0.15">
      <c r="A570" t="s">
        <v>72</v>
      </c>
      <c r="B570" t="s">
        <v>11176</v>
      </c>
      <c r="C570" t="s">
        <v>74</v>
      </c>
      <c r="D570" t="s">
        <v>74</v>
      </c>
      <c r="E570" t="s">
        <v>74</v>
      </c>
      <c r="F570" t="s">
        <v>11177</v>
      </c>
      <c r="G570" t="s">
        <v>74</v>
      </c>
      <c r="H570" t="s">
        <v>74</v>
      </c>
      <c r="I570" t="s">
        <v>11178</v>
      </c>
      <c r="J570" t="s">
        <v>11179</v>
      </c>
      <c r="K570" t="s">
        <v>74</v>
      </c>
      <c r="L570" t="s">
        <v>74</v>
      </c>
      <c r="M570" t="s">
        <v>78</v>
      </c>
      <c r="N570" t="s">
        <v>79</v>
      </c>
      <c r="O570" t="s">
        <v>74</v>
      </c>
      <c r="P570" t="s">
        <v>74</v>
      </c>
      <c r="Q570" t="s">
        <v>74</v>
      </c>
      <c r="R570" t="s">
        <v>74</v>
      </c>
      <c r="S570" t="s">
        <v>74</v>
      </c>
      <c r="T570" t="s">
        <v>11180</v>
      </c>
      <c r="U570" t="s">
        <v>11181</v>
      </c>
      <c r="V570" t="s">
        <v>11182</v>
      </c>
      <c r="W570" t="s">
        <v>11183</v>
      </c>
      <c r="X570" t="s">
        <v>11184</v>
      </c>
      <c r="Y570" t="s">
        <v>11185</v>
      </c>
      <c r="Z570" t="s">
        <v>11186</v>
      </c>
      <c r="AA570" t="s">
        <v>11187</v>
      </c>
      <c r="AB570" t="s">
        <v>11188</v>
      </c>
      <c r="AC570" t="s">
        <v>11189</v>
      </c>
      <c r="AD570" t="s">
        <v>11190</v>
      </c>
      <c r="AE570" t="s">
        <v>11191</v>
      </c>
      <c r="AF570" t="s">
        <v>74</v>
      </c>
      <c r="AG570">
        <v>42</v>
      </c>
      <c r="AH570">
        <v>11</v>
      </c>
      <c r="AI570">
        <v>13</v>
      </c>
      <c r="AJ570">
        <v>0</v>
      </c>
      <c r="AK570">
        <v>8</v>
      </c>
      <c r="AL570" t="s">
        <v>4136</v>
      </c>
      <c r="AM570" t="s">
        <v>4137</v>
      </c>
      <c r="AN570" t="s">
        <v>11192</v>
      </c>
      <c r="AO570" t="s">
        <v>11193</v>
      </c>
      <c r="AP570" t="s">
        <v>11194</v>
      </c>
      <c r="AQ570" t="s">
        <v>74</v>
      </c>
      <c r="AR570" t="s">
        <v>11195</v>
      </c>
      <c r="AS570" t="s">
        <v>11196</v>
      </c>
      <c r="AT570" t="s">
        <v>9222</v>
      </c>
      <c r="AU570">
        <v>2018</v>
      </c>
      <c r="AV570">
        <v>57</v>
      </c>
      <c r="AW570">
        <v>12</v>
      </c>
      <c r="AX570" t="s">
        <v>74</v>
      </c>
      <c r="AY570" t="s">
        <v>74</v>
      </c>
      <c r="AZ570" t="s">
        <v>74</v>
      </c>
      <c r="BA570" t="s">
        <v>74</v>
      </c>
      <c r="BB570">
        <v>2733</v>
      </c>
      <c r="BC570">
        <v>2748</v>
      </c>
      <c r="BD570" t="s">
        <v>74</v>
      </c>
      <c r="BE570" t="s">
        <v>11197</v>
      </c>
      <c r="BF570" t="str">
        <f>HYPERLINK("http://dx.doi.org/10.1175/JAMC-D-18-0082.1","http://dx.doi.org/10.1175/JAMC-D-18-0082.1")</f>
        <v>http://dx.doi.org/10.1175/JAMC-D-18-0082.1</v>
      </c>
      <c r="BG570" t="s">
        <v>74</v>
      </c>
      <c r="BH570" t="s">
        <v>74</v>
      </c>
      <c r="BI570">
        <v>16</v>
      </c>
      <c r="BJ570" t="s">
        <v>3037</v>
      </c>
      <c r="BK570" t="s">
        <v>101</v>
      </c>
      <c r="BL570" t="s">
        <v>3037</v>
      </c>
      <c r="BM570" t="s">
        <v>11198</v>
      </c>
      <c r="BN570" t="s">
        <v>74</v>
      </c>
      <c r="BO570" t="s">
        <v>162</v>
      </c>
      <c r="BP570" t="s">
        <v>74</v>
      </c>
      <c r="BQ570" t="s">
        <v>74</v>
      </c>
      <c r="BR570" t="s">
        <v>104</v>
      </c>
      <c r="BS570" t="s">
        <v>11199</v>
      </c>
      <c r="BT570" t="str">
        <f>HYPERLINK("https%3A%2F%2Fwww.webofscience.com%2Fwos%2Fwoscc%2Ffull-record%2FWOS:000452721000002","View Full Record in Web of Science")</f>
        <v>View Full Record in Web of Science</v>
      </c>
    </row>
    <row r="571" spans="1:72" x14ac:dyDescent="0.15">
      <c r="A571" t="s">
        <v>72</v>
      </c>
      <c r="B571" t="s">
        <v>11200</v>
      </c>
      <c r="C571" t="s">
        <v>74</v>
      </c>
      <c r="D571" t="s">
        <v>74</v>
      </c>
      <c r="E571" t="s">
        <v>74</v>
      </c>
      <c r="F571" t="s">
        <v>11201</v>
      </c>
      <c r="G571" t="s">
        <v>74</v>
      </c>
      <c r="H571" t="s">
        <v>74</v>
      </c>
      <c r="I571" t="s">
        <v>11202</v>
      </c>
      <c r="J571" t="s">
        <v>11203</v>
      </c>
      <c r="K571" t="s">
        <v>74</v>
      </c>
      <c r="L571" t="s">
        <v>74</v>
      </c>
      <c r="M571" t="s">
        <v>78</v>
      </c>
      <c r="N571" t="s">
        <v>79</v>
      </c>
      <c r="O571" t="s">
        <v>74</v>
      </c>
      <c r="P571" t="s">
        <v>74</v>
      </c>
      <c r="Q571" t="s">
        <v>74</v>
      </c>
      <c r="R571" t="s">
        <v>74</v>
      </c>
      <c r="S571" t="s">
        <v>74</v>
      </c>
      <c r="T571" t="s">
        <v>11204</v>
      </c>
      <c r="U571" t="s">
        <v>11205</v>
      </c>
      <c r="V571" t="s">
        <v>11206</v>
      </c>
      <c r="W571" t="s">
        <v>11207</v>
      </c>
      <c r="X571" t="s">
        <v>11208</v>
      </c>
      <c r="Y571" t="s">
        <v>11209</v>
      </c>
      <c r="Z571" t="s">
        <v>11210</v>
      </c>
      <c r="AA571" t="s">
        <v>74</v>
      </c>
      <c r="AB571" t="s">
        <v>11211</v>
      </c>
      <c r="AC571" t="s">
        <v>11212</v>
      </c>
      <c r="AD571" t="s">
        <v>11213</v>
      </c>
      <c r="AE571" t="s">
        <v>11214</v>
      </c>
      <c r="AF571" t="s">
        <v>74</v>
      </c>
      <c r="AG571">
        <v>43</v>
      </c>
      <c r="AH571">
        <v>2</v>
      </c>
      <c r="AI571">
        <v>2</v>
      </c>
      <c r="AJ571">
        <v>0</v>
      </c>
      <c r="AK571">
        <v>12</v>
      </c>
      <c r="AL571" t="s">
        <v>11215</v>
      </c>
      <c r="AM571" t="s">
        <v>11216</v>
      </c>
      <c r="AN571" t="s">
        <v>11217</v>
      </c>
      <c r="AO571" t="s">
        <v>11218</v>
      </c>
      <c r="AP571" t="s">
        <v>11219</v>
      </c>
      <c r="AQ571" t="s">
        <v>74</v>
      </c>
      <c r="AR571" t="s">
        <v>11220</v>
      </c>
      <c r="AS571" t="s">
        <v>11221</v>
      </c>
      <c r="AT571" t="s">
        <v>9222</v>
      </c>
      <c r="AU571">
        <v>2018</v>
      </c>
      <c r="AV571">
        <v>39</v>
      </c>
      <c r="AW571">
        <v>6</v>
      </c>
      <c r="AX571" t="s">
        <v>74</v>
      </c>
      <c r="AY571" t="s">
        <v>74</v>
      </c>
      <c r="AZ571" t="s">
        <v>74</v>
      </c>
      <c r="BA571" t="s">
        <v>74</v>
      </c>
      <c r="BB571" t="s">
        <v>74</v>
      </c>
      <c r="BC571" t="s">
        <v>74</v>
      </c>
      <c r="BD571">
        <v>70</v>
      </c>
      <c r="BE571" t="s">
        <v>11222</v>
      </c>
      <c r="BF571" t="str">
        <f>HYPERLINK("http://dx.doi.org/10.1007/s12036-018-9561-2","http://dx.doi.org/10.1007/s12036-018-9561-2")</f>
        <v>http://dx.doi.org/10.1007/s12036-018-9561-2</v>
      </c>
      <c r="BG571" t="s">
        <v>74</v>
      </c>
      <c r="BH571" t="s">
        <v>74</v>
      </c>
      <c r="BI571">
        <v>13</v>
      </c>
      <c r="BJ571" t="s">
        <v>2351</v>
      </c>
      <c r="BK571" t="s">
        <v>101</v>
      </c>
      <c r="BL571" t="s">
        <v>2351</v>
      </c>
      <c r="BM571" t="s">
        <v>11223</v>
      </c>
      <c r="BN571" t="s">
        <v>74</v>
      </c>
      <c r="BO571" t="s">
        <v>74</v>
      </c>
      <c r="BP571" t="s">
        <v>74</v>
      </c>
      <c r="BQ571" t="s">
        <v>74</v>
      </c>
      <c r="BR571" t="s">
        <v>104</v>
      </c>
      <c r="BS571" t="s">
        <v>11224</v>
      </c>
      <c r="BT571" t="str">
        <f>HYPERLINK("https%3A%2F%2Fwww.webofscience.com%2Fwos%2Fwoscc%2Ffull-record%2FWOS:000451003100007","View Full Record in Web of Science")</f>
        <v>View Full Record in Web of Science</v>
      </c>
    </row>
    <row r="572" spans="1:72" x14ac:dyDescent="0.15">
      <c r="A572" t="s">
        <v>72</v>
      </c>
      <c r="B572" t="s">
        <v>11225</v>
      </c>
      <c r="C572" t="s">
        <v>74</v>
      </c>
      <c r="D572" t="s">
        <v>74</v>
      </c>
      <c r="E572" t="s">
        <v>74</v>
      </c>
      <c r="F572" t="s">
        <v>11226</v>
      </c>
      <c r="G572" t="s">
        <v>74</v>
      </c>
      <c r="H572" t="s">
        <v>74</v>
      </c>
      <c r="I572" t="s">
        <v>11227</v>
      </c>
      <c r="J572" t="s">
        <v>11228</v>
      </c>
      <c r="K572" t="s">
        <v>74</v>
      </c>
      <c r="L572" t="s">
        <v>74</v>
      </c>
      <c r="M572" t="s">
        <v>78</v>
      </c>
      <c r="N572" t="s">
        <v>79</v>
      </c>
      <c r="O572" t="s">
        <v>74</v>
      </c>
      <c r="P572" t="s">
        <v>74</v>
      </c>
      <c r="Q572" t="s">
        <v>74</v>
      </c>
      <c r="R572" t="s">
        <v>74</v>
      </c>
      <c r="S572" t="s">
        <v>74</v>
      </c>
      <c r="T572" t="s">
        <v>11229</v>
      </c>
      <c r="U572" t="s">
        <v>11230</v>
      </c>
      <c r="V572" t="s">
        <v>11231</v>
      </c>
      <c r="W572" t="s">
        <v>11232</v>
      </c>
      <c r="X572" t="s">
        <v>11233</v>
      </c>
      <c r="Y572" t="s">
        <v>11234</v>
      </c>
      <c r="Z572" t="s">
        <v>11235</v>
      </c>
      <c r="AA572" t="s">
        <v>11236</v>
      </c>
      <c r="AB572" t="s">
        <v>74</v>
      </c>
      <c r="AC572" t="s">
        <v>74</v>
      </c>
      <c r="AD572" t="s">
        <v>74</v>
      </c>
      <c r="AE572" t="s">
        <v>74</v>
      </c>
      <c r="AF572" t="s">
        <v>74</v>
      </c>
      <c r="AG572">
        <v>46</v>
      </c>
      <c r="AH572">
        <v>0</v>
      </c>
      <c r="AI572">
        <v>0</v>
      </c>
      <c r="AJ572">
        <v>0</v>
      </c>
      <c r="AK572">
        <v>6</v>
      </c>
      <c r="AL572" t="s">
        <v>3670</v>
      </c>
      <c r="AM572" t="s">
        <v>3671</v>
      </c>
      <c r="AN572" t="s">
        <v>3672</v>
      </c>
      <c r="AO572" t="s">
        <v>11237</v>
      </c>
      <c r="AP572" t="s">
        <v>11238</v>
      </c>
      <c r="AQ572" t="s">
        <v>74</v>
      </c>
      <c r="AR572" t="s">
        <v>11239</v>
      </c>
      <c r="AS572" t="s">
        <v>11240</v>
      </c>
      <c r="AT572" t="s">
        <v>9222</v>
      </c>
      <c r="AU572">
        <v>2018</v>
      </c>
      <c r="AV572">
        <v>58</v>
      </c>
      <c r="AW572">
        <v>12</v>
      </c>
      <c r="AX572" t="s">
        <v>74</v>
      </c>
      <c r="AY572" t="s">
        <v>74</v>
      </c>
      <c r="AZ572" t="s">
        <v>74</v>
      </c>
      <c r="BA572" t="s">
        <v>74</v>
      </c>
      <c r="BB572">
        <v>1033</v>
      </c>
      <c r="BC572">
        <v>1042</v>
      </c>
      <c r="BD572" t="s">
        <v>74</v>
      </c>
      <c r="BE572" t="s">
        <v>11241</v>
      </c>
      <c r="BF572" t="str">
        <f>HYPERLINK("http://dx.doi.org/10.1002/jobm.201800102","http://dx.doi.org/10.1002/jobm.201800102")</f>
        <v>http://dx.doi.org/10.1002/jobm.201800102</v>
      </c>
      <c r="BG572" t="s">
        <v>74</v>
      </c>
      <c r="BH572" t="s">
        <v>74</v>
      </c>
      <c r="BI572">
        <v>10</v>
      </c>
      <c r="BJ572" t="s">
        <v>4119</v>
      </c>
      <c r="BK572" t="s">
        <v>101</v>
      </c>
      <c r="BL572" t="s">
        <v>4119</v>
      </c>
      <c r="BM572" t="s">
        <v>11242</v>
      </c>
      <c r="BN572">
        <v>30238488</v>
      </c>
      <c r="BO572" t="s">
        <v>74</v>
      </c>
      <c r="BP572" t="s">
        <v>74</v>
      </c>
      <c r="BQ572" t="s">
        <v>74</v>
      </c>
      <c r="BR572" t="s">
        <v>104</v>
      </c>
      <c r="BS572" t="s">
        <v>11243</v>
      </c>
      <c r="BT572" t="str">
        <f>HYPERLINK("https%3A%2F%2Fwww.webofscience.com%2Fwos%2Fwoscc%2Ffull-record%2FWOS:000451862800003","View Full Record in Web of Science")</f>
        <v>View Full Record in Web of Science</v>
      </c>
    </row>
    <row r="573" spans="1:72" x14ac:dyDescent="0.15">
      <c r="A573" t="s">
        <v>72</v>
      </c>
      <c r="B573" t="s">
        <v>11244</v>
      </c>
      <c r="C573" t="s">
        <v>74</v>
      </c>
      <c r="D573" t="s">
        <v>74</v>
      </c>
      <c r="E573" t="s">
        <v>74</v>
      </c>
      <c r="F573" t="s">
        <v>11245</v>
      </c>
      <c r="G573" t="s">
        <v>74</v>
      </c>
      <c r="H573" t="s">
        <v>74</v>
      </c>
      <c r="I573" t="s">
        <v>11246</v>
      </c>
      <c r="J573" t="s">
        <v>11247</v>
      </c>
      <c r="K573" t="s">
        <v>74</v>
      </c>
      <c r="L573" t="s">
        <v>74</v>
      </c>
      <c r="M573" t="s">
        <v>78</v>
      </c>
      <c r="N573" t="s">
        <v>79</v>
      </c>
      <c r="O573" t="s">
        <v>74</v>
      </c>
      <c r="P573" t="s">
        <v>74</v>
      </c>
      <c r="Q573" t="s">
        <v>74</v>
      </c>
      <c r="R573" t="s">
        <v>74</v>
      </c>
      <c r="S573" t="s">
        <v>74</v>
      </c>
      <c r="T573" t="s">
        <v>11248</v>
      </c>
      <c r="U573" t="s">
        <v>11249</v>
      </c>
      <c r="V573" t="s">
        <v>11250</v>
      </c>
      <c r="W573" t="s">
        <v>11251</v>
      </c>
      <c r="X573" t="s">
        <v>11252</v>
      </c>
      <c r="Y573" t="s">
        <v>11253</v>
      </c>
      <c r="Z573" t="s">
        <v>11254</v>
      </c>
      <c r="AA573" t="s">
        <v>11255</v>
      </c>
      <c r="AB573" t="s">
        <v>11256</v>
      </c>
      <c r="AC573" t="s">
        <v>11257</v>
      </c>
      <c r="AD573" t="s">
        <v>11258</v>
      </c>
      <c r="AE573" t="s">
        <v>11259</v>
      </c>
      <c r="AF573" t="s">
        <v>74</v>
      </c>
      <c r="AG573">
        <v>32</v>
      </c>
      <c r="AH573">
        <v>9</v>
      </c>
      <c r="AI573">
        <v>10</v>
      </c>
      <c r="AJ573">
        <v>1</v>
      </c>
      <c r="AK573">
        <v>44</v>
      </c>
      <c r="AL573" t="s">
        <v>7701</v>
      </c>
      <c r="AM573" t="s">
        <v>3008</v>
      </c>
      <c r="AN573" t="s">
        <v>7702</v>
      </c>
      <c r="AO573" t="s">
        <v>11260</v>
      </c>
      <c r="AP573" t="s">
        <v>11261</v>
      </c>
      <c r="AQ573" t="s">
        <v>74</v>
      </c>
      <c r="AR573" t="s">
        <v>11262</v>
      </c>
      <c r="AS573" t="s">
        <v>11263</v>
      </c>
      <c r="AT573" t="s">
        <v>9222</v>
      </c>
      <c r="AU573">
        <v>2018</v>
      </c>
      <c r="AV573">
        <v>127</v>
      </c>
      <c r="AW573" t="s">
        <v>74</v>
      </c>
      <c r="AX573" t="s">
        <v>74</v>
      </c>
      <c r="AY573" t="s">
        <v>74</v>
      </c>
      <c r="AZ573" t="s">
        <v>74</v>
      </c>
      <c r="BA573" t="s">
        <v>74</v>
      </c>
      <c r="BB573">
        <v>86</v>
      </c>
      <c r="BC573">
        <v>91</v>
      </c>
      <c r="BD573" t="s">
        <v>74</v>
      </c>
      <c r="BE573" t="s">
        <v>11264</v>
      </c>
      <c r="BF573" t="str">
        <f>HYPERLINK("http://dx.doi.org/10.1016/j.jct.2018.07.019","http://dx.doi.org/10.1016/j.jct.2018.07.019")</f>
        <v>http://dx.doi.org/10.1016/j.jct.2018.07.019</v>
      </c>
      <c r="BG573" t="s">
        <v>74</v>
      </c>
      <c r="BH573" t="s">
        <v>74</v>
      </c>
      <c r="BI573">
        <v>6</v>
      </c>
      <c r="BJ573" t="s">
        <v>11265</v>
      </c>
      <c r="BK573" t="s">
        <v>101</v>
      </c>
      <c r="BL573" t="s">
        <v>11266</v>
      </c>
      <c r="BM573" t="s">
        <v>11267</v>
      </c>
      <c r="BN573" t="s">
        <v>74</v>
      </c>
      <c r="BO573" t="s">
        <v>74</v>
      </c>
      <c r="BP573" t="s">
        <v>74</v>
      </c>
      <c r="BQ573" t="s">
        <v>74</v>
      </c>
      <c r="BR573" t="s">
        <v>104</v>
      </c>
      <c r="BS573" t="s">
        <v>11268</v>
      </c>
      <c r="BT573" t="str">
        <f>HYPERLINK("https%3A%2F%2Fwww.webofscience.com%2Fwos%2Fwoscc%2Ffull-record%2FWOS:000442531700012","View Full Record in Web of Science")</f>
        <v>View Full Record in Web of Science</v>
      </c>
    </row>
    <row r="574" spans="1:72" x14ac:dyDescent="0.15">
      <c r="A574" t="s">
        <v>72</v>
      </c>
      <c r="B574" t="s">
        <v>11269</v>
      </c>
      <c r="C574" t="s">
        <v>74</v>
      </c>
      <c r="D574" t="s">
        <v>74</v>
      </c>
      <c r="E574" t="s">
        <v>74</v>
      </c>
      <c r="F574" t="s">
        <v>11270</v>
      </c>
      <c r="G574" t="s">
        <v>74</v>
      </c>
      <c r="H574" t="s">
        <v>74</v>
      </c>
      <c r="I574" t="s">
        <v>11271</v>
      </c>
      <c r="J574" t="s">
        <v>11272</v>
      </c>
      <c r="K574" t="s">
        <v>74</v>
      </c>
      <c r="L574" t="s">
        <v>74</v>
      </c>
      <c r="M574" t="s">
        <v>78</v>
      </c>
      <c r="N574" t="s">
        <v>79</v>
      </c>
      <c r="O574" t="s">
        <v>74</v>
      </c>
      <c r="P574" t="s">
        <v>74</v>
      </c>
      <c r="Q574" t="s">
        <v>74</v>
      </c>
      <c r="R574" t="s">
        <v>74</v>
      </c>
      <c r="S574" t="s">
        <v>74</v>
      </c>
      <c r="T574" t="s">
        <v>11273</v>
      </c>
      <c r="U574" t="s">
        <v>11274</v>
      </c>
      <c r="V574" t="s">
        <v>11275</v>
      </c>
      <c r="W574" t="s">
        <v>11276</v>
      </c>
      <c r="X574" t="s">
        <v>11277</v>
      </c>
      <c r="Y574" t="s">
        <v>11278</v>
      </c>
      <c r="Z574" t="s">
        <v>11279</v>
      </c>
      <c r="AA574" t="s">
        <v>74</v>
      </c>
      <c r="AB574" t="s">
        <v>74</v>
      </c>
      <c r="AC574" t="s">
        <v>11280</v>
      </c>
      <c r="AD574" t="s">
        <v>10132</v>
      </c>
      <c r="AE574" t="s">
        <v>11281</v>
      </c>
      <c r="AF574" t="s">
        <v>74</v>
      </c>
      <c r="AG574">
        <v>75</v>
      </c>
      <c r="AH574">
        <v>12</v>
      </c>
      <c r="AI574">
        <v>14</v>
      </c>
      <c r="AJ574">
        <v>3</v>
      </c>
      <c r="AK574">
        <v>34</v>
      </c>
      <c r="AL574" t="s">
        <v>4136</v>
      </c>
      <c r="AM574" t="s">
        <v>4137</v>
      </c>
      <c r="AN574" t="s">
        <v>11192</v>
      </c>
      <c r="AO574" t="s">
        <v>11282</v>
      </c>
      <c r="AP574" t="s">
        <v>11283</v>
      </c>
      <c r="AQ574" t="s">
        <v>74</v>
      </c>
      <c r="AR574" t="s">
        <v>11284</v>
      </c>
      <c r="AS574" t="s">
        <v>11285</v>
      </c>
      <c r="AT574" t="s">
        <v>9222</v>
      </c>
      <c r="AU574">
        <v>2018</v>
      </c>
      <c r="AV574">
        <v>31</v>
      </c>
      <c r="AW574">
        <v>23</v>
      </c>
      <c r="AX574" t="s">
        <v>74</v>
      </c>
      <c r="AY574" t="s">
        <v>74</v>
      </c>
      <c r="AZ574" t="s">
        <v>74</v>
      </c>
      <c r="BA574" t="s">
        <v>74</v>
      </c>
      <c r="BB574">
        <v>9605</v>
      </c>
      <c r="BC574">
        <v>9623</v>
      </c>
      <c r="BD574" t="s">
        <v>74</v>
      </c>
      <c r="BE574" t="s">
        <v>11286</v>
      </c>
      <c r="BF574" t="str">
        <f>HYPERLINK("http://dx.doi.org/10.1175/JCLI-D-18-0297.1","http://dx.doi.org/10.1175/JCLI-D-18-0297.1")</f>
        <v>http://dx.doi.org/10.1175/JCLI-D-18-0297.1</v>
      </c>
      <c r="BG574" t="s">
        <v>74</v>
      </c>
      <c r="BH574" t="s">
        <v>74</v>
      </c>
      <c r="BI574">
        <v>19</v>
      </c>
      <c r="BJ574" t="s">
        <v>3037</v>
      </c>
      <c r="BK574" t="s">
        <v>101</v>
      </c>
      <c r="BL574" t="s">
        <v>3037</v>
      </c>
      <c r="BM574" t="s">
        <v>11287</v>
      </c>
      <c r="BN574" t="s">
        <v>74</v>
      </c>
      <c r="BO574" t="s">
        <v>74</v>
      </c>
      <c r="BP574" t="s">
        <v>74</v>
      </c>
      <c r="BQ574" t="s">
        <v>74</v>
      </c>
      <c r="BR574" t="s">
        <v>104</v>
      </c>
      <c r="BS574" t="s">
        <v>11288</v>
      </c>
      <c r="BT574" t="str">
        <f>HYPERLINK("https%3A%2F%2Fwww.webofscience.com%2Fwos%2Fwoscc%2Ffull-record%2FWOS:000449623800002","View Full Record in Web of Science")</f>
        <v>View Full Record in Web of Science</v>
      </c>
    </row>
    <row r="575" spans="1:72" x14ac:dyDescent="0.15">
      <c r="A575" t="s">
        <v>72</v>
      </c>
      <c r="B575" t="s">
        <v>11289</v>
      </c>
      <c r="C575" t="s">
        <v>74</v>
      </c>
      <c r="D575" t="s">
        <v>74</v>
      </c>
      <c r="E575" t="s">
        <v>74</v>
      </c>
      <c r="F575" t="s">
        <v>11290</v>
      </c>
      <c r="G575" t="s">
        <v>74</v>
      </c>
      <c r="H575" t="s">
        <v>74</v>
      </c>
      <c r="I575" t="s">
        <v>11291</v>
      </c>
      <c r="J575" t="s">
        <v>11272</v>
      </c>
      <c r="K575" t="s">
        <v>74</v>
      </c>
      <c r="L575" t="s">
        <v>74</v>
      </c>
      <c r="M575" t="s">
        <v>78</v>
      </c>
      <c r="N575" t="s">
        <v>79</v>
      </c>
      <c r="O575" t="s">
        <v>74</v>
      </c>
      <c r="P575" t="s">
        <v>74</v>
      </c>
      <c r="Q575" t="s">
        <v>74</v>
      </c>
      <c r="R575" t="s">
        <v>74</v>
      </c>
      <c r="S575" t="s">
        <v>74</v>
      </c>
      <c r="T575" t="s">
        <v>11292</v>
      </c>
      <c r="U575" t="s">
        <v>11293</v>
      </c>
      <c r="V575" t="s">
        <v>11294</v>
      </c>
      <c r="W575" t="s">
        <v>11295</v>
      </c>
      <c r="X575" t="s">
        <v>11296</v>
      </c>
      <c r="Y575" t="s">
        <v>11297</v>
      </c>
      <c r="Z575" t="s">
        <v>11298</v>
      </c>
      <c r="AA575" t="s">
        <v>11299</v>
      </c>
      <c r="AB575" t="s">
        <v>74</v>
      </c>
      <c r="AC575" t="s">
        <v>11300</v>
      </c>
      <c r="AD575" t="s">
        <v>11301</v>
      </c>
      <c r="AE575" t="s">
        <v>11302</v>
      </c>
      <c r="AF575" t="s">
        <v>74</v>
      </c>
      <c r="AG575">
        <v>44</v>
      </c>
      <c r="AH575">
        <v>19</v>
      </c>
      <c r="AI575">
        <v>19</v>
      </c>
      <c r="AJ575">
        <v>1</v>
      </c>
      <c r="AK575">
        <v>24</v>
      </c>
      <c r="AL575" t="s">
        <v>4136</v>
      </c>
      <c r="AM575" t="s">
        <v>4137</v>
      </c>
      <c r="AN575" t="s">
        <v>4138</v>
      </c>
      <c r="AO575" t="s">
        <v>11282</v>
      </c>
      <c r="AP575" t="s">
        <v>11283</v>
      </c>
      <c r="AQ575" t="s">
        <v>74</v>
      </c>
      <c r="AR575" t="s">
        <v>11284</v>
      </c>
      <c r="AS575" t="s">
        <v>11285</v>
      </c>
      <c r="AT575" t="s">
        <v>9222</v>
      </c>
      <c r="AU575">
        <v>2018</v>
      </c>
      <c r="AV575">
        <v>31</v>
      </c>
      <c r="AW575">
        <v>23</v>
      </c>
      <c r="AX575" t="s">
        <v>74</v>
      </c>
      <c r="AY575" t="s">
        <v>74</v>
      </c>
      <c r="AZ575" t="s">
        <v>74</v>
      </c>
      <c r="BA575" t="s">
        <v>74</v>
      </c>
      <c r="BB575">
        <v>9771</v>
      </c>
      <c r="BC575">
        <v>9786</v>
      </c>
      <c r="BD575" t="s">
        <v>74</v>
      </c>
      <c r="BE575" t="s">
        <v>11303</v>
      </c>
      <c r="BF575" t="str">
        <f>HYPERLINK("http://dx.doi.org/10.1175/JCLI-D-18-0348.1","http://dx.doi.org/10.1175/JCLI-D-18-0348.1")</f>
        <v>http://dx.doi.org/10.1175/JCLI-D-18-0348.1</v>
      </c>
      <c r="BG575" t="s">
        <v>74</v>
      </c>
      <c r="BH575" t="s">
        <v>74</v>
      </c>
      <c r="BI575">
        <v>16</v>
      </c>
      <c r="BJ575" t="s">
        <v>3037</v>
      </c>
      <c r="BK575" t="s">
        <v>101</v>
      </c>
      <c r="BL575" t="s">
        <v>3037</v>
      </c>
      <c r="BM575" t="s">
        <v>11304</v>
      </c>
      <c r="BN575" t="s">
        <v>74</v>
      </c>
      <c r="BO575" t="s">
        <v>162</v>
      </c>
      <c r="BP575" t="s">
        <v>74</v>
      </c>
      <c r="BQ575" t="s">
        <v>74</v>
      </c>
      <c r="BR575" t="s">
        <v>104</v>
      </c>
      <c r="BS575" t="s">
        <v>11305</v>
      </c>
      <c r="BT575" t="str">
        <f>HYPERLINK("https%3A%2F%2Fwww.webofscience.com%2Fwos%2Fwoscc%2Ffull-record%2FWOS:000450407100003","View Full Record in Web of Science")</f>
        <v>View Full Record in Web of Science</v>
      </c>
    </row>
    <row r="576" spans="1:72" x14ac:dyDescent="0.15">
      <c r="A576" t="s">
        <v>72</v>
      </c>
      <c r="B576" t="s">
        <v>11306</v>
      </c>
      <c r="C576" t="s">
        <v>74</v>
      </c>
      <c r="D576" t="s">
        <v>74</v>
      </c>
      <c r="E576" t="s">
        <v>74</v>
      </c>
      <c r="F576" t="s">
        <v>11307</v>
      </c>
      <c r="G576" t="s">
        <v>74</v>
      </c>
      <c r="H576" t="s">
        <v>74</v>
      </c>
      <c r="I576" t="s">
        <v>11308</v>
      </c>
      <c r="J576" t="s">
        <v>11309</v>
      </c>
      <c r="K576" t="s">
        <v>74</v>
      </c>
      <c r="L576" t="s">
        <v>74</v>
      </c>
      <c r="M576" t="s">
        <v>78</v>
      </c>
      <c r="N576" t="s">
        <v>79</v>
      </c>
      <c r="O576" t="s">
        <v>74</v>
      </c>
      <c r="P576" t="s">
        <v>74</v>
      </c>
      <c r="Q576" t="s">
        <v>74</v>
      </c>
      <c r="R576" t="s">
        <v>74</v>
      </c>
      <c r="S576" t="s">
        <v>74</v>
      </c>
      <c r="T576" t="s">
        <v>74</v>
      </c>
      <c r="U576" t="s">
        <v>74</v>
      </c>
      <c r="V576" t="s">
        <v>11310</v>
      </c>
      <c r="W576" t="s">
        <v>11311</v>
      </c>
      <c r="X576" t="s">
        <v>11312</v>
      </c>
      <c r="Y576" t="s">
        <v>11313</v>
      </c>
      <c r="Z576" t="s">
        <v>11314</v>
      </c>
      <c r="AA576" t="s">
        <v>11315</v>
      </c>
      <c r="AB576" t="s">
        <v>11316</v>
      </c>
      <c r="AC576" t="s">
        <v>11317</v>
      </c>
      <c r="AD576" t="s">
        <v>11317</v>
      </c>
      <c r="AE576" t="s">
        <v>11318</v>
      </c>
      <c r="AF576" t="s">
        <v>74</v>
      </c>
      <c r="AG576">
        <v>19</v>
      </c>
      <c r="AH576">
        <v>2</v>
      </c>
      <c r="AI576">
        <v>2</v>
      </c>
      <c r="AJ576">
        <v>0</v>
      </c>
      <c r="AK576">
        <v>13</v>
      </c>
      <c r="AL576" t="s">
        <v>11319</v>
      </c>
      <c r="AM576" t="s">
        <v>11320</v>
      </c>
      <c r="AN576" t="s">
        <v>11321</v>
      </c>
      <c r="AO576" t="s">
        <v>11322</v>
      </c>
      <c r="AP576" t="s">
        <v>11323</v>
      </c>
      <c r="AQ576" t="s">
        <v>74</v>
      </c>
      <c r="AR576" t="s">
        <v>11324</v>
      </c>
      <c r="AS576" t="s">
        <v>11325</v>
      </c>
      <c r="AT576" t="s">
        <v>9222</v>
      </c>
      <c r="AU576">
        <v>2018</v>
      </c>
      <c r="AV576">
        <v>32</v>
      </c>
      <c r="AW576">
        <v>4</v>
      </c>
      <c r="AX576" t="s">
        <v>74</v>
      </c>
      <c r="AY576" t="s">
        <v>74</v>
      </c>
      <c r="AZ576" t="s">
        <v>74</v>
      </c>
      <c r="BA576" t="s">
        <v>74</v>
      </c>
      <c r="BB576" t="s">
        <v>74</v>
      </c>
      <c r="BC576" t="s">
        <v>74</v>
      </c>
      <c r="BD576">
        <v>4018013</v>
      </c>
      <c r="BE576" t="s">
        <v>11326</v>
      </c>
      <c r="BF576" t="str">
        <f>HYPERLINK("http://dx.doi.org/10.1061/(ASCE)CR.1943-5495.0000170","http://dx.doi.org/10.1061/(ASCE)CR.1943-5495.0000170")</f>
        <v>http://dx.doi.org/10.1061/(ASCE)CR.1943-5495.0000170</v>
      </c>
      <c r="BG576" t="s">
        <v>74</v>
      </c>
      <c r="BH576" t="s">
        <v>74</v>
      </c>
      <c r="BI576">
        <v>4</v>
      </c>
      <c r="BJ576" t="s">
        <v>11327</v>
      </c>
      <c r="BK576" t="s">
        <v>101</v>
      </c>
      <c r="BL576" t="s">
        <v>11328</v>
      </c>
      <c r="BM576" t="s">
        <v>11329</v>
      </c>
      <c r="BN576" t="s">
        <v>74</v>
      </c>
      <c r="BO576" t="s">
        <v>74</v>
      </c>
      <c r="BP576" t="s">
        <v>74</v>
      </c>
      <c r="BQ576" t="s">
        <v>74</v>
      </c>
      <c r="BR576" t="s">
        <v>104</v>
      </c>
      <c r="BS576" t="s">
        <v>11330</v>
      </c>
      <c r="BT576" t="str">
        <f>HYPERLINK("https%3A%2F%2Fwww.webofscience.com%2Fwos%2Fwoscc%2Ffull-record%2FWOS:000447252500002","View Full Record in Web of Science")</f>
        <v>View Full Record in Web of Science</v>
      </c>
    </row>
    <row r="577" spans="1:72" x14ac:dyDescent="0.15">
      <c r="A577" t="s">
        <v>72</v>
      </c>
      <c r="B577" t="s">
        <v>11331</v>
      </c>
      <c r="C577" t="s">
        <v>74</v>
      </c>
      <c r="D577" t="s">
        <v>74</v>
      </c>
      <c r="E577" t="s">
        <v>74</v>
      </c>
      <c r="F577" t="s">
        <v>11332</v>
      </c>
      <c r="G577" t="s">
        <v>74</v>
      </c>
      <c r="H577" t="s">
        <v>74</v>
      </c>
      <c r="I577" t="s">
        <v>11333</v>
      </c>
      <c r="J577" t="s">
        <v>11334</v>
      </c>
      <c r="K577" t="s">
        <v>74</v>
      </c>
      <c r="L577" t="s">
        <v>74</v>
      </c>
      <c r="M577" t="s">
        <v>78</v>
      </c>
      <c r="N577" t="s">
        <v>79</v>
      </c>
      <c r="O577" t="s">
        <v>74</v>
      </c>
      <c r="P577" t="s">
        <v>74</v>
      </c>
      <c r="Q577" t="s">
        <v>74</v>
      </c>
      <c r="R577" t="s">
        <v>74</v>
      </c>
      <c r="S577" t="s">
        <v>74</v>
      </c>
      <c r="T577" t="s">
        <v>11335</v>
      </c>
      <c r="U577" t="s">
        <v>11336</v>
      </c>
      <c r="V577" t="s">
        <v>11337</v>
      </c>
      <c r="W577" t="s">
        <v>11338</v>
      </c>
      <c r="X577" t="s">
        <v>11339</v>
      </c>
      <c r="Y577" t="s">
        <v>11340</v>
      </c>
      <c r="Z577" t="s">
        <v>11341</v>
      </c>
      <c r="AA577" t="s">
        <v>11342</v>
      </c>
      <c r="AB577" t="s">
        <v>11343</v>
      </c>
      <c r="AC577" t="s">
        <v>11344</v>
      </c>
      <c r="AD577" t="s">
        <v>11345</v>
      </c>
      <c r="AE577" t="s">
        <v>11346</v>
      </c>
      <c r="AF577" t="s">
        <v>74</v>
      </c>
      <c r="AG577">
        <v>40</v>
      </c>
      <c r="AH577">
        <v>21</v>
      </c>
      <c r="AI577">
        <v>21</v>
      </c>
      <c r="AJ577">
        <v>4</v>
      </c>
      <c r="AK577">
        <v>46</v>
      </c>
      <c r="AL577" t="s">
        <v>11347</v>
      </c>
      <c r="AM577" t="s">
        <v>11348</v>
      </c>
      <c r="AN577" t="s">
        <v>11349</v>
      </c>
      <c r="AO577" t="s">
        <v>11350</v>
      </c>
      <c r="AP577" t="s">
        <v>11351</v>
      </c>
      <c r="AQ577" t="s">
        <v>74</v>
      </c>
      <c r="AR577" t="s">
        <v>11352</v>
      </c>
      <c r="AS577" t="s">
        <v>11353</v>
      </c>
      <c r="AT577" t="s">
        <v>9222</v>
      </c>
      <c r="AU577">
        <v>2018</v>
      </c>
      <c r="AV577">
        <v>55</v>
      </c>
      <c r="AW577">
        <v>12</v>
      </c>
      <c r="AX577" t="s">
        <v>74</v>
      </c>
      <c r="AY577" t="s">
        <v>74</v>
      </c>
      <c r="AZ577" t="s">
        <v>74</v>
      </c>
      <c r="BA577" t="s">
        <v>74</v>
      </c>
      <c r="BB577">
        <v>4792</v>
      </c>
      <c r="BC577">
        <v>4801</v>
      </c>
      <c r="BD577" t="s">
        <v>74</v>
      </c>
      <c r="BE577" t="s">
        <v>11354</v>
      </c>
      <c r="BF577" t="str">
        <f>HYPERLINK("http://dx.doi.org/10.1007/s13197-018-3412-7","http://dx.doi.org/10.1007/s13197-018-3412-7")</f>
        <v>http://dx.doi.org/10.1007/s13197-018-3412-7</v>
      </c>
      <c r="BG577" t="s">
        <v>74</v>
      </c>
      <c r="BH577" t="s">
        <v>74</v>
      </c>
      <c r="BI577">
        <v>10</v>
      </c>
      <c r="BJ577" t="s">
        <v>5499</v>
      </c>
      <c r="BK577" t="s">
        <v>101</v>
      </c>
      <c r="BL577" t="s">
        <v>5499</v>
      </c>
      <c r="BM577" t="s">
        <v>11355</v>
      </c>
      <c r="BN577">
        <v>30482974</v>
      </c>
      <c r="BO577" t="s">
        <v>1089</v>
      </c>
      <c r="BP577" t="s">
        <v>74</v>
      </c>
      <c r="BQ577" t="s">
        <v>74</v>
      </c>
      <c r="BR577" t="s">
        <v>104</v>
      </c>
      <c r="BS577" t="s">
        <v>11356</v>
      </c>
      <c r="BT577" t="str">
        <f>HYPERLINK("https%3A%2F%2Fwww.webofscience.com%2Fwos%2Fwoscc%2Ffull-record%2FWOS:000450190000009","View Full Record in Web of Science")</f>
        <v>View Full Record in Web of Science</v>
      </c>
    </row>
    <row r="578" spans="1:72" x14ac:dyDescent="0.15">
      <c r="A578" t="s">
        <v>72</v>
      </c>
      <c r="B578" t="s">
        <v>11357</v>
      </c>
      <c r="C578" t="s">
        <v>74</v>
      </c>
      <c r="D578" t="s">
        <v>74</v>
      </c>
      <c r="E578" t="s">
        <v>74</v>
      </c>
      <c r="F578" t="s">
        <v>11358</v>
      </c>
      <c r="G578" t="s">
        <v>74</v>
      </c>
      <c r="H578" t="s">
        <v>74</v>
      </c>
      <c r="I578" t="s">
        <v>11359</v>
      </c>
      <c r="J578" t="s">
        <v>11360</v>
      </c>
      <c r="K578" t="s">
        <v>74</v>
      </c>
      <c r="L578" t="s">
        <v>74</v>
      </c>
      <c r="M578" t="s">
        <v>78</v>
      </c>
      <c r="N578" t="s">
        <v>79</v>
      </c>
      <c r="O578" t="s">
        <v>74</v>
      </c>
      <c r="P578" t="s">
        <v>74</v>
      </c>
      <c r="Q578" t="s">
        <v>74</v>
      </c>
      <c r="R578" t="s">
        <v>74</v>
      </c>
      <c r="S578" t="s">
        <v>74</v>
      </c>
      <c r="T578" t="s">
        <v>11361</v>
      </c>
      <c r="U578" t="s">
        <v>74</v>
      </c>
      <c r="V578" t="s">
        <v>11362</v>
      </c>
      <c r="W578" t="s">
        <v>11363</v>
      </c>
      <c r="X578" t="s">
        <v>11364</v>
      </c>
      <c r="Y578" t="s">
        <v>11365</v>
      </c>
      <c r="Z578" t="s">
        <v>11366</v>
      </c>
      <c r="AA578" t="s">
        <v>11367</v>
      </c>
      <c r="AB578" t="s">
        <v>11368</v>
      </c>
      <c r="AC578" t="s">
        <v>11369</v>
      </c>
      <c r="AD578" t="s">
        <v>11370</v>
      </c>
      <c r="AE578" t="s">
        <v>11371</v>
      </c>
      <c r="AF578" t="s">
        <v>74</v>
      </c>
      <c r="AG578">
        <v>19</v>
      </c>
      <c r="AH578">
        <v>9</v>
      </c>
      <c r="AI578">
        <v>11</v>
      </c>
      <c r="AJ578">
        <v>0</v>
      </c>
      <c r="AK578">
        <v>4</v>
      </c>
      <c r="AL578" t="s">
        <v>9389</v>
      </c>
      <c r="AM578" t="s">
        <v>1080</v>
      </c>
      <c r="AN578" t="s">
        <v>1081</v>
      </c>
      <c r="AO578" t="s">
        <v>11372</v>
      </c>
      <c r="AP578" t="s">
        <v>11373</v>
      </c>
      <c r="AQ578" t="s">
        <v>74</v>
      </c>
      <c r="AR578" t="s">
        <v>11374</v>
      </c>
      <c r="AS578" t="s">
        <v>11375</v>
      </c>
      <c r="AT578" t="s">
        <v>9222</v>
      </c>
      <c r="AU578">
        <v>2018</v>
      </c>
      <c r="AV578">
        <v>193</v>
      </c>
      <c r="AW578" t="s">
        <v>11376</v>
      </c>
      <c r="AX578">
        <v>2</v>
      </c>
      <c r="AY578" t="s">
        <v>74</v>
      </c>
      <c r="AZ578" t="s">
        <v>4266</v>
      </c>
      <c r="BA578" t="s">
        <v>74</v>
      </c>
      <c r="BB578">
        <v>1075</v>
      </c>
      <c r="BC578">
        <v>1084</v>
      </c>
      <c r="BD578" t="s">
        <v>74</v>
      </c>
      <c r="BE578" t="s">
        <v>11377</v>
      </c>
      <c r="BF578" t="str">
        <f>HYPERLINK("http://dx.doi.org/10.1007/s10909-018-2065-2","http://dx.doi.org/10.1007/s10909-018-2065-2")</f>
        <v>http://dx.doi.org/10.1007/s10909-018-2065-2</v>
      </c>
      <c r="BG578" t="s">
        <v>74</v>
      </c>
      <c r="BH578" t="s">
        <v>74</v>
      </c>
      <c r="BI578">
        <v>10</v>
      </c>
      <c r="BJ578" t="s">
        <v>11378</v>
      </c>
      <c r="BK578" t="s">
        <v>101</v>
      </c>
      <c r="BL578" t="s">
        <v>2449</v>
      </c>
      <c r="BM578" t="s">
        <v>11379</v>
      </c>
      <c r="BN578" t="s">
        <v>74</v>
      </c>
      <c r="BO578" t="s">
        <v>1514</v>
      </c>
      <c r="BP578" t="s">
        <v>74</v>
      </c>
      <c r="BQ578" t="s">
        <v>74</v>
      </c>
      <c r="BR578" t="s">
        <v>104</v>
      </c>
      <c r="BS578" t="s">
        <v>11380</v>
      </c>
      <c r="BT578" t="str">
        <f>HYPERLINK("https%3A%2F%2Fwww.webofscience.com%2Fwos%2Fwoscc%2Ffull-record%2FWOS:000451734500056","View Full Record in Web of Science")</f>
        <v>View Full Record in Web of Science</v>
      </c>
    </row>
    <row r="579" spans="1:72" x14ac:dyDescent="0.15">
      <c r="A579" t="s">
        <v>72</v>
      </c>
      <c r="B579" t="s">
        <v>11381</v>
      </c>
      <c r="C579" t="s">
        <v>74</v>
      </c>
      <c r="D579" t="s">
        <v>74</v>
      </c>
      <c r="E579" t="s">
        <v>74</v>
      </c>
      <c r="F579" t="s">
        <v>11382</v>
      </c>
      <c r="G579" t="s">
        <v>74</v>
      </c>
      <c r="H579" t="s">
        <v>74</v>
      </c>
      <c r="I579" t="s">
        <v>11383</v>
      </c>
      <c r="J579" t="s">
        <v>11360</v>
      </c>
      <c r="K579" t="s">
        <v>74</v>
      </c>
      <c r="L579" t="s">
        <v>74</v>
      </c>
      <c r="M579" t="s">
        <v>78</v>
      </c>
      <c r="N579" t="s">
        <v>79</v>
      </c>
      <c r="O579" t="s">
        <v>74</v>
      </c>
      <c r="P579" t="s">
        <v>74</v>
      </c>
      <c r="Q579" t="s">
        <v>74</v>
      </c>
      <c r="R579" t="s">
        <v>74</v>
      </c>
      <c r="S579" t="s">
        <v>74</v>
      </c>
      <c r="T579" t="s">
        <v>11384</v>
      </c>
      <c r="U579" t="s">
        <v>11385</v>
      </c>
      <c r="V579" t="s">
        <v>11386</v>
      </c>
      <c r="W579" t="s">
        <v>11387</v>
      </c>
      <c r="X579" t="s">
        <v>11388</v>
      </c>
      <c r="Y579" t="s">
        <v>11389</v>
      </c>
      <c r="Z579" t="s">
        <v>11390</v>
      </c>
      <c r="AA579" t="s">
        <v>11367</v>
      </c>
      <c r="AB579" t="s">
        <v>11391</v>
      </c>
      <c r="AC579" t="s">
        <v>11392</v>
      </c>
      <c r="AD579" t="s">
        <v>11393</v>
      </c>
      <c r="AE579" t="s">
        <v>11394</v>
      </c>
      <c r="AF579" t="s">
        <v>74</v>
      </c>
      <c r="AG579">
        <v>28</v>
      </c>
      <c r="AH579">
        <v>34</v>
      </c>
      <c r="AI579">
        <v>39</v>
      </c>
      <c r="AJ579">
        <v>0</v>
      </c>
      <c r="AK579">
        <v>7</v>
      </c>
      <c r="AL579" t="s">
        <v>9389</v>
      </c>
      <c r="AM579" t="s">
        <v>1080</v>
      </c>
      <c r="AN579" t="s">
        <v>1081</v>
      </c>
      <c r="AO579" t="s">
        <v>11372</v>
      </c>
      <c r="AP579" t="s">
        <v>11373</v>
      </c>
      <c r="AQ579" t="s">
        <v>74</v>
      </c>
      <c r="AR579" t="s">
        <v>11374</v>
      </c>
      <c r="AS579" t="s">
        <v>11375</v>
      </c>
      <c r="AT579" t="s">
        <v>9222</v>
      </c>
      <c r="AU579">
        <v>2018</v>
      </c>
      <c r="AV579">
        <v>193</v>
      </c>
      <c r="AW579" t="s">
        <v>11376</v>
      </c>
      <c r="AX579">
        <v>2</v>
      </c>
      <c r="AY579" t="s">
        <v>74</v>
      </c>
      <c r="AZ579" t="s">
        <v>4266</v>
      </c>
      <c r="BA579" t="s">
        <v>74</v>
      </c>
      <c r="BB579">
        <v>1112</v>
      </c>
      <c r="BC579">
        <v>1121</v>
      </c>
      <c r="BD579" t="s">
        <v>74</v>
      </c>
      <c r="BE579" t="s">
        <v>11395</v>
      </c>
      <c r="BF579" t="str">
        <f>HYPERLINK("http://dx.doi.org/10.1007/s10909-018-2078-x","http://dx.doi.org/10.1007/s10909-018-2078-x")</f>
        <v>http://dx.doi.org/10.1007/s10909-018-2078-x</v>
      </c>
      <c r="BG579" t="s">
        <v>74</v>
      </c>
      <c r="BH579" t="s">
        <v>74</v>
      </c>
      <c r="BI579">
        <v>10</v>
      </c>
      <c r="BJ579" t="s">
        <v>11378</v>
      </c>
      <c r="BK579" t="s">
        <v>101</v>
      </c>
      <c r="BL579" t="s">
        <v>2449</v>
      </c>
      <c r="BM579" t="s">
        <v>11379</v>
      </c>
      <c r="BN579" t="s">
        <v>74</v>
      </c>
      <c r="BO579" t="s">
        <v>1514</v>
      </c>
      <c r="BP579" t="s">
        <v>74</v>
      </c>
      <c r="BQ579" t="s">
        <v>74</v>
      </c>
      <c r="BR579" t="s">
        <v>104</v>
      </c>
      <c r="BS579" t="s">
        <v>11396</v>
      </c>
      <c r="BT579" t="str">
        <f>HYPERLINK("https%3A%2F%2Fwww.webofscience.com%2Fwos%2Fwoscc%2Ffull-record%2FWOS:000451734500060","View Full Record in Web of Science")</f>
        <v>View Full Record in Web of Science</v>
      </c>
    </row>
    <row r="580" spans="1:72" x14ac:dyDescent="0.15">
      <c r="A580" t="s">
        <v>72</v>
      </c>
      <c r="B580" t="s">
        <v>11397</v>
      </c>
      <c r="C580" t="s">
        <v>74</v>
      </c>
      <c r="D580" t="s">
        <v>74</v>
      </c>
      <c r="E580" t="s">
        <v>74</v>
      </c>
      <c r="F580" t="s">
        <v>11398</v>
      </c>
      <c r="G580" t="s">
        <v>74</v>
      </c>
      <c r="H580" t="s">
        <v>74</v>
      </c>
      <c r="I580" t="s">
        <v>11399</v>
      </c>
      <c r="J580" t="s">
        <v>11400</v>
      </c>
      <c r="K580" t="s">
        <v>74</v>
      </c>
      <c r="L580" t="s">
        <v>74</v>
      </c>
      <c r="M580" t="s">
        <v>78</v>
      </c>
      <c r="N580" t="s">
        <v>79</v>
      </c>
      <c r="O580" t="s">
        <v>74</v>
      </c>
      <c r="P580" t="s">
        <v>74</v>
      </c>
      <c r="Q580" t="s">
        <v>74</v>
      </c>
      <c r="R580" t="s">
        <v>74</v>
      </c>
      <c r="S580" t="s">
        <v>74</v>
      </c>
      <c r="T580" t="s">
        <v>11401</v>
      </c>
      <c r="U580" t="s">
        <v>11402</v>
      </c>
      <c r="V580" t="s">
        <v>11403</v>
      </c>
      <c r="W580" t="s">
        <v>11404</v>
      </c>
      <c r="X580" t="s">
        <v>11405</v>
      </c>
      <c r="Y580" t="s">
        <v>11406</v>
      </c>
      <c r="Z580" t="s">
        <v>11407</v>
      </c>
      <c r="AA580" t="s">
        <v>11408</v>
      </c>
      <c r="AB580" t="s">
        <v>11409</v>
      </c>
      <c r="AC580" t="s">
        <v>11410</v>
      </c>
      <c r="AD580" t="s">
        <v>11411</v>
      </c>
      <c r="AE580" t="s">
        <v>11412</v>
      </c>
      <c r="AF580" t="s">
        <v>74</v>
      </c>
      <c r="AG580">
        <v>31</v>
      </c>
      <c r="AH580">
        <v>7</v>
      </c>
      <c r="AI580">
        <v>7</v>
      </c>
      <c r="AJ580">
        <v>0</v>
      </c>
      <c r="AK580">
        <v>14</v>
      </c>
      <c r="AL580" t="s">
        <v>1079</v>
      </c>
      <c r="AM580" t="s">
        <v>4862</v>
      </c>
      <c r="AN580" t="s">
        <v>4863</v>
      </c>
      <c r="AO580" t="s">
        <v>11413</v>
      </c>
      <c r="AP580" t="s">
        <v>11414</v>
      </c>
      <c r="AQ580" t="s">
        <v>74</v>
      </c>
      <c r="AR580" t="s">
        <v>11415</v>
      </c>
      <c r="AS580" t="s">
        <v>11416</v>
      </c>
      <c r="AT580" t="s">
        <v>9222</v>
      </c>
      <c r="AU580">
        <v>2018</v>
      </c>
      <c r="AV580">
        <v>318</v>
      </c>
      <c r="AW580">
        <v>3</v>
      </c>
      <c r="AX580" t="s">
        <v>74</v>
      </c>
      <c r="AY580" t="s">
        <v>74</v>
      </c>
      <c r="AZ580" t="s">
        <v>74</v>
      </c>
      <c r="BA580" t="s">
        <v>74</v>
      </c>
      <c r="BB580">
        <v>1511</v>
      </c>
      <c r="BC580">
        <v>1518</v>
      </c>
      <c r="BD580" t="s">
        <v>74</v>
      </c>
      <c r="BE580" t="s">
        <v>11417</v>
      </c>
      <c r="BF580" t="str">
        <f>HYPERLINK("http://dx.doi.org/10.1007/s10967-018-6274-6","http://dx.doi.org/10.1007/s10967-018-6274-6")</f>
        <v>http://dx.doi.org/10.1007/s10967-018-6274-6</v>
      </c>
      <c r="BG580" t="s">
        <v>74</v>
      </c>
      <c r="BH580" t="s">
        <v>74</v>
      </c>
      <c r="BI580">
        <v>8</v>
      </c>
      <c r="BJ580" t="s">
        <v>11418</v>
      </c>
      <c r="BK580" t="s">
        <v>101</v>
      </c>
      <c r="BL580" t="s">
        <v>11419</v>
      </c>
      <c r="BM580" t="s">
        <v>11420</v>
      </c>
      <c r="BN580">
        <v>30546182</v>
      </c>
      <c r="BO580" t="s">
        <v>4271</v>
      </c>
      <c r="BP580" t="s">
        <v>74</v>
      </c>
      <c r="BQ580" t="s">
        <v>74</v>
      </c>
      <c r="BR580" t="s">
        <v>104</v>
      </c>
      <c r="BS580" t="s">
        <v>11421</v>
      </c>
      <c r="BT580" t="str">
        <f>HYPERLINK("https%3A%2F%2Fwww.webofscience.com%2Fwos%2Fwoscc%2Ffull-record%2FWOS:000451746300006","View Full Record in Web of Science")</f>
        <v>View Full Record in Web of Science</v>
      </c>
    </row>
    <row r="581" spans="1:72" x14ac:dyDescent="0.15">
      <c r="A581" t="s">
        <v>72</v>
      </c>
      <c r="B581" t="s">
        <v>11422</v>
      </c>
      <c r="C581" t="s">
        <v>74</v>
      </c>
      <c r="D581" t="s">
        <v>74</v>
      </c>
      <c r="E581" t="s">
        <v>74</v>
      </c>
      <c r="F581" t="s">
        <v>11423</v>
      </c>
      <c r="G581" t="s">
        <v>74</v>
      </c>
      <c r="H581" t="s">
        <v>74</v>
      </c>
      <c r="I581" t="s">
        <v>11424</v>
      </c>
      <c r="J581" t="s">
        <v>11400</v>
      </c>
      <c r="K581" t="s">
        <v>74</v>
      </c>
      <c r="L581" t="s">
        <v>74</v>
      </c>
      <c r="M581" t="s">
        <v>78</v>
      </c>
      <c r="N581" t="s">
        <v>79</v>
      </c>
      <c r="O581" t="s">
        <v>74</v>
      </c>
      <c r="P581" t="s">
        <v>74</v>
      </c>
      <c r="Q581" t="s">
        <v>74</v>
      </c>
      <c r="R581" t="s">
        <v>74</v>
      </c>
      <c r="S581" t="s">
        <v>74</v>
      </c>
      <c r="T581" t="s">
        <v>11425</v>
      </c>
      <c r="U581" t="s">
        <v>11426</v>
      </c>
      <c r="V581" t="s">
        <v>11427</v>
      </c>
      <c r="W581" t="s">
        <v>11428</v>
      </c>
      <c r="X581" t="s">
        <v>11429</v>
      </c>
      <c r="Y581" t="s">
        <v>11430</v>
      </c>
      <c r="Z581" t="s">
        <v>11431</v>
      </c>
      <c r="AA581" t="s">
        <v>11432</v>
      </c>
      <c r="AB581" t="s">
        <v>11433</v>
      </c>
      <c r="AC581" t="s">
        <v>11434</v>
      </c>
      <c r="AD581" t="s">
        <v>11435</v>
      </c>
      <c r="AE581" t="s">
        <v>11436</v>
      </c>
      <c r="AF581" t="s">
        <v>74</v>
      </c>
      <c r="AG581">
        <v>20</v>
      </c>
      <c r="AH581">
        <v>5</v>
      </c>
      <c r="AI581">
        <v>5</v>
      </c>
      <c r="AJ581">
        <v>3</v>
      </c>
      <c r="AK581">
        <v>29</v>
      </c>
      <c r="AL581" t="s">
        <v>1079</v>
      </c>
      <c r="AM581" t="s">
        <v>4862</v>
      </c>
      <c r="AN581" t="s">
        <v>4863</v>
      </c>
      <c r="AO581" t="s">
        <v>11413</v>
      </c>
      <c r="AP581" t="s">
        <v>11414</v>
      </c>
      <c r="AQ581" t="s">
        <v>74</v>
      </c>
      <c r="AR581" t="s">
        <v>11415</v>
      </c>
      <c r="AS581" t="s">
        <v>11416</v>
      </c>
      <c r="AT581" t="s">
        <v>9222</v>
      </c>
      <c r="AU581">
        <v>2018</v>
      </c>
      <c r="AV581">
        <v>318</v>
      </c>
      <c r="AW581">
        <v>3</v>
      </c>
      <c r="AX581" t="s">
        <v>74</v>
      </c>
      <c r="AY581" t="s">
        <v>74</v>
      </c>
      <c r="AZ581" t="s">
        <v>74</v>
      </c>
      <c r="BA581" t="s">
        <v>74</v>
      </c>
      <c r="BB581">
        <v>1681</v>
      </c>
      <c r="BC581">
        <v>1687</v>
      </c>
      <c r="BD581" t="s">
        <v>74</v>
      </c>
      <c r="BE581" t="s">
        <v>11437</v>
      </c>
      <c r="BF581" t="str">
        <f>HYPERLINK("http://dx.doi.org/10.1007/s10967-018-6309-z","http://dx.doi.org/10.1007/s10967-018-6309-z")</f>
        <v>http://dx.doi.org/10.1007/s10967-018-6309-z</v>
      </c>
      <c r="BG581" t="s">
        <v>74</v>
      </c>
      <c r="BH581" t="s">
        <v>74</v>
      </c>
      <c r="BI581">
        <v>7</v>
      </c>
      <c r="BJ581" t="s">
        <v>11418</v>
      </c>
      <c r="BK581" t="s">
        <v>101</v>
      </c>
      <c r="BL581" t="s">
        <v>11419</v>
      </c>
      <c r="BM581" t="s">
        <v>11420</v>
      </c>
      <c r="BN581" t="s">
        <v>74</v>
      </c>
      <c r="BO581" t="s">
        <v>74</v>
      </c>
      <c r="BP581" t="s">
        <v>74</v>
      </c>
      <c r="BQ581" t="s">
        <v>74</v>
      </c>
      <c r="BR581" t="s">
        <v>104</v>
      </c>
      <c r="BS581" t="s">
        <v>11438</v>
      </c>
      <c r="BT581" t="str">
        <f>HYPERLINK("https%3A%2F%2Fwww.webofscience.com%2Fwos%2Fwoscc%2Ffull-record%2FWOS:000451746300019","View Full Record in Web of Science")</f>
        <v>View Full Record in Web of Science</v>
      </c>
    </row>
    <row r="582" spans="1:72" x14ac:dyDescent="0.15">
      <c r="A582" t="s">
        <v>72</v>
      </c>
      <c r="B582" t="s">
        <v>11439</v>
      </c>
      <c r="C582" t="s">
        <v>74</v>
      </c>
      <c r="D582" t="s">
        <v>74</v>
      </c>
      <c r="E582" t="s">
        <v>74</v>
      </c>
      <c r="F582" t="s">
        <v>11440</v>
      </c>
      <c r="G582" t="s">
        <v>74</v>
      </c>
      <c r="H582" t="s">
        <v>74</v>
      </c>
      <c r="I582" t="s">
        <v>11441</v>
      </c>
      <c r="J582" t="s">
        <v>11442</v>
      </c>
      <c r="K582" t="s">
        <v>74</v>
      </c>
      <c r="L582" t="s">
        <v>74</v>
      </c>
      <c r="M582" t="s">
        <v>78</v>
      </c>
      <c r="N582" t="s">
        <v>79</v>
      </c>
      <c r="O582" t="s">
        <v>74</v>
      </c>
      <c r="P582" t="s">
        <v>74</v>
      </c>
      <c r="Q582" t="s">
        <v>74</v>
      </c>
      <c r="R582" t="s">
        <v>74</v>
      </c>
      <c r="S582" t="s">
        <v>74</v>
      </c>
      <c r="T582" t="s">
        <v>11443</v>
      </c>
      <c r="U582" t="s">
        <v>11444</v>
      </c>
      <c r="V582" t="s">
        <v>11445</v>
      </c>
      <c r="W582" t="s">
        <v>11446</v>
      </c>
      <c r="X582" t="s">
        <v>11447</v>
      </c>
      <c r="Y582" t="s">
        <v>11448</v>
      </c>
      <c r="Z582" t="s">
        <v>11449</v>
      </c>
      <c r="AA582" t="s">
        <v>11450</v>
      </c>
      <c r="AB582" t="s">
        <v>11451</v>
      </c>
      <c r="AC582" t="s">
        <v>11452</v>
      </c>
      <c r="AD582" t="s">
        <v>11453</v>
      </c>
      <c r="AE582" t="s">
        <v>11454</v>
      </c>
      <c r="AF582" t="s">
        <v>74</v>
      </c>
      <c r="AG582">
        <v>109</v>
      </c>
      <c r="AH582">
        <v>16</v>
      </c>
      <c r="AI582">
        <v>17</v>
      </c>
      <c r="AJ582">
        <v>0</v>
      </c>
      <c r="AK582">
        <v>9</v>
      </c>
      <c r="AL582" t="s">
        <v>3352</v>
      </c>
      <c r="AM582" t="s">
        <v>3353</v>
      </c>
      <c r="AN582" t="s">
        <v>3354</v>
      </c>
      <c r="AO582" t="s">
        <v>11455</v>
      </c>
      <c r="AP582" t="s">
        <v>74</v>
      </c>
      <c r="AQ582" t="s">
        <v>74</v>
      </c>
      <c r="AR582" t="s">
        <v>11456</v>
      </c>
      <c r="AS582" t="s">
        <v>11457</v>
      </c>
      <c r="AT582" t="s">
        <v>9222</v>
      </c>
      <c r="AU582">
        <v>2018</v>
      </c>
      <c r="AV582">
        <v>88</v>
      </c>
      <c r="AW582" t="s">
        <v>74</v>
      </c>
      <c r="AX582" t="s">
        <v>74</v>
      </c>
      <c r="AY582" t="s">
        <v>74</v>
      </c>
      <c r="AZ582" t="s">
        <v>74</v>
      </c>
      <c r="BA582" t="s">
        <v>74</v>
      </c>
      <c r="BB582">
        <v>415</v>
      </c>
      <c r="BC582">
        <v>445</v>
      </c>
      <c r="BD582" t="s">
        <v>74</v>
      </c>
      <c r="BE582" t="s">
        <v>11458</v>
      </c>
      <c r="BF582" t="str">
        <f>HYPERLINK("http://dx.doi.org/10.1016/j.jsames.2018.09.006","http://dx.doi.org/10.1016/j.jsames.2018.09.006")</f>
        <v>http://dx.doi.org/10.1016/j.jsames.2018.09.006</v>
      </c>
      <c r="BG582" t="s">
        <v>74</v>
      </c>
      <c r="BH582" t="s">
        <v>74</v>
      </c>
      <c r="BI582">
        <v>31</v>
      </c>
      <c r="BJ582" t="s">
        <v>884</v>
      </c>
      <c r="BK582" t="s">
        <v>101</v>
      </c>
      <c r="BL582" t="s">
        <v>528</v>
      </c>
      <c r="BM582" t="s">
        <v>11459</v>
      </c>
      <c r="BN582" t="s">
        <v>74</v>
      </c>
      <c r="BO582" t="s">
        <v>1089</v>
      </c>
      <c r="BP582" t="s">
        <v>74</v>
      </c>
      <c r="BQ582" t="s">
        <v>74</v>
      </c>
      <c r="BR582" t="s">
        <v>104</v>
      </c>
      <c r="BS582" t="s">
        <v>11460</v>
      </c>
      <c r="BT582" t="str">
        <f>HYPERLINK("https%3A%2F%2Fwww.webofscience.com%2Fwos%2Fwoscc%2Ffull-record%2FWOS:000452946100030","View Full Record in Web of Science")</f>
        <v>View Full Record in Web of Science</v>
      </c>
    </row>
    <row r="583" spans="1:72" x14ac:dyDescent="0.15">
      <c r="A583" t="s">
        <v>72</v>
      </c>
      <c r="B583" t="s">
        <v>11461</v>
      </c>
      <c r="C583" t="s">
        <v>74</v>
      </c>
      <c r="D583" t="s">
        <v>74</v>
      </c>
      <c r="E583" t="s">
        <v>74</v>
      </c>
      <c r="F583" t="s">
        <v>11462</v>
      </c>
      <c r="G583" t="s">
        <v>74</v>
      </c>
      <c r="H583" t="s">
        <v>74</v>
      </c>
      <c r="I583" t="s">
        <v>11463</v>
      </c>
      <c r="J583" t="s">
        <v>11442</v>
      </c>
      <c r="K583" t="s">
        <v>74</v>
      </c>
      <c r="L583" t="s">
        <v>74</v>
      </c>
      <c r="M583" t="s">
        <v>78</v>
      </c>
      <c r="N583" t="s">
        <v>79</v>
      </c>
      <c r="O583" t="s">
        <v>74</v>
      </c>
      <c r="P583" t="s">
        <v>74</v>
      </c>
      <c r="Q583" t="s">
        <v>74</v>
      </c>
      <c r="R583" t="s">
        <v>74</v>
      </c>
      <c r="S583" t="s">
        <v>74</v>
      </c>
      <c r="T583" t="s">
        <v>11464</v>
      </c>
      <c r="U583" t="s">
        <v>11465</v>
      </c>
      <c r="V583" t="s">
        <v>11466</v>
      </c>
      <c r="W583" t="s">
        <v>11467</v>
      </c>
      <c r="X583" t="s">
        <v>11468</v>
      </c>
      <c r="Y583" t="s">
        <v>11469</v>
      </c>
      <c r="Z583" t="s">
        <v>11470</v>
      </c>
      <c r="AA583" t="s">
        <v>74</v>
      </c>
      <c r="AB583" t="s">
        <v>11471</v>
      </c>
      <c r="AC583" t="s">
        <v>11472</v>
      </c>
      <c r="AD583" t="s">
        <v>11473</v>
      </c>
      <c r="AE583" t="s">
        <v>11474</v>
      </c>
      <c r="AF583" t="s">
        <v>74</v>
      </c>
      <c r="AG583">
        <v>126</v>
      </c>
      <c r="AH583">
        <v>13</v>
      </c>
      <c r="AI583">
        <v>13</v>
      </c>
      <c r="AJ583">
        <v>0</v>
      </c>
      <c r="AK583">
        <v>6</v>
      </c>
      <c r="AL583" t="s">
        <v>3352</v>
      </c>
      <c r="AM583" t="s">
        <v>3353</v>
      </c>
      <c r="AN583" t="s">
        <v>3354</v>
      </c>
      <c r="AO583" t="s">
        <v>11455</v>
      </c>
      <c r="AP583" t="s">
        <v>74</v>
      </c>
      <c r="AQ583" t="s">
        <v>74</v>
      </c>
      <c r="AR583" t="s">
        <v>11456</v>
      </c>
      <c r="AS583" t="s">
        <v>11457</v>
      </c>
      <c r="AT583" t="s">
        <v>9222</v>
      </c>
      <c r="AU583">
        <v>2018</v>
      </c>
      <c r="AV583">
        <v>88</v>
      </c>
      <c r="AW583" t="s">
        <v>74</v>
      </c>
      <c r="AX583" t="s">
        <v>74</v>
      </c>
      <c r="AY583" t="s">
        <v>74</v>
      </c>
      <c r="AZ583" t="s">
        <v>74</v>
      </c>
      <c r="BA583" t="s">
        <v>74</v>
      </c>
      <c r="BB583">
        <v>530</v>
      </c>
      <c r="BC583">
        <v>550</v>
      </c>
      <c r="BD583" t="s">
        <v>74</v>
      </c>
      <c r="BE583" t="s">
        <v>11475</v>
      </c>
      <c r="BF583" t="str">
        <f>HYPERLINK("http://dx.doi.org/10.1016/j.jsames.2018.09.007","http://dx.doi.org/10.1016/j.jsames.2018.09.007")</f>
        <v>http://dx.doi.org/10.1016/j.jsames.2018.09.007</v>
      </c>
      <c r="BG583" t="s">
        <v>74</v>
      </c>
      <c r="BH583" t="s">
        <v>74</v>
      </c>
      <c r="BI583">
        <v>21</v>
      </c>
      <c r="BJ583" t="s">
        <v>884</v>
      </c>
      <c r="BK583" t="s">
        <v>101</v>
      </c>
      <c r="BL583" t="s">
        <v>528</v>
      </c>
      <c r="BM583" t="s">
        <v>11459</v>
      </c>
      <c r="BN583" t="s">
        <v>74</v>
      </c>
      <c r="BO583" t="s">
        <v>74</v>
      </c>
      <c r="BP583" t="s">
        <v>74</v>
      </c>
      <c r="BQ583" t="s">
        <v>74</v>
      </c>
      <c r="BR583" t="s">
        <v>104</v>
      </c>
      <c r="BS583" t="s">
        <v>11476</v>
      </c>
      <c r="BT583" t="str">
        <f>HYPERLINK("https%3A%2F%2Fwww.webofscience.com%2Fwos%2Fwoscc%2Ffull-record%2FWOS:000452946100036","View Full Record in Web of Science")</f>
        <v>View Full Record in Web of Science</v>
      </c>
    </row>
    <row r="584" spans="1:72" x14ac:dyDescent="0.15">
      <c r="A584" t="s">
        <v>72</v>
      </c>
      <c r="B584" t="s">
        <v>11477</v>
      </c>
      <c r="C584" t="s">
        <v>74</v>
      </c>
      <c r="D584" t="s">
        <v>74</v>
      </c>
      <c r="E584" t="s">
        <v>74</v>
      </c>
      <c r="F584" t="s">
        <v>11478</v>
      </c>
      <c r="G584" t="s">
        <v>74</v>
      </c>
      <c r="H584" t="s">
        <v>74</v>
      </c>
      <c r="I584" t="s">
        <v>11479</v>
      </c>
      <c r="J584" t="s">
        <v>11480</v>
      </c>
      <c r="K584" t="s">
        <v>74</v>
      </c>
      <c r="L584" t="s">
        <v>74</v>
      </c>
      <c r="M584" t="s">
        <v>78</v>
      </c>
      <c r="N584" t="s">
        <v>79</v>
      </c>
      <c r="O584" t="s">
        <v>74</v>
      </c>
      <c r="P584" t="s">
        <v>74</v>
      </c>
      <c r="Q584" t="s">
        <v>74</v>
      </c>
      <c r="R584" t="s">
        <v>74</v>
      </c>
      <c r="S584" t="s">
        <v>74</v>
      </c>
      <c r="T584" t="s">
        <v>11481</v>
      </c>
      <c r="U584" t="s">
        <v>11482</v>
      </c>
      <c r="V584" t="s">
        <v>11483</v>
      </c>
      <c r="W584" t="s">
        <v>11484</v>
      </c>
      <c r="X584" t="s">
        <v>11485</v>
      </c>
      <c r="Y584" t="s">
        <v>11486</v>
      </c>
      <c r="Z584" t="s">
        <v>11487</v>
      </c>
      <c r="AA584" t="s">
        <v>74</v>
      </c>
      <c r="AB584" t="s">
        <v>11488</v>
      </c>
      <c r="AC584" t="s">
        <v>11489</v>
      </c>
      <c r="AD584" t="s">
        <v>11490</v>
      </c>
      <c r="AE584" t="s">
        <v>11491</v>
      </c>
      <c r="AF584" t="s">
        <v>74</v>
      </c>
      <c r="AG584">
        <v>141</v>
      </c>
      <c r="AH584">
        <v>11</v>
      </c>
      <c r="AI584">
        <v>12</v>
      </c>
      <c r="AJ584">
        <v>0</v>
      </c>
      <c r="AK584">
        <v>15</v>
      </c>
      <c r="AL584" t="s">
        <v>6114</v>
      </c>
      <c r="AM584" t="s">
        <v>6115</v>
      </c>
      <c r="AN584" t="s">
        <v>6116</v>
      </c>
      <c r="AO584" t="s">
        <v>11492</v>
      </c>
      <c r="AP584" t="s">
        <v>11493</v>
      </c>
      <c r="AQ584" t="s">
        <v>74</v>
      </c>
      <c r="AR584" t="s">
        <v>11494</v>
      </c>
      <c r="AS584" t="s">
        <v>11495</v>
      </c>
      <c r="AT584" t="s">
        <v>9222</v>
      </c>
      <c r="AU584">
        <v>2018</v>
      </c>
      <c r="AV584">
        <v>48</v>
      </c>
      <c r="AW584">
        <v>4</v>
      </c>
      <c r="AX584" t="s">
        <v>74</v>
      </c>
      <c r="AY584" t="s">
        <v>74</v>
      </c>
      <c r="AZ584" t="s">
        <v>74</v>
      </c>
      <c r="BA584" t="s">
        <v>74</v>
      </c>
      <c r="BB584">
        <v>2081</v>
      </c>
      <c r="BC584">
        <v>2104</v>
      </c>
      <c r="BD584" t="s">
        <v>74</v>
      </c>
      <c r="BE584" t="s">
        <v>11496</v>
      </c>
      <c r="BF584" t="str">
        <f>HYPERLINK("http://dx.doi.org/10.1007/s12526-017-0737-9","http://dx.doi.org/10.1007/s12526-017-0737-9")</f>
        <v>http://dx.doi.org/10.1007/s12526-017-0737-9</v>
      </c>
      <c r="BG584" t="s">
        <v>74</v>
      </c>
      <c r="BH584" t="s">
        <v>74</v>
      </c>
      <c r="BI584">
        <v>24</v>
      </c>
      <c r="BJ584" t="s">
        <v>11497</v>
      </c>
      <c r="BK584" t="s">
        <v>101</v>
      </c>
      <c r="BL584" t="s">
        <v>11498</v>
      </c>
      <c r="BM584" t="s">
        <v>11499</v>
      </c>
      <c r="BN584" t="s">
        <v>74</v>
      </c>
      <c r="BO584" t="s">
        <v>404</v>
      </c>
      <c r="BP584" t="s">
        <v>74</v>
      </c>
      <c r="BQ584" t="s">
        <v>74</v>
      </c>
      <c r="BR584" t="s">
        <v>104</v>
      </c>
      <c r="BS584" t="s">
        <v>11500</v>
      </c>
      <c r="BT584" t="str">
        <f>HYPERLINK("https%3A%2F%2Fwww.webofscience.com%2Fwos%2Fwoscc%2Ffull-record%2FWOS:000451344500030","View Full Record in Web of Science")</f>
        <v>View Full Record in Web of Science</v>
      </c>
    </row>
    <row r="585" spans="1:72" x14ac:dyDescent="0.15">
      <c r="A585" t="s">
        <v>72</v>
      </c>
      <c r="B585" t="s">
        <v>11501</v>
      </c>
      <c r="C585" t="s">
        <v>74</v>
      </c>
      <c r="D585" t="s">
        <v>74</v>
      </c>
      <c r="E585" t="s">
        <v>74</v>
      </c>
      <c r="F585" t="s">
        <v>11502</v>
      </c>
      <c r="G585" t="s">
        <v>74</v>
      </c>
      <c r="H585" t="s">
        <v>74</v>
      </c>
      <c r="I585" t="s">
        <v>11503</v>
      </c>
      <c r="J585" t="s">
        <v>6102</v>
      </c>
      <c r="K585" t="s">
        <v>74</v>
      </c>
      <c r="L585" t="s">
        <v>74</v>
      </c>
      <c r="M585" t="s">
        <v>78</v>
      </c>
      <c r="N585" t="s">
        <v>79</v>
      </c>
      <c r="O585" t="s">
        <v>74</v>
      </c>
      <c r="P585" t="s">
        <v>74</v>
      </c>
      <c r="Q585" t="s">
        <v>74</v>
      </c>
      <c r="R585" t="s">
        <v>74</v>
      </c>
      <c r="S585" t="s">
        <v>74</v>
      </c>
      <c r="T585" t="s">
        <v>74</v>
      </c>
      <c r="U585" t="s">
        <v>11504</v>
      </c>
      <c r="V585" t="s">
        <v>11505</v>
      </c>
      <c r="W585" t="s">
        <v>11506</v>
      </c>
      <c r="X585" t="s">
        <v>11507</v>
      </c>
      <c r="Y585" t="s">
        <v>11508</v>
      </c>
      <c r="Z585" t="s">
        <v>11509</v>
      </c>
      <c r="AA585" t="s">
        <v>11510</v>
      </c>
      <c r="AB585" t="s">
        <v>11511</v>
      </c>
      <c r="AC585" t="s">
        <v>11512</v>
      </c>
      <c r="AD585" t="s">
        <v>11513</v>
      </c>
      <c r="AE585" t="s">
        <v>11514</v>
      </c>
      <c r="AF585" t="s">
        <v>74</v>
      </c>
      <c r="AG585">
        <v>111</v>
      </c>
      <c r="AH585">
        <v>16</v>
      </c>
      <c r="AI585">
        <v>16</v>
      </c>
      <c r="AJ585">
        <v>2</v>
      </c>
      <c r="AK585">
        <v>25</v>
      </c>
      <c r="AL585" t="s">
        <v>6114</v>
      </c>
      <c r="AM585" t="s">
        <v>6115</v>
      </c>
      <c r="AN585" t="s">
        <v>6116</v>
      </c>
      <c r="AO585" t="s">
        <v>6117</v>
      </c>
      <c r="AP585" t="s">
        <v>6118</v>
      </c>
      <c r="AQ585" t="s">
        <v>74</v>
      </c>
      <c r="AR585" t="s">
        <v>6119</v>
      </c>
      <c r="AS585" t="s">
        <v>6120</v>
      </c>
      <c r="AT585" t="s">
        <v>9222</v>
      </c>
      <c r="AU585">
        <v>2018</v>
      </c>
      <c r="AV585">
        <v>165</v>
      </c>
      <c r="AW585">
        <v>12</v>
      </c>
      <c r="AX585" t="s">
        <v>74</v>
      </c>
      <c r="AY585" t="s">
        <v>74</v>
      </c>
      <c r="AZ585" t="s">
        <v>74</v>
      </c>
      <c r="BA585" t="s">
        <v>74</v>
      </c>
      <c r="BB585" t="s">
        <v>74</v>
      </c>
      <c r="BC585" t="s">
        <v>74</v>
      </c>
      <c r="BD585">
        <v>185</v>
      </c>
      <c r="BE585" t="s">
        <v>11515</v>
      </c>
      <c r="BF585" t="str">
        <f>HYPERLINK("http://dx.doi.org/10.1007/s00227-018-3443-7","http://dx.doi.org/10.1007/s00227-018-3443-7")</f>
        <v>http://dx.doi.org/10.1007/s00227-018-3443-7</v>
      </c>
      <c r="BG585" t="s">
        <v>74</v>
      </c>
      <c r="BH585" t="s">
        <v>74</v>
      </c>
      <c r="BI585">
        <v>17</v>
      </c>
      <c r="BJ585" t="s">
        <v>694</v>
      </c>
      <c r="BK585" t="s">
        <v>101</v>
      </c>
      <c r="BL585" t="s">
        <v>694</v>
      </c>
      <c r="BM585" t="s">
        <v>11516</v>
      </c>
      <c r="BN585" t="s">
        <v>74</v>
      </c>
      <c r="BO585" t="s">
        <v>2948</v>
      </c>
      <c r="BP585" t="s">
        <v>74</v>
      </c>
      <c r="BQ585" t="s">
        <v>74</v>
      </c>
      <c r="BR585" t="s">
        <v>104</v>
      </c>
      <c r="BS585" t="s">
        <v>11517</v>
      </c>
      <c r="BT585" t="str">
        <f>HYPERLINK("https%3A%2F%2Fwww.webofscience.com%2Fwos%2Fwoscc%2Ffull-record%2FWOS:000450511900003","View Full Record in Web of Science")</f>
        <v>View Full Record in Web of Science</v>
      </c>
    </row>
    <row r="586" spans="1:72" x14ac:dyDescent="0.15">
      <c r="A586" t="s">
        <v>72</v>
      </c>
      <c r="B586" t="s">
        <v>11518</v>
      </c>
      <c r="C586" t="s">
        <v>74</v>
      </c>
      <c r="D586" t="s">
        <v>74</v>
      </c>
      <c r="E586" t="s">
        <v>74</v>
      </c>
      <c r="F586" t="s">
        <v>11519</v>
      </c>
      <c r="G586" t="s">
        <v>74</v>
      </c>
      <c r="H586" t="s">
        <v>74</v>
      </c>
      <c r="I586" t="s">
        <v>11520</v>
      </c>
      <c r="J586" t="s">
        <v>11521</v>
      </c>
      <c r="K586" t="s">
        <v>74</v>
      </c>
      <c r="L586" t="s">
        <v>74</v>
      </c>
      <c r="M586" t="s">
        <v>78</v>
      </c>
      <c r="N586" t="s">
        <v>79</v>
      </c>
      <c r="O586" t="s">
        <v>74</v>
      </c>
      <c r="P586" t="s">
        <v>74</v>
      </c>
      <c r="Q586" t="s">
        <v>74</v>
      </c>
      <c r="R586" t="s">
        <v>74</v>
      </c>
      <c r="S586" t="s">
        <v>74</v>
      </c>
      <c r="T586" t="s">
        <v>11522</v>
      </c>
      <c r="U586" t="s">
        <v>11523</v>
      </c>
      <c r="V586" t="s">
        <v>11524</v>
      </c>
      <c r="W586" t="s">
        <v>11525</v>
      </c>
      <c r="X586" t="s">
        <v>11526</v>
      </c>
      <c r="Y586" t="s">
        <v>11527</v>
      </c>
      <c r="Z586" t="s">
        <v>11528</v>
      </c>
      <c r="AA586" t="s">
        <v>11529</v>
      </c>
      <c r="AB586" t="s">
        <v>11530</v>
      </c>
      <c r="AC586" t="s">
        <v>11531</v>
      </c>
      <c r="AD586" t="s">
        <v>11532</v>
      </c>
      <c r="AE586" t="s">
        <v>74</v>
      </c>
      <c r="AF586" t="s">
        <v>74</v>
      </c>
      <c r="AG586">
        <v>39</v>
      </c>
      <c r="AH586">
        <v>5</v>
      </c>
      <c r="AI586">
        <v>8</v>
      </c>
      <c r="AJ586">
        <v>1</v>
      </c>
      <c r="AK586">
        <v>31</v>
      </c>
      <c r="AL586" t="s">
        <v>1079</v>
      </c>
      <c r="AM586" t="s">
        <v>1080</v>
      </c>
      <c r="AN586" t="s">
        <v>1081</v>
      </c>
      <c r="AO586" t="s">
        <v>11533</v>
      </c>
      <c r="AP586" t="s">
        <v>11534</v>
      </c>
      <c r="AQ586" t="s">
        <v>74</v>
      </c>
      <c r="AR586" t="s">
        <v>11535</v>
      </c>
      <c r="AS586" t="s">
        <v>11536</v>
      </c>
      <c r="AT586" t="s">
        <v>9222</v>
      </c>
      <c r="AU586">
        <v>2018</v>
      </c>
      <c r="AV586">
        <v>20</v>
      </c>
      <c r="AW586">
        <v>6</v>
      </c>
      <c r="AX586" t="s">
        <v>74</v>
      </c>
      <c r="AY586" t="s">
        <v>74</v>
      </c>
      <c r="AZ586" t="s">
        <v>74</v>
      </c>
      <c r="BA586" t="s">
        <v>74</v>
      </c>
      <c r="BB586">
        <v>803</v>
      </c>
      <c r="BC586">
        <v>812</v>
      </c>
      <c r="BD586" t="s">
        <v>74</v>
      </c>
      <c r="BE586" t="s">
        <v>11537</v>
      </c>
      <c r="BF586" t="str">
        <f>HYPERLINK("http://dx.doi.org/10.1007/s10126-018-9850-4","http://dx.doi.org/10.1007/s10126-018-9850-4")</f>
        <v>http://dx.doi.org/10.1007/s10126-018-9850-4</v>
      </c>
      <c r="BG586" t="s">
        <v>74</v>
      </c>
      <c r="BH586" t="s">
        <v>74</v>
      </c>
      <c r="BI586">
        <v>10</v>
      </c>
      <c r="BJ586" t="s">
        <v>10043</v>
      </c>
      <c r="BK586" t="s">
        <v>101</v>
      </c>
      <c r="BL586" t="s">
        <v>10043</v>
      </c>
      <c r="BM586" t="s">
        <v>11538</v>
      </c>
      <c r="BN586">
        <v>30218327</v>
      </c>
      <c r="BO586" t="s">
        <v>74</v>
      </c>
      <c r="BP586" t="s">
        <v>74</v>
      </c>
      <c r="BQ586" t="s">
        <v>74</v>
      </c>
      <c r="BR586" t="s">
        <v>104</v>
      </c>
      <c r="BS586" t="s">
        <v>11539</v>
      </c>
      <c r="BT586" t="str">
        <f>HYPERLINK("https%3A%2F%2Fwww.webofscience.com%2Fwos%2Fwoscc%2Ffull-record%2FWOS:000451022400010","View Full Record in Web of Science")</f>
        <v>View Full Record in Web of Science</v>
      </c>
    </row>
    <row r="587" spans="1:72" x14ac:dyDescent="0.15">
      <c r="A587" t="s">
        <v>72</v>
      </c>
      <c r="B587" t="s">
        <v>11540</v>
      </c>
      <c r="C587" t="s">
        <v>74</v>
      </c>
      <c r="D587" t="s">
        <v>74</v>
      </c>
      <c r="E587" t="s">
        <v>74</v>
      </c>
      <c r="F587" t="s">
        <v>11541</v>
      </c>
      <c r="G587" t="s">
        <v>74</v>
      </c>
      <c r="H587" t="s">
        <v>74</v>
      </c>
      <c r="I587" t="s">
        <v>11542</v>
      </c>
      <c r="J587" t="s">
        <v>5289</v>
      </c>
      <c r="K587" t="s">
        <v>74</v>
      </c>
      <c r="L587" t="s">
        <v>74</v>
      </c>
      <c r="M587" t="s">
        <v>78</v>
      </c>
      <c r="N587" t="s">
        <v>79</v>
      </c>
      <c r="O587" t="s">
        <v>74</v>
      </c>
      <c r="P587" t="s">
        <v>74</v>
      </c>
      <c r="Q587" t="s">
        <v>74</v>
      </c>
      <c r="R587" t="s">
        <v>74</v>
      </c>
      <c r="S587" t="s">
        <v>74</v>
      </c>
      <c r="T587" t="s">
        <v>74</v>
      </c>
      <c r="U587" t="s">
        <v>11543</v>
      </c>
      <c r="V587" t="s">
        <v>11544</v>
      </c>
      <c r="W587" t="s">
        <v>11545</v>
      </c>
      <c r="X587" t="s">
        <v>11546</v>
      </c>
      <c r="Y587" t="s">
        <v>11547</v>
      </c>
      <c r="Z587" t="s">
        <v>11548</v>
      </c>
      <c r="AA587" t="s">
        <v>74</v>
      </c>
      <c r="AB587" t="s">
        <v>11549</v>
      </c>
      <c r="AC587" t="s">
        <v>11550</v>
      </c>
      <c r="AD587" t="s">
        <v>11551</v>
      </c>
      <c r="AE587" t="s">
        <v>11552</v>
      </c>
      <c r="AF587" t="s">
        <v>74</v>
      </c>
      <c r="AG587">
        <v>22</v>
      </c>
      <c r="AH587">
        <v>6</v>
      </c>
      <c r="AI587">
        <v>6</v>
      </c>
      <c r="AJ587">
        <v>0</v>
      </c>
      <c r="AK587">
        <v>2</v>
      </c>
      <c r="AL587" t="s">
        <v>3670</v>
      </c>
      <c r="AM587" t="s">
        <v>3671</v>
      </c>
      <c r="AN587" t="s">
        <v>3672</v>
      </c>
      <c r="AO587" t="s">
        <v>5301</v>
      </c>
      <c r="AP587" t="s">
        <v>5302</v>
      </c>
      <c r="AQ587" t="s">
        <v>74</v>
      </c>
      <c r="AR587" t="s">
        <v>5303</v>
      </c>
      <c r="AS587" t="s">
        <v>5304</v>
      </c>
      <c r="AT587" t="s">
        <v>9222</v>
      </c>
      <c r="AU587">
        <v>2018</v>
      </c>
      <c r="AV587">
        <v>53</v>
      </c>
      <c r="AW587">
        <v>12</v>
      </c>
      <c r="AX587" t="s">
        <v>74</v>
      </c>
      <c r="AY587" t="s">
        <v>74</v>
      </c>
      <c r="AZ587" t="s">
        <v>74</v>
      </c>
      <c r="BA587" t="s">
        <v>74</v>
      </c>
      <c r="BB587">
        <v>2644</v>
      </c>
      <c r="BC587">
        <v>2651</v>
      </c>
      <c r="BD587" t="s">
        <v>74</v>
      </c>
      <c r="BE587" t="s">
        <v>11553</v>
      </c>
      <c r="BF587" t="str">
        <f>HYPERLINK("http://dx.doi.org/10.1111/maps.13186","http://dx.doi.org/10.1111/maps.13186")</f>
        <v>http://dx.doi.org/10.1111/maps.13186</v>
      </c>
      <c r="BG587" t="s">
        <v>74</v>
      </c>
      <c r="BH587" t="s">
        <v>74</v>
      </c>
      <c r="BI587">
        <v>8</v>
      </c>
      <c r="BJ587" t="s">
        <v>746</v>
      </c>
      <c r="BK587" t="s">
        <v>101</v>
      </c>
      <c r="BL587" t="s">
        <v>746</v>
      </c>
      <c r="BM587" t="s">
        <v>11554</v>
      </c>
      <c r="BN587" t="s">
        <v>74</v>
      </c>
      <c r="BO587" t="s">
        <v>162</v>
      </c>
      <c r="BP587" t="s">
        <v>74</v>
      </c>
      <c r="BQ587" t="s">
        <v>74</v>
      </c>
      <c r="BR587" t="s">
        <v>104</v>
      </c>
      <c r="BS587" t="s">
        <v>11555</v>
      </c>
      <c r="BT587" t="str">
        <f>HYPERLINK("https%3A%2F%2Fwww.webofscience.com%2Fwos%2Fwoscc%2Ffull-record%2FWOS:000452045400012","View Full Record in Web of Science")</f>
        <v>View Full Record in Web of Science</v>
      </c>
    </row>
    <row r="588" spans="1:72" x14ac:dyDescent="0.15">
      <c r="A588" t="s">
        <v>72</v>
      </c>
      <c r="B588" t="s">
        <v>11556</v>
      </c>
      <c r="C588" t="s">
        <v>74</v>
      </c>
      <c r="D588" t="s">
        <v>74</v>
      </c>
      <c r="E588" t="s">
        <v>74</v>
      </c>
      <c r="F588" t="s">
        <v>11557</v>
      </c>
      <c r="G588" t="s">
        <v>74</v>
      </c>
      <c r="H588" t="s">
        <v>74</v>
      </c>
      <c r="I588" t="s">
        <v>11558</v>
      </c>
      <c r="J588" t="s">
        <v>11559</v>
      </c>
      <c r="K588" t="s">
        <v>74</v>
      </c>
      <c r="L588" t="s">
        <v>74</v>
      </c>
      <c r="M588" t="s">
        <v>78</v>
      </c>
      <c r="N588" t="s">
        <v>79</v>
      </c>
      <c r="O588" t="s">
        <v>74</v>
      </c>
      <c r="P588" t="s">
        <v>74</v>
      </c>
      <c r="Q588" t="s">
        <v>74</v>
      </c>
      <c r="R588" t="s">
        <v>74</v>
      </c>
      <c r="S588" t="s">
        <v>74</v>
      </c>
      <c r="T588" t="s">
        <v>11560</v>
      </c>
      <c r="U588" t="s">
        <v>11561</v>
      </c>
      <c r="V588" t="s">
        <v>11562</v>
      </c>
      <c r="W588" t="s">
        <v>11563</v>
      </c>
      <c r="X588" t="s">
        <v>11564</v>
      </c>
      <c r="Y588" t="s">
        <v>11565</v>
      </c>
      <c r="Z588" t="s">
        <v>11566</v>
      </c>
      <c r="AA588" t="s">
        <v>74</v>
      </c>
      <c r="AB588" t="s">
        <v>11567</v>
      </c>
      <c r="AC588" t="s">
        <v>11568</v>
      </c>
      <c r="AD588" t="s">
        <v>11569</v>
      </c>
      <c r="AE588" t="s">
        <v>11570</v>
      </c>
      <c r="AF588" t="s">
        <v>74</v>
      </c>
      <c r="AG588">
        <v>53</v>
      </c>
      <c r="AH588">
        <v>12</v>
      </c>
      <c r="AI588">
        <v>21</v>
      </c>
      <c r="AJ588">
        <v>1</v>
      </c>
      <c r="AK588">
        <v>62</v>
      </c>
      <c r="AL588" t="s">
        <v>2519</v>
      </c>
      <c r="AM588" t="s">
        <v>2520</v>
      </c>
      <c r="AN588" t="s">
        <v>3313</v>
      </c>
      <c r="AO588" t="s">
        <v>11571</v>
      </c>
      <c r="AP588" t="s">
        <v>11572</v>
      </c>
      <c r="AQ588" t="s">
        <v>74</v>
      </c>
      <c r="AR588" t="s">
        <v>11573</v>
      </c>
      <c r="AS588" t="s">
        <v>11574</v>
      </c>
      <c r="AT588" t="s">
        <v>9222</v>
      </c>
      <c r="AU588">
        <v>2018</v>
      </c>
      <c r="AV588">
        <v>143</v>
      </c>
      <c r="AW588" t="s">
        <v>74</v>
      </c>
      <c r="AX588" t="s">
        <v>74</v>
      </c>
      <c r="AY588" t="s">
        <v>74</v>
      </c>
      <c r="AZ588" t="s">
        <v>74</v>
      </c>
      <c r="BA588" t="s">
        <v>74</v>
      </c>
      <c r="BB588">
        <v>319</v>
      </c>
      <c r="BC588">
        <v>325</v>
      </c>
      <c r="BD588" t="s">
        <v>74</v>
      </c>
      <c r="BE588" t="s">
        <v>11575</v>
      </c>
      <c r="BF588" t="str">
        <f>HYPERLINK("http://dx.doi.org/10.1016/j.microc.2018.08.026","http://dx.doi.org/10.1016/j.microc.2018.08.026")</f>
        <v>http://dx.doi.org/10.1016/j.microc.2018.08.026</v>
      </c>
      <c r="BG588" t="s">
        <v>74</v>
      </c>
      <c r="BH588" t="s">
        <v>74</v>
      </c>
      <c r="BI588">
        <v>7</v>
      </c>
      <c r="BJ588" t="s">
        <v>11576</v>
      </c>
      <c r="BK588" t="s">
        <v>101</v>
      </c>
      <c r="BL588" t="s">
        <v>2526</v>
      </c>
      <c r="BM588" t="s">
        <v>11577</v>
      </c>
      <c r="BN588" t="s">
        <v>74</v>
      </c>
      <c r="BO588" t="s">
        <v>74</v>
      </c>
      <c r="BP588" t="s">
        <v>74</v>
      </c>
      <c r="BQ588" t="s">
        <v>74</v>
      </c>
      <c r="BR588" t="s">
        <v>104</v>
      </c>
      <c r="BS588" t="s">
        <v>11578</v>
      </c>
      <c r="BT588" t="str">
        <f>HYPERLINK("https%3A%2F%2Fwww.webofscience.com%2Fwos%2Fwoscc%2Ffull-record%2FWOS:000447097000042","View Full Record in Web of Science")</f>
        <v>View Full Record in Web of Science</v>
      </c>
    </row>
    <row r="589" spans="1:72" x14ac:dyDescent="0.15">
      <c r="A589" t="s">
        <v>72</v>
      </c>
      <c r="B589" t="s">
        <v>11579</v>
      </c>
      <c r="C589" t="s">
        <v>74</v>
      </c>
      <c r="D589" t="s">
        <v>74</v>
      </c>
      <c r="E589" t="s">
        <v>74</v>
      </c>
      <c r="F589" t="s">
        <v>11580</v>
      </c>
      <c r="G589" t="s">
        <v>74</v>
      </c>
      <c r="H589" t="s">
        <v>74</v>
      </c>
      <c r="I589" t="s">
        <v>11581</v>
      </c>
      <c r="J589" t="s">
        <v>6152</v>
      </c>
      <c r="K589" t="s">
        <v>74</v>
      </c>
      <c r="L589" t="s">
        <v>74</v>
      </c>
      <c r="M589" t="s">
        <v>78</v>
      </c>
      <c r="N589" t="s">
        <v>11582</v>
      </c>
      <c r="O589" t="s">
        <v>74</v>
      </c>
      <c r="P589" t="s">
        <v>74</v>
      </c>
      <c r="Q589" t="s">
        <v>74</v>
      </c>
      <c r="R589" t="s">
        <v>74</v>
      </c>
      <c r="S589" t="s">
        <v>74</v>
      </c>
      <c r="T589" t="s">
        <v>74</v>
      </c>
      <c r="U589" t="s">
        <v>74</v>
      </c>
      <c r="V589" t="s">
        <v>74</v>
      </c>
      <c r="W589" t="s">
        <v>11583</v>
      </c>
      <c r="X589" t="s">
        <v>11584</v>
      </c>
      <c r="Y589" t="s">
        <v>11585</v>
      </c>
      <c r="Z589" t="s">
        <v>11586</v>
      </c>
      <c r="AA589" t="s">
        <v>74</v>
      </c>
      <c r="AB589" t="s">
        <v>11587</v>
      </c>
      <c r="AC589" t="s">
        <v>11588</v>
      </c>
      <c r="AD589" t="s">
        <v>11589</v>
      </c>
      <c r="AE589" t="s">
        <v>11590</v>
      </c>
      <c r="AF589" t="s">
        <v>74</v>
      </c>
      <c r="AG589">
        <v>10</v>
      </c>
      <c r="AH589">
        <v>6</v>
      </c>
      <c r="AI589">
        <v>6</v>
      </c>
      <c r="AJ589">
        <v>1</v>
      </c>
      <c r="AK589">
        <v>24</v>
      </c>
      <c r="AL589" t="s">
        <v>8045</v>
      </c>
      <c r="AM589" t="s">
        <v>6186</v>
      </c>
      <c r="AN589" t="s">
        <v>6187</v>
      </c>
      <c r="AO589" t="s">
        <v>6166</v>
      </c>
      <c r="AP589" t="s">
        <v>6167</v>
      </c>
      <c r="AQ589" t="s">
        <v>74</v>
      </c>
      <c r="AR589" t="s">
        <v>6168</v>
      </c>
      <c r="AS589" t="s">
        <v>6169</v>
      </c>
      <c r="AT589" t="s">
        <v>9222</v>
      </c>
      <c r="AU589">
        <v>2018</v>
      </c>
      <c r="AV589">
        <v>8</v>
      </c>
      <c r="AW589">
        <v>12</v>
      </c>
      <c r="AX589" t="s">
        <v>74</v>
      </c>
      <c r="AY589" t="s">
        <v>74</v>
      </c>
      <c r="AZ589" t="s">
        <v>74</v>
      </c>
      <c r="BA589" t="s">
        <v>74</v>
      </c>
      <c r="BB589">
        <v>1025</v>
      </c>
      <c r="BC589">
        <v>1026</v>
      </c>
      <c r="BD589" t="s">
        <v>74</v>
      </c>
      <c r="BE589" t="s">
        <v>11591</v>
      </c>
      <c r="BF589" t="str">
        <f>HYPERLINK("http://dx.doi.org/10.1038/s41558-018-0284-9","http://dx.doi.org/10.1038/s41558-018-0284-9")</f>
        <v>http://dx.doi.org/10.1038/s41558-018-0284-9</v>
      </c>
      <c r="BG589" t="s">
        <v>74</v>
      </c>
      <c r="BH589" t="s">
        <v>74</v>
      </c>
      <c r="BI589">
        <v>3</v>
      </c>
      <c r="BJ589" t="s">
        <v>6171</v>
      </c>
      <c r="BK589" t="s">
        <v>3493</v>
      </c>
      <c r="BL589" t="s">
        <v>2636</v>
      </c>
      <c r="BM589" t="s">
        <v>11592</v>
      </c>
      <c r="BN589" t="s">
        <v>74</v>
      </c>
      <c r="BO589" t="s">
        <v>2948</v>
      </c>
      <c r="BP589" t="s">
        <v>74</v>
      </c>
      <c r="BQ589" t="s">
        <v>74</v>
      </c>
      <c r="BR589" t="s">
        <v>104</v>
      </c>
      <c r="BS589" t="s">
        <v>11593</v>
      </c>
      <c r="BT589" t="str">
        <f>HYPERLINK("https%3A%2F%2Fwww.webofscience.com%2Fwos%2Fwoscc%2Ffull-record%2FWOS:000451919500004","View Full Record in Web of Science")</f>
        <v>View Full Record in Web of Science</v>
      </c>
    </row>
    <row r="590" spans="1:72" x14ac:dyDescent="0.15">
      <c r="A590" t="s">
        <v>72</v>
      </c>
      <c r="B590" t="s">
        <v>11594</v>
      </c>
      <c r="C590" t="s">
        <v>74</v>
      </c>
      <c r="D590" t="s">
        <v>74</v>
      </c>
      <c r="E590" t="s">
        <v>74</v>
      </c>
      <c r="F590" t="s">
        <v>11595</v>
      </c>
      <c r="G590" t="s">
        <v>74</v>
      </c>
      <c r="H590" t="s">
        <v>74</v>
      </c>
      <c r="I590" t="s">
        <v>11596</v>
      </c>
      <c r="J590" t="s">
        <v>6152</v>
      </c>
      <c r="K590" t="s">
        <v>74</v>
      </c>
      <c r="L590" t="s">
        <v>74</v>
      </c>
      <c r="M590" t="s">
        <v>78</v>
      </c>
      <c r="N590" t="s">
        <v>79</v>
      </c>
      <c r="O590" t="s">
        <v>74</v>
      </c>
      <c r="P590" t="s">
        <v>74</v>
      </c>
      <c r="Q590" t="s">
        <v>74</v>
      </c>
      <c r="R590" t="s">
        <v>74</v>
      </c>
      <c r="S590" t="s">
        <v>74</v>
      </c>
      <c r="T590" t="s">
        <v>74</v>
      </c>
      <c r="U590" t="s">
        <v>11597</v>
      </c>
      <c r="V590" t="s">
        <v>11598</v>
      </c>
      <c r="W590" t="s">
        <v>11599</v>
      </c>
      <c r="X590" t="s">
        <v>11600</v>
      </c>
      <c r="Y590" t="s">
        <v>11601</v>
      </c>
      <c r="Z590" t="s">
        <v>11602</v>
      </c>
      <c r="AA590" t="s">
        <v>11603</v>
      </c>
      <c r="AB590" t="s">
        <v>11604</v>
      </c>
      <c r="AC590" t="s">
        <v>11605</v>
      </c>
      <c r="AD590" t="s">
        <v>11606</v>
      </c>
      <c r="AE590" t="s">
        <v>11607</v>
      </c>
      <c r="AF590" t="s">
        <v>74</v>
      </c>
      <c r="AG590">
        <v>100</v>
      </c>
      <c r="AH590">
        <v>111</v>
      </c>
      <c r="AI590">
        <v>127</v>
      </c>
      <c r="AJ590">
        <v>7</v>
      </c>
      <c r="AK590">
        <v>87</v>
      </c>
      <c r="AL590" t="s">
        <v>6164</v>
      </c>
      <c r="AM590" t="s">
        <v>3008</v>
      </c>
      <c r="AN590" t="s">
        <v>6165</v>
      </c>
      <c r="AO590" t="s">
        <v>6166</v>
      </c>
      <c r="AP590" t="s">
        <v>6167</v>
      </c>
      <c r="AQ590" t="s">
        <v>74</v>
      </c>
      <c r="AR590" t="s">
        <v>6168</v>
      </c>
      <c r="AS590" t="s">
        <v>6169</v>
      </c>
      <c r="AT590" t="s">
        <v>9222</v>
      </c>
      <c r="AU590">
        <v>2018</v>
      </c>
      <c r="AV590">
        <v>8</v>
      </c>
      <c r="AW590">
        <v>12</v>
      </c>
      <c r="AX590" t="s">
        <v>74</v>
      </c>
      <c r="AY590" t="s">
        <v>74</v>
      </c>
      <c r="AZ590" t="s">
        <v>74</v>
      </c>
      <c r="BA590" t="s">
        <v>74</v>
      </c>
      <c r="BB590">
        <v>1044</v>
      </c>
      <c r="BC590">
        <v>1052</v>
      </c>
      <c r="BD590" t="s">
        <v>74</v>
      </c>
      <c r="BE590" t="s">
        <v>11608</v>
      </c>
      <c r="BF590" t="str">
        <f>HYPERLINK("http://dx.doi.org/10.1038/s41558-018-0326-3","http://dx.doi.org/10.1038/s41558-018-0326-3")</f>
        <v>http://dx.doi.org/10.1038/s41558-018-0326-3</v>
      </c>
      <c r="BG590" t="s">
        <v>74</v>
      </c>
      <c r="BH590" t="s">
        <v>74</v>
      </c>
      <c r="BI590">
        <v>9</v>
      </c>
      <c r="BJ590" t="s">
        <v>6171</v>
      </c>
      <c r="BK590" t="s">
        <v>3493</v>
      </c>
      <c r="BL590" t="s">
        <v>2636</v>
      </c>
      <c r="BM590" t="s">
        <v>11592</v>
      </c>
      <c r="BN590" t="s">
        <v>74</v>
      </c>
      <c r="BO590" t="s">
        <v>404</v>
      </c>
      <c r="BP590" t="s">
        <v>74</v>
      </c>
      <c r="BQ590" t="s">
        <v>74</v>
      </c>
      <c r="BR590" t="s">
        <v>104</v>
      </c>
      <c r="BS590" t="s">
        <v>11609</v>
      </c>
      <c r="BT590" t="str">
        <f>HYPERLINK("https%3A%2F%2Fwww.webofscience.com%2Fwos%2Fwoscc%2Ffull-record%2FWOS:000451919500014","View Full Record in Web of Science")</f>
        <v>View Full Record in Web of Science</v>
      </c>
    </row>
    <row r="591" spans="1:72" x14ac:dyDescent="0.15">
      <c r="A591" t="s">
        <v>72</v>
      </c>
      <c r="B591" t="s">
        <v>11610</v>
      </c>
      <c r="C591" t="s">
        <v>74</v>
      </c>
      <c r="D591" t="s">
        <v>74</v>
      </c>
      <c r="E591" t="s">
        <v>74</v>
      </c>
      <c r="F591" t="s">
        <v>11611</v>
      </c>
      <c r="G591" t="s">
        <v>74</v>
      </c>
      <c r="H591" t="s">
        <v>74</v>
      </c>
      <c r="I591" t="s">
        <v>11612</v>
      </c>
      <c r="J591" t="s">
        <v>6152</v>
      </c>
      <c r="K591" t="s">
        <v>74</v>
      </c>
      <c r="L591" t="s">
        <v>74</v>
      </c>
      <c r="M591" t="s">
        <v>78</v>
      </c>
      <c r="N591" t="s">
        <v>1003</v>
      </c>
      <c r="O591" t="s">
        <v>74</v>
      </c>
      <c r="P591" t="s">
        <v>74</v>
      </c>
      <c r="Q591" t="s">
        <v>74</v>
      </c>
      <c r="R591" t="s">
        <v>74</v>
      </c>
      <c r="S591" t="s">
        <v>74</v>
      </c>
      <c r="T591" t="s">
        <v>74</v>
      </c>
      <c r="U591" t="s">
        <v>11613</v>
      </c>
      <c r="V591" t="s">
        <v>11614</v>
      </c>
      <c r="W591" t="s">
        <v>11615</v>
      </c>
      <c r="X591" t="s">
        <v>11616</v>
      </c>
      <c r="Y591" t="s">
        <v>11617</v>
      </c>
      <c r="Z591" t="s">
        <v>11618</v>
      </c>
      <c r="AA591" t="s">
        <v>11619</v>
      </c>
      <c r="AB591" t="s">
        <v>11620</v>
      </c>
      <c r="AC591" t="s">
        <v>11621</v>
      </c>
      <c r="AD591" t="s">
        <v>11622</v>
      </c>
      <c r="AE591" t="s">
        <v>11623</v>
      </c>
      <c r="AF591" t="s">
        <v>74</v>
      </c>
      <c r="AG591">
        <v>99</v>
      </c>
      <c r="AH591">
        <v>130</v>
      </c>
      <c r="AI591">
        <v>145</v>
      </c>
      <c r="AJ591">
        <v>6</v>
      </c>
      <c r="AK591">
        <v>161</v>
      </c>
      <c r="AL591" t="s">
        <v>6164</v>
      </c>
      <c r="AM591" t="s">
        <v>3008</v>
      </c>
      <c r="AN591" t="s">
        <v>6165</v>
      </c>
      <c r="AO591" t="s">
        <v>6166</v>
      </c>
      <c r="AP591" t="s">
        <v>6167</v>
      </c>
      <c r="AQ591" t="s">
        <v>74</v>
      </c>
      <c r="AR591" t="s">
        <v>6168</v>
      </c>
      <c r="AS591" t="s">
        <v>6169</v>
      </c>
      <c r="AT591" t="s">
        <v>9222</v>
      </c>
      <c r="AU591">
        <v>2018</v>
      </c>
      <c r="AV591">
        <v>8</v>
      </c>
      <c r="AW591">
        <v>12</v>
      </c>
      <c r="AX591" t="s">
        <v>74</v>
      </c>
      <c r="AY591" t="s">
        <v>74</v>
      </c>
      <c r="AZ591" t="s">
        <v>74</v>
      </c>
      <c r="BA591" t="s">
        <v>74</v>
      </c>
      <c r="BB591">
        <v>1053</v>
      </c>
      <c r="BC591">
        <v>1061</v>
      </c>
      <c r="BD591" t="s">
        <v>74</v>
      </c>
      <c r="BE591" t="s">
        <v>11624</v>
      </c>
      <c r="BF591" t="str">
        <f>HYPERLINK("http://dx.doi.org/10.1038/s41558-018-0305-8","http://dx.doi.org/10.1038/s41558-018-0305-8")</f>
        <v>http://dx.doi.org/10.1038/s41558-018-0305-8</v>
      </c>
      <c r="BG591" t="s">
        <v>74</v>
      </c>
      <c r="BH591" t="s">
        <v>74</v>
      </c>
      <c r="BI591">
        <v>9</v>
      </c>
      <c r="BJ591" t="s">
        <v>6171</v>
      </c>
      <c r="BK591" t="s">
        <v>3493</v>
      </c>
      <c r="BL591" t="s">
        <v>2636</v>
      </c>
      <c r="BM591" t="s">
        <v>11592</v>
      </c>
      <c r="BN591" t="s">
        <v>74</v>
      </c>
      <c r="BO591" t="s">
        <v>5774</v>
      </c>
      <c r="BP591" t="s">
        <v>74</v>
      </c>
      <c r="BQ591" t="s">
        <v>74</v>
      </c>
      <c r="BR591" t="s">
        <v>104</v>
      </c>
      <c r="BS591" t="s">
        <v>11625</v>
      </c>
      <c r="BT591" t="str">
        <f>HYPERLINK("https%3A%2F%2Fwww.webofscience.com%2Fwos%2Fwoscc%2Ffull-record%2FWOS:000451919500015","View Full Record in Web of Science")</f>
        <v>View Full Record in Web of Science</v>
      </c>
    </row>
    <row r="592" spans="1:72" x14ac:dyDescent="0.15">
      <c r="A592" t="s">
        <v>72</v>
      </c>
      <c r="B592" t="s">
        <v>11626</v>
      </c>
      <c r="C592" t="s">
        <v>74</v>
      </c>
      <c r="D592" t="s">
        <v>74</v>
      </c>
      <c r="E592" t="s">
        <v>74</v>
      </c>
      <c r="F592" t="s">
        <v>11627</v>
      </c>
      <c r="G592" t="s">
        <v>74</v>
      </c>
      <c r="H592" t="s">
        <v>74</v>
      </c>
      <c r="I592" t="s">
        <v>11628</v>
      </c>
      <c r="J592" t="s">
        <v>8359</v>
      </c>
      <c r="K592" t="s">
        <v>74</v>
      </c>
      <c r="L592" t="s">
        <v>74</v>
      </c>
      <c r="M592" t="s">
        <v>78</v>
      </c>
      <c r="N592" t="s">
        <v>79</v>
      </c>
      <c r="O592" t="s">
        <v>74</v>
      </c>
      <c r="P592" t="s">
        <v>74</v>
      </c>
      <c r="Q592" t="s">
        <v>74</v>
      </c>
      <c r="R592" t="s">
        <v>74</v>
      </c>
      <c r="S592" t="s">
        <v>74</v>
      </c>
      <c r="T592" t="s">
        <v>11629</v>
      </c>
      <c r="U592" t="s">
        <v>11630</v>
      </c>
      <c r="V592" t="s">
        <v>11631</v>
      </c>
      <c r="W592" t="s">
        <v>11632</v>
      </c>
      <c r="X592" t="s">
        <v>11633</v>
      </c>
      <c r="Y592" t="s">
        <v>11634</v>
      </c>
      <c r="Z592" t="s">
        <v>11635</v>
      </c>
      <c r="AA592" t="s">
        <v>11636</v>
      </c>
      <c r="AB592" t="s">
        <v>11637</v>
      </c>
      <c r="AC592" t="s">
        <v>11638</v>
      </c>
      <c r="AD592" t="s">
        <v>11639</v>
      </c>
      <c r="AE592" t="s">
        <v>11640</v>
      </c>
      <c r="AF592" t="s">
        <v>74</v>
      </c>
      <c r="AG592">
        <v>114</v>
      </c>
      <c r="AH592">
        <v>19</v>
      </c>
      <c r="AI592">
        <v>21</v>
      </c>
      <c r="AJ592">
        <v>5</v>
      </c>
      <c r="AK592">
        <v>80</v>
      </c>
      <c r="AL592" t="s">
        <v>2519</v>
      </c>
      <c r="AM592" t="s">
        <v>2520</v>
      </c>
      <c r="AN592" t="s">
        <v>3313</v>
      </c>
      <c r="AO592" t="s">
        <v>8368</v>
      </c>
      <c r="AP592" t="s">
        <v>8369</v>
      </c>
      <c r="AQ592" t="s">
        <v>74</v>
      </c>
      <c r="AR592" t="s">
        <v>8370</v>
      </c>
      <c r="AS592" t="s">
        <v>8371</v>
      </c>
      <c r="AT592" t="s">
        <v>10758</v>
      </c>
      <c r="AU592">
        <v>2018</v>
      </c>
      <c r="AV592">
        <v>510</v>
      </c>
      <c r="AW592" t="s">
        <v>74</v>
      </c>
      <c r="AX592" t="s">
        <v>74</v>
      </c>
      <c r="AY592" t="s">
        <v>74</v>
      </c>
      <c r="AZ592" t="s">
        <v>4266</v>
      </c>
      <c r="BA592" t="s">
        <v>74</v>
      </c>
      <c r="BB592">
        <v>109</v>
      </c>
      <c r="BC592">
        <v>123</v>
      </c>
      <c r="BD592" t="s">
        <v>74</v>
      </c>
      <c r="BE592" t="s">
        <v>11641</v>
      </c>
      <c r="BF592" t="str">
        <f>HYPERLINK("http://dx.doi.org/10.1016/j.palaeo.2017.09.025","http://dx.doi.org/10.1016/j.palaeo.2017.09.025")</f>
        <v>http://dx.doi.org/10.1016/j.palaeo.2017.09.025</v>
      </c>
      <c r="BG592" t="s">
        <v>74</v>
      </c>
      <c r="BH592" t="s">
        <v>74</v>
      </c>
      <c r="BI592">
        <v>15</v>
      </c>
      <c r="BJ592" t="s">
        <v>8373</v>
      </c>
      <c r="BK592" t="s">
        <v>101</v>
      </c>
      <c r="BL592" t="s">
        <v>8374</v>
      </c>
      <c r="BM592" t="s">
        <v>11642</v>
      </c>
      <c r="BN592" t="s">
        <v>74</v>
      </c>
      <c r="BO592" t="s">
        <v>74</v>
      </c>
      <c r="BP592" t="s">
        <v>74</v>
      </c>
      <c r="BQ592" t="s">
        <v>74</v>
      </c>
      <c r="BR592" t="s">
        <v>104</v>
      </c>
      <c r="BS592" t="s">
        <v>11643</v>
      </c>
      <c r="BT592" t="str">
        <f>HYPERLINK("https%3A%2F%2Fwww.webofscience.com%2Fwos%2Fwoscc%2Ffull-record%2FWOS:000452585100011","View Full Record in Web of Science")</f>
        <v>View Full Record in Web of Science</v>
      </c>
    </row>
    <row r="593" spans="1:72" x14ac:dyDescent="0.15">
      <c r="A593" t="s">
        <v>72</v>
      </c>
      <c r="B593" t="s">
        <v>11644</v>
      </c>
      <c r="C593" t="s">
        <v>74</v>
      </c>
      <c r="D593" t="s">
        <v>74</v>
      </c>
      <c r="E593" t="s">
        <v>74</v>
      </c>
      <c r="F593" t="s">
        <v>11645</v>
      </c>
      <c r="G593" t="s">
        <v>74</v>
      </c>
      <c r="H593" t="s">
        <v>74</v>
      </c>
      <c r="I593" t="s">
        <v>11646</v>
      </c>
      <c r="J593" t="s">
        <v>1067</v>
      </c>
      <c r="K593" t="s">
        <v>74</v>
      </c>
      <c r="L593" t="s">
        <v>74</v>
      </c>
      <c r="M593" t="s">
        <v>78</v>
      </c>
      <c r="N593" t="s">
        <v>79</v>
      </c>
      <c r="O593" t="s">
        <v>74</v>
      </c>
      <c r="P593" t="s">
        <v>74</v>
      </c>
      <c r="Q593" t="s">
        <v>74</v>
      </c>
      <c r="R593" t="s">
        <v>74</v>
      </c>
      <c r="S593" t="s">
        <v>74</v>
      </c>
      <c r="T593" t="s">
        <v>11647</v>
      </c>
      <c r="U593" t="s">
        <v>11648</v>
      </c>
      <c r="V593" t="s">
        <v>11649</v>
      </c>
      <c r="W593" t="s">
        <v>11650</v>
      </c>
      <c r="X593" t="s">
        <v>11651</v>
      </c>
      <c r="Y593" t="s">
        <v>11652</v>
      </c>
      <c r="Z593" t="s">
        <v>11653</v>
      </c>
      <c r="AA593" t="s">
        <v>74</v>
      </c>
      <c r="AB593" t="s">
        <v>11654</v>
      </c>
      <c r="AC593" t="s">
        <v>11655</v>
      </c>
      <c r="AD593" t="s">
        <v>11656</v>
      </c>
      <c r="AE593" t="s">
        <v>11657</v>
      </c>
      <c r="AF593" t="s">
        <v>74</v>
      </c>
      <c r="AG593">
        <v>13</v>
      </c>
      <c r="AH593">
        <v>4</v>
      </c>
      <c r="AI593">
        <v>5</v>
      </c>
      <c r="AJ593">
        <v>0</v>
      </c>
      <c r="AK593">
        <v>7</v>
      </c>
      <c r="AL593" t="s">
        <v>1079</v>
      </c>
      <c r="AM593" t="s">
        <v>1080</v>
      </c>
      <c r="AN593" t="s">
        <v>1081</v>
      </c>
      <c r="AO593" t="s">
        <v>1082</v>
      </c>
      <c r="AP593" t="s">
        <v>1083</v>
      </c>
      <c r="AQ593" t="s">
        <v>74</v>
      </c>
      <c r="AR593" t="s">
        <v>1084</v>
      </c>
      <c r="AS593" t="s">
        <v>1085</v>
      </c>
      <c r="AT593" t="s">
        <v>9222</v>
      </c>
      <c r="AU593">
        <v>2018</v>
      </c>
      <c r="AV593">
        <v>41</v>
      </c>
      <c r="AW593">
        <v>12</v>
      </c>
      <c r="AX593" t="s">
        <v>74</v>
      </c>
      <c r="AY593" t="s">
        <v>74</v>
      </c>
      <c r="AZ593" t="s">
        <v>74</v>
      </c>
      <c r="BA593" t="s">
        <v>74</v>
      </c>
      <c r="BB593">
        <v>2399</v>
      </c>
      <c r="BC593">
        <v>2407</v>
      </c>
      <c r="BD593" t="s">
        <v>74</v>
      </c>
      <c r="BE593" t="s">
        <v>11658</v>
      </c>
      <c r="BF593" t="str">
        <f>HYPERLINK("http://dx.doi.org/10.1007/s00300-018-2378-2","http://dx.doi.org/10.1007/s00300-018-2378-2")</f>
        <v>http://dx.doi.org/10.1007/s00300-018-2378-2</v>
      </c>
      <c r="BG593" t="s">
        <v>74</v>
      </c>
      <c r="BH593" t="s">
        <v>74</v>
      </c>
      <c r="BI593">
        <v>9</v>
      </c>
      <c r="BJ593" t="s">
        <v>1087</v>
      </c>
      <c r="BK593" t="s">
        <v>101</v>
      </c>
      <c r="BL593" t="s">
        <v>102</v>
      </c>
      <c r="BM593" t="s">
        <v>11659</v>
      </c>
      <c r="BN593" t="s">
        <v>74</v>
      </c>
      <c r="BO593" t="s">
        <v>74</v>
      </c>
      <c r="BP593" t="s">
        <v>74</v>
      </c>
      <c r="BQ593" t="s">
        <v>74</v>
      </c>
      <c r="BR593" t="s">
        <v>104</v>
      </c>
      <c r="BS593" t="s">
        <v>11660</v>
      </c>
      <c r="BT593" t="str">
        <f>HYPERLINK("https%3A%2F%2Fwww.webofscience.com%2Fwos%2Fwoscc%2Ffull-record%2FWOS:000452376500001","View Full Record in Web of Science")</f>
        <v>View Full Record in Web of Science</v>
      </c>
    </row>
    <row r="594" spans="1:72" x14ac:dyDescent="0.15">
      <c r="A594" t="s">
        <v>72</v>
      </c>
      <c r="B594" t="s">
        <v>11661</v>
      </c>
      <c r="C594" t="s">
        <v>74</v>
      </c>
      <c r="D594" t="s">
        <v>74</v>
      </c>
      <c r="E594" t="s">
        <v>74</v>
      </c>
      <c r="F594" t="s">
        <v>11662</v>
      </c>
      <c r="G594" t="s">
        <v>74</v>
      </c>
      <c r="H594" t="s">
        <v>74</v>
      </c>
      <c r="I594" t="s">
        <v>11663</v>
      </c>
      <c r="J594" t="s">
        <v>1067</v>
      </c>
      <c r="K594" t="s">
        <v>74</v>
      </c>
      <c r="L594" t="s">
        <v>74</v>
      </c>
      <c r="M594" t="s">
        <v>78</v>
      </c>
      <c r="N594" t="s">
        <v>79</v>
      </c>
      <c r="O594" t="s">
        <v>74</v>
      </c>
      <c r="P594" t="s">
        <v>74</v>
      </c>
      <c r="Q594" t="s">
        <v>74</v>
      </c>
      <c r="R594" t="s">
        <v>74</v>
      </c>
      <c r="S594" t="s">
        <v>74</v>
      </c>
      <c r="T594" t="s">
        <v>11664</v>
      </c>
      <c r="U594" t="s">
        <v>11665</v>
      </c>
      <c r="V594" t="s">
        <v>11666</v>
      </c>
      <c r="W594" t="s">
        <v>11667</v>
      </c>
      <c r="X594" t="s">
        <v>11668</v>
      </c>
      <c r="Y594" t="s">
        <v>11669</v>
      </c>
      <c r="Z594" t="s">
        <v>11670</v>
      </c>
      <c r="AA594" t="s">
        <v>11671</v>
      </c>
      <c r="AB594" t="s">
        <v>11672</v>
      </c>
      <c r="AC594" t="s">
        <v>11673</v>
      </c>
      <c r="AD594" t="s">
        <v>11674</v>
      </c>
      <c r="AE594" t="s">
        <v>11675</v>
      </c>
      <c r="AF594" t="s">
        <v>74</v>
      </c>
      <c r="AG594">
        <v>59</v>
      </c>
      <c r="AH594">
        <v>24</v>
      </c>
      <c r="AI594">
        <v>28</v>
      </c>
      <c r="AJ594">
        <v>0</v>
      </c>
      <c r="AK594">
        <v>23</v>
      </c>
      <c r="AL594" t="s">
        <v>1079</v>
      </c>
      <c r="AM594" t="s">
        <v>1080</v>
      </c>
      <c r="AN594" t="s">
        <v>1081</v>
      </c>
      <c r="AO594" t="s">
        <v>1082</v>
      </c>
      <c r="AP594" t="s">
        <v>1083</v>
      </c>
      <c r="AQ594" t="s">
        <v>74</v>
      </c>
      <c r="AR594" t="s">
        <v>1084</v>
      </c>
      <c r="AS594" t="s">
        <v>1085</v>
      </c>
      <c r="AT594" t="s">
        <v>9222</v>
      </c>
      <c r="AU594">
        <v>2018</v>
      </c>
      <c r="AV594">
        <v>41</v>
      </c>
      <c r="AW594">
        <v>12</v>
      </c>
      <c r="AX594" t="s">
        <v>74</v>
      </c>
      <c r="AY594" t="s">
        <v>74</v>
      </c>
      <c r="AZ594" t="s">
        <v>74</v>
      </c>
      <c r="BA594" t="s">
        <v>74</v>
      </c>
      <c r="BB594">
        <v>2409</v>
      </c>
      <c r="BC594">
        <v>2421</v>
      </c>
      <c r="BD594" t="s">
        <v>74</v>
      </c>
      <c r="BE594" t="s">
        <v>11676</v>
      </c>
      <c r="BF594" t="str">
        <f>HYPERLINK("http://dx.doi.org/10.1007/s00300-018-2376-4","http://dx.doi.org/10.1007/s00300-018-2376-4")</f>
        <v>http://dx.doi.org/10.1007/s00300-018-2376-4</v>
      </c>
      <c r="BG594" t="s">
        <v>74</v>
      </c>
      <c r="BH594" t="s">
        <v>74</v>
      </c>
      <c r="BI594">
        <v>13</v>
      </c>
      <c r="BJ594" t="s">
        <v>1087</v>
      </c>
      <c r="BK594" t="s">
        <v>101</v>
      </c>
      <c r="BL594" t="s">
        <v>102</v>
      </c>
      <c r="BM594" t="s">
        <v>11659</v>
      </c>
      <c r="BN594" t="s">
        <v>74</v>
      </c>
      <c r="BO594" t="s">
        <v>5774</v>
      </c>
      <c r="BP594" t="s">
        <v>74</v>
      </c>
      <c r="BQ594" t="s">
        <v>74</v>
      </c>
      <c r="BR594" t="s">
        <v>104</v>
      </c>
      <c r="BS594" t="s">
        <v>11677</v>
      </c>
      <c r="BT594" t="str">
        <f>HYPERLINK("https%3A%2F%2Fwww.webofscience.com%2Fwos%2Fwoscc%2Ffull-record%2FWOS:000452376500002","View Full Record in Web of Science")</f>
        <v>View Full Record in Web of Science</v>
      </c>
    </row>
    <row r="595" spans="1:72" x14ac:dyDescent="0.15">
      <c r="A595" t="s">
        <v>72</v>
      </c>
      <c r="B595" t="s">
        <v>11678</v>
      </c>
      <c r="C595" t="s">
        <v>74</v>
      </c>
      <c r="D595" t="s">
        <v>74</v>
      </c>
      <c r="E595" t="s">
        <v>74</v>
      </c>
      <c r="F595" t="s">
        <v>11679</v>
      </c>
      <c r="G595" t="s">
        <v>74</v>
      </c>
      <c r="H595" t="s">
        <v>74</v>
      </c>
      <c r="I595" t="s">
        <v>11680</v>
      </c>
      <c r="J595" t="s">
        <v>1067</v>
      </c>
      <c r="K595" t="s">
        <v>74</v>
      </c>
      <c r="L595" t="s">
        <v>74</v>
      </c>
      <c r="M595" t="s">
        <v>78</v>
      </c>
      <c r="N595" t="s">
        <v>79</v>
      </c>
      <c r="O595" t="s">
        <v>74</v>
      </c>
      <c r="P595" t="s">
        <v>74</v>
      </c>
      <c r="Q595" t="s">
        <v>74</v>
      </c>
      <c r="R595" t="s">
        <v>74</v>
      </c>
      <c r="S595" t="s">
        <v>74</v>
      </c>
      <c r="T595" t="s">
        <v>11681</v>
      </c>
      <c r="U595" t="s">
        <v>11682</v>
      </c>
      <c r="V595" t="s">
        <v>11683</v>
      </c>
      <c r="W595" t="s">
        <v>11684</v>
      </c>
      <c r="X595" t="s">
        <v>11685</v>
      </c>
      <c r="Y595" t="s">
        <v>11686</v>
      </c>
      <c r="Z595" t="s">
        <v>11687</v>
      </c>
      <c r="AA595" t="s">
        <v>74</v>
      </c>
      <c r="AB595" t="s">
        <v>11688</v>
      </c>
      <c r="AC595" t="s">
        <v>11689</v>
      </c>
      <c r="AD595" t="s">
        <v>11690</v>
      </c>
      <c r="AE595" t="s">
        <v>11691</v>
      </c>
      <c r="AF595" t="s">
        <v>74</v>
      </c>
      <c r="AG595">
        <v>66</v>
      </c>
      <c r="AH595">
        <v>23</v>
      </c>
      <c r="AI595">
        <v>23</v>
      </c>
      <c r="AJ595">
        <v>2</v>
      </c>
      <c r="AK595">
        <v>11</v>
      </c>
      <c r="AL595" t="s">
        <v>1079</v>
      </c>
      <c r="AM595" t="s">
        <v>1080</v>
      </c>
      <c r="AN595" t="s">
        <v>1081</v>
      </c>
      <c r="AO595" t="s">
        <v>1082</v>
      </c>
      <c r="AP595" t="s">
        <v>1083</v>
      </c>
      <c r="AQ595" t="s">
        <v>74</v>
      </c>
      <c r="AR595" t="s">
        <v>1084</v>
      </c>
      <c r="AS595" t="s">
        <v>1085</v>
      </c>
      <c r="AT595" t="s">
        <v>9222</v>
      </c>
      <c r="AU595">
        <v>2018</v>
      </c>
      <c r="AV595">
        <v>41</v>
      </c>
      <c r="AW595">
        <v>12</v>
      </c>
      <c r="AX595" t="s">
        <v>74</v>
      </c>
      <c r="AY595" t="s">
        <v>74</v>
      </c>
      <c r="AZ595" t="s">
        <v>74</v>
      </c>
      <c r="BA595" t="s">
        <v>74</v>
      </c>
      <c r="BB595">
        <v>2423</v>
      </c>
      <c r="BC595">
        <v>2433</v>
      </c>
      <c r="BD595" t="s">
        <v>74</v>
      </c>
      <c r="BE595" t="s">
        <v>11692</v>
      </c>
      <c r="BF595" t="str">
        <f>HYPERLINK("http://dx.doi.org/10.1007/s00300-018-2377-3","http://dx.doi.org/10.1007/s00300-018-2377-3")</f>
        <v>http://dx.doi.org/10.1007/s00300-018-2377-3</v>
      </c>
      <c r="BG595" t="s">
        <v>74</v>
      </c>
      <c r="BH595" t="s">
        <v>74</v>
      </c>
      <c r="BI595">
        <v>11</v>
      </c>
      <c r="BJ595" t="s">
        <v>1087</v>
      </c>
      <c r="BK595" t="s">
        <v>101</v>
      </c>
      <c r="BL595" t="s">
        <v>102</v>
      </c>
      <c r="BM595" t="s">
        <v>11659</v>
      </c>
      <c r="BN595" t="s">
        <v>74</v>
      </c>
      <c r="BO595" t="s">
        <v>74</v>
      </c>
      <c r="BP595" t="s">
        <v>74</v>
      </c>
      <c r="BQ595" t="s">
        <v>74</v>
      </c>
      <c r="BR595" t="s">
        <v>104</v>
      </c>
      <c r="BS595" t="s">
        <v>11693</v>
      </c>
      <c r="BT595" t="str">
        <f>HYPERLINK("https%3A%2F%2Fwww.webofscience.com%2Fwos%2Fwoscc%2Ffull-record%2FWOS:000452376500003","View Full Record in Web of Science")</f>
        <v>View Full Record in Web of Science</v>
      </c>
    </row>
    <row r="596" spans="1:72" x14ac:dyDescent="0.15">
      <c r="A596" t="s">
        <v>72</v>
      </c>
      <c r="B596" t="s">
        <v>11694</v>
      </c>
      <c r="C596" t="s">
        <v>74</v>
      </c>
      <c r="D596" t="s">
        <v>74</v>
      </c>
      <c r="E596" t="s">
        <v>74</v>
      </c>
      <c r="F596" t="s">
        <v>11695</v>
      </c>
      <c r="G596" t="s">
        <v>74</v>
      </c>
      <c r="H596" t="s">
        <v>74</v>
      </c>
      <c r="I596" t="s">
        <v>11696</v>
      </c>
      <c r="J596" t="s">
        <v>1067</v>
      </c>
      <c r="K596" t="s">
        <v>74</v>
      </c>
      <c r="L596" t="s">
        <v>74</v>
      </c>
      <c r="M596" t="s">
        <v>78</v>
      </c>
      <c r="N596" t="s">
        <v>79</v>
      </c>
      <c r="O596" t="s">
        <v>74</v>
      </c>
      <c r="P596" t="s">
        <v>74</v>
      </c>
      <c r="Q596" t="s">
        <v>74</v>
      </c>
      <c r="R596" t="s">
        <v>74</v>
      </c>
      <c r="S596" t="s">
        <v>74</v>
      </c>
      <c r="T596" t="s">
        <v>11697</v>
      </c>
      <c r="U596" t="s">
        <v>11698</v>
      </c>
      <c r="V596" t="s">
        <v>11699</v>
      </c>
      <c r="W596" t="s">
        <v>11700</v>
      </c>
      <c r="X596" t="s">
        <v>11701</v>
      </c>
      <c r="Y596" t="s">
        <v>11702</v>
      </c>
      <c r="Z596" t="s">
        <v>11703</v>
      </c>
      <c r="AA596" t="s">
        <v>74</v>
      </c>
      <c r="AB596" t="s">
        <v>11704</v>
      </c>
      <c r="AC596" t="s">
        <v>11705</v>
      </c>
      <c r="AD596" t="s">
        <v>11705</v>
      </c>
      <c r="AE596" t="s">
        <v>11706</v>
      </c>
      <c r="AF596" t="s">
        <v>74</v>
      </c>
      <c r="AG596">
        <v>51</v>
      </c>
      <c r="AH596">
        <v>8</v>
      </c>
      <c r="AI596">
        <v>10</v>
      </c>
      <c r="AJ596">
        <v>1</v>
      </c>
      <c r="AK596">
        <v>17</v>
      </c>
      <c r="AL596" t="s">
        <v>1079</v>
      </c>
      <c r="AM596" t="s">
        <v>1080</v>
      </c>
      <c r="AN596" t="s">
        <v>1106</v>
      </c>
      <c r="AO596" t="s">
        <v>1082</v>
      </c>
      <c r="AP596" t="s">
        <v>1083</v>
      </c>
      <c r="AQ596" t="s">
        <v>74</v>
      </c>
      <c r="AR596" t="s">
        <v>1084</v>
      </c>
      <c r="AS596" t="s">
        <v>1085</v>
      </c>
      <c r="AT596" t="s">
        <v>9222</v>
      </c>
      <c r="AU596">
        <v>2018</v>
      </c>
      <c r="AV596">
        <v>41</v>
      </c>
      <c r="AW596">
        <v>12</v>
      </c>
      <c r="AX596" t="s">
        <v>74</v>
      </c>
      <c r="AY596" t="s">
        <v>74</v>
      </c>
      <c r="AZ596" t="s">
        <v>74</v>
      </c>
      <c r="BA596" t="s">
        <v>74</v>
      </c>
      <c r="BB596">
        <v>2451</v>
      </c>
      <c r="BC596">
        <v>2458</v>
      </c>
      <c r="BD596" t="s">
        <v>74</v>
      </c>
      <c r="BE596" t="s">
        <v>11707</v>
      </c>
      <c r="BF596" t="str">
        <f>HYPERLINK("http://dx.doi.org/10.1007/s00300-018-2381-7","http://dx.doi.org/10.1007/s00300-018-2381-7")</f>
        <v>http://dx.doi.org/10.1007/s00300-018-2381-7</v>
      </c>
      <c r="BG596" t="s">
        <v>74</v>
      </c>
      <c r="BH596" t="s">
        <v>74</v>
      </c>
      <c r="BI596">
        <v>8</v>
      </c>
      <c r="BJ596" t="s">
        <v>1087</v>
      </c>
      <c r="BK596" t="s">
        <v>101</v>
      </c>
      <c r="BL596" t="s">
        <v>102</v>
      </c>
      <c r="BM596" t="s">
        <v>11659</v>
      </c>
      <c r="BN596" t="s">
        <v>74</v>
      </c>
      <c r="BO596" t="s">
        <v>74</v>
      </c>
      <c r="BP596" t="s">
        <v>74</v>
      </c>
      <c r="BQ596" t="s">
        <v>74</v>
      </c>
      <c r="BR596" t="s">
        <v>104</v>
      </c>
      <c r="BS596" t="s">
        <v>11708</v>
      </c>
      <c r="BT596" t="str">
        <f>HYPERLINK("https%3A%2F%2Fwww.webofscience.com%2Fwos%2Fwoscc%2Ffull-record%2FWOS:000452376500005","View Full Record in Web of Science")</f>
        <v>View Full Record in Web of Science</v>
      </c>
    </row>
    <row r="597" spans="1:72" x14ac:dyDescent="0.15">
      <c r="A597" t="s">
        <v>72</v>
      </c>
      <c r="B597" t="s">
        <v>11709</v>
      </c>
      <c r="C597" t="s">
        <v>74</v>
      </c>
      <c r="D597" t="s">
        <v>74</v>
      </c>
      <c r="E597" t="s">
        <v>74</v>
      </c>
      <c r="F597" t="s">
        <v>11710</v>
      </c>
      <c r="G597" t="s">
        <v>74</v>
      </c>
      <c r="H597" t="s">
        <v>74</v>
      </c>
      <c r="I597" t="s">
        <v>11711</v>
      </c>
      <c r="J597" t="s">
        <v>1067</v>
      </c>
      <c r="K597" t="s">
        <v>74</v>
      </c>
      <c r="L597" t="s">
        <v>74</v>
      </c>
      <c r="M597" t="s">
        <v>78</v>
      </c>
      <c r="N597" t="s">
        <v>79</v>
      </c>
      <c r="O597" t="s">
        <v>74</v>
      </c>
      <c r="P597" t="s">
        <v>74</v>
      </c>
      <c r="Q597" t="s">
        <v>74</v>
      </c>
      <c r="R597" t="s">
        <v>74</v>
      </c>
      <c r="S597" t="s">
        <v>74</v>
      </c>
      <c r="T597" t="s">
        <v>11712</v>
      </c>
      <c r="U597" t="s">
        <v>11713</v>
      </c>
      <c r="V597" t="s">
        <v>11714</v>
      </c>
      <c r="W597" t="s">
        <v>11715</v>
      </c>
      <c r="X597" t="s">
        <v>11716</v>
      </c>
      <c r="Y597" t="s">
        <v>11717</v>
      </c>
      <c r="Z597" t="s">
        <v>11718</v>
      </c>
      <c r="AA597" t="s">
        <v>11719</v>
      </c>
      <c r="AB597" t="s">
        <v>11720</v>
      </c>
      <c r="AC597" t="s">
        <v>11721</v>
      </c>
      <c r="AD597" t="s">
        <v>11722</v>
      </c>
      <c r="AE597" t="s">
        <v>11723</v>
      </c>
      <c r="AF597" t="s">
        <v>74</v>
      </c>
      <c r="AG597">
        <v>45</v>
      </c>
      <c r="AH597">
        <v>10</v>
      </c>
      <c r="AI597">
        <v>11</v>
      </c>
      <c r="AJ597">
        <v>8</v>
      </c>
      <c r="AK597">
        <v>40</v>
      </c>
      <c r="AL597" t="s">
        <v>1079</v>
      </c>
      <c r="AM597" t="s">
        <v>1080</v>
      </c>
      <c r="AN597" t="s">
        <v>1081</v>
      </c>
      <c r="AO597" t="s">
        <v>1082</v>
      </c>
      <c r="AP597" t="s">
        <v>1083</v>
      </c>
      <c r="AQ597" t="s">
        <v>74</v>
      </c>
      <c r="AR597" t="s">
        <v>1084</v>
      </c>
      <c r="AS597" t="s">
        <v>1085</v>
      </c>
      <c r="AT597" t="s">
        <v>9222</v>
      </c>
      <c r="AU597">
        <v>2018</v>
      </c>
      <c r="AV597">
        <v>41</v>
      </c>
      <c r="AW597">
        <v>12</v>
      </c>
      <c r="AX597" t="s">
        <v>74</v>
      </c>
      <c r="AY597" t="s">
        <v>74</v>
      </c>
      <c r="AZ597" t="s">
        <v>74</v>
      </c>
      <c r="BA597" t="s">
        <v>74</v>
      </c>
      <c r="BB597">
        <v>2459</v>
      </c>
      <c r="BC597">
        <v>2466</v>
      </c>
      <c r="BD597" t="s">
        <v>74</v>
      </c>
      <c r="BE597" t="s">
        <v>11724</v>
      </c>
      <c r="BF597" t="str">
        <f>HYPERLINK("http://dx.doi.org/10.1007/s00300-018-2382-6","http://dx.doi.org/10.1007/s00300-018-2382-6")</f>
        <v>http://dx.doi.org/10.1007/s00300-018-2382-6</v>
      </c>
      <c r="BG597" t="s">
        <v>74</v>
      </c>
      <c r="BH597" t="s">
        <v>74</v>
      </c>
      <c r="BI597">
        <v>8</v>
      </c>
      <c r="BJ597" t="s">
        <v>1087</v>
      </c>
      <c r="BK597" t="s">
        <v>101</v>
      </c>
      <c r="BL597" t="s">
        <v>102</v>
      </c>
      <c r="BM597" t="s">
        <v>11659</v>
      </c>
      <c r="BN597" t="s">
        <v>74</v>
      </c>
      <c r="BO597" t="s">
        <v>74</v>
      </c>
      <c r="BP597" t="s">
        <v>74</v>
      </c>
      <c r="BQ597" t="s">
        <v>74</v>
      </c>
      <c r="BR597" t="s">
        <v>104</v>
      </c>
      <c r="BS597" t="s">
        <v>11725</v>
      </c>
      <c r="BT597" t="str">
        <f>HYPERLINK("https%3A%2F%2Fwww.webofscience.com%2Fwos%2Fwoscc%2Ffull-record%2FWOS:000452376500006","View Full Record in Web of Science")</f>
        <v>View Full Record in Web of Science</v>
      </c>
    </row>
    <row r="598" spans="1:72" x14ac:dyDescent="0.15">
      <c r="A598" t="s">
        <v>72</v>
      </c>
      <c r="B598" t="s">
        <v>11726</v>
      </c>
      <c r="C598" t="s">
        <v>74</v>
      </c>
      <c r="D598" t="s">
        <v>74</v>
      </c>
      <c r="E598" t="s">
        <v>74</v>
      </c>
      <c r="F598" t="s">
        <v>11727</v>
      </c>
      <c r="G598" t="s">
        <v>74</v>
      </c>
      <c r="H598" t="s">
        <v>74</v>
      </c>
      <c r="I598" t="s">
        <v>11728</v>
      </c>
      <c r="J598" t="s">
        <v>1067</v>
      </c>
      <c r="K598" t="s">
        <v>74</v>
      </c>
      <c r="L598" t="s">
        <v>74</v>
      </c>
      <c r="M598" t="s">
        <v>78</v>
      </c>
      <c r="N598" t="s">
        <v>79</v>
      </c>
      <c r="O598" t="s">
        <v>74</v>
      </c>
      <c r="P598" t="s">
        <v>74</v>
      </c>
      <c r="Q598" t="s">
        <v>74</v>
      </c>
      <c r="R598" t="s">
        <v>74</v>
      </c>
      <c r="S598" t="s">
        <v>74</v>
      </c>
      <c r="T598" t="s">
        <v>11729</v>
      </c>
      <c r="U598" t="s">
        <v>11730</v>
      </c>
      <c r="V598" t="s">
        <v>11731</v>
      </c>
      <c r="W598" t="s">
        <v>11732</v>
      </c>
      <c r="X598" t="s">
        <v>11733</v>
      </c>
      <c r="Y598" t="s">
        <v>11734</v>
      </c>
      <c r="Z598" t="s">
        <v>11735</v>
      </c>
      <c r="AA598" t="s">
        <v>11736</v>
      </c>
      <c r="AB598" t="s">
        <v>11737</v>
      </c>
      <c r="AC598" t="s">
        <v>11738</v>
      </c>
      <c r="AD598" t="s">
        <v>11739</v>
      </c>
      <c r="AE598" t="s">
        <v>11740</v>
      </c>
      <c r="AF598" t="s">
        <v>74</v>
      </c>
      <c r="AG598">
        <v>94</v>
      </c>
      <c r="AH598">
        <v>12</v>
      </c>
      <c r="AI598">
        <v>13</v>
      </c>
      <c r="AJ598">
        <v>0</v>
      </c>
      <c r="AK598">
        <v>8</v>
      </c>
      <c r="AL598" t="s">
        <v>1079</v>
      </c>
      <c r="AM598" t="s">
        <v>1080</v>
      </c>
      <c r="AN598" t="s">
        <v>1081</v>
      </c>
      <c r="AO598" t="s">
        <v>1082</v>
      </c>
      <c r="AP598" t="s">
        <v>1083</v>
      </c>
      <c r="AQ598" t="s">
        <v>74</v>
      </c>
      <c r="AR598" t="s">
        <v>1084</v>
      </c>
      <c r="AS598" t="s">
        <v>1085</v>
      </c>
      <c r="AT598" t="s">
        <v>9222</v>
      </c>
      <c r="AU598">
        <v>2018</v>
      </c>
      <c r="AV598">
        <v>41</v>
      </c>
      <c r="AW598">
        <v>12</v>
      </c>
      <c r="AX598" t="s">
        <v>74</v>
      </c>
      <c r="AY598" t="s">
        <v>74</v>
      </c>
      <c r="AZ598" t="s">
        <v>74</v>
      </c>
      <c r="BA598" t="s">
        <v>74</v>
      </c>
      <c r="BB598">
        <v>2467</v>
      </c>
      <c r="BC598">
        <v>2479</v>
      </c>
      <c r="BD598" t="s">
        <v>74</v>
      </c>
      <c r="BE598" t="s">
        <v>11741</v>
      </c>
      <c r="BF598" t="str">
        <f>HYPERLINK("http://dx.doi.org/10.1007/s00300-018-2383-5","http://dx.doi.org/10.1007/s00300-018-2383-5")</f>
        <v>http://dx.doi.org/10.1007/s00300-018-2383-5</v>
      </c>
      <c r="BG598" t="s">
        <v>74</v>
      </c>
      <c r="BH598" t="s">
        <v>74</v>
      </c>
      <c r="BI598">
        <v>13</v>
      </c>
      <c r="BJ598" t="s">
        <v>1087</v>
      </c>
      <c r="BK598" t="s">
        <v>101</v>
      </c>
      <c r="BL598" t="s">
        <v>102</v>
      </c>
      <c r="BM598" t="s">
        <v>11659</v>
      </c>
      <c r="BN598" t="s">
        <v>74</v>
      </c>
      <c r="BO598" t="s">
        <v>4426</v>
      </c>
      <c r="BP598" t="s">
        <v>74</v>
      </c>
      <c r="BQ598" t="s">
        <v>74</v>
      </c>
      <c r="BR598" t="s">
        <v>104</v>
      </c>
      <c r="BS598" t="s">
        <v>11742</v>
      </c>
      <c r="BT598" t="str">
        <f>HYPERLINK("https%3A%2F%2Fwww.webofscience.com%2Fwos%2Fwoscc%2Ffull-record%2FWOS:000452376500007","View Full Record in Web of Science")</f>
        <v>View Full Record in Web of Science</v>
      </c>
    </row>
    <row r="599" spans="1:72" x14ac:dyDescent="0.15">
      <c r="A599" t="s">
        <v>72</v>
      </c>
      <c r="B599" t="s">
        <v>11743</v>
      </c>
      <c r="C599" t="s">
        <v>74</v>
      </c>
      <c r="D599" t="s">
        <v>74</v>
      </c>
      <c r="E599" t="s">
        <v>74</v>
      </c>
      <c r="F599" t="s">
        <v>11744</v>
      </c>
      <c r="G599" t="s">
        <v>74</v>
      </c>
      <c r="H599" t="s">
        <v>74</v>
      </c>
      <c r="I599" t="s">
        <v>11745</v>
      </c>
      <c r="J599" t="s">
        <v>1067</v>
      </c>
      <c r="K599" t="s">
        <v>74</v>
      </c>
      <c r="L599" t="s">
        <v>74</v>
      </c>
      <c r="M599" t="s">
        <v>78</v>
      </c>
      <c r="N599" t="s">
        <v>79</v>
      </c>
      <c r="O599" t="s">
        <v>74</v>
      </c>
      <c r="P599" t="s">
        <v>74</v>
      </c>
      <c r="Q599" t="s">
        <v>74</v>
      </c>
      <c r="R599" t="s">
        <v>74</v>
      </c>
      <c r="S599" t="s">
        <v>74</v>
      </c>
      <c r="T599" t="s">
        <v>11746</v>
      </c>
      <c r="U599" t="s">
        <v>11747</v>
      </c>
      <c r="V599" t="s">
        <v>11748</v>
      </c>
      <c r="W599" t="s">
        <v>11749</v>
      </c>
      <c r="X599" t="s">
        <v>11750</v>
      </c>
      <c r="Y599" t="s">
        <v>11751</v>
      </c>
      <c r="Z599" t="s">
        <v>5562</v>
      </c>
      <c r="AA599" t="s">
        <v>11752</v>
      </c>
      <c r="AB599" t="s">
        <v>11753</v>
      </c>
      <c r="AC599" t="s">
        <v>11754</v>
      </c>
      <c r="AD599" t="s">
        <v>11755</v>
      </c>
      <c r="AE599" t="s">
        <v>11756</v>
      </c>
      <c r="AF599" t="s">
        <v>74</v>
      </c>
      <c r="AG599">
        <v>63</v>
      </c>
      <c r="AH599">
        <v>23</v>
      </c>
      <c r="AI599">
        <v>23</v>
      </c>
      <c r="AJ599">
        <v>1</v>
      </c>
      <c r="AK599">
        <v>38</v>
      </c>
      <c r="AL599" t="s">
        <v>1079</v>
      </c>
      <c r="AM599" t="s">
        <v>1080</v>
      </c>
      <c r="AN599" t="s">
        <v>1106</v>
      </c>
      <c r="AO599" t="s">
        <v>1082</v>
      </c>
      <c r="AP599" t="s">
        <v>1083</v>
      </c>
      <c r="AQ599" t="s">
        <v>74</v>
      </c>
      <c r="AR599" t="s">
        <v>1084</v>
      </c>
      <c r="AS599" t="s">
        <v>1085</v>
      </c>
      <c r="AT599" t="s">
        <v>9222</v>
      </c>
      <c r="AU599">
        <v>2018</v>
      </c>
      <c r="AV599">
        <v>41</v>
      </c>
      <c r="AW599">
        <v>12</v>
      </c>
      <c r="AX599" t="s">
        <v>74</v>
      </c>
      <c r="AY599" t="s">
        <v>74</v>
      </c>
      <c r="AZ599" t="s">
        <v>74</v>
      </c>
      <c r="BA599" t="s">
        <v>74</v>
      </c>
      <c r="BB599">
        <v>2511</v>
      </c>
      <c r="BC599">
        <v>2521</v>
      </c>
      <c r="BD599" t="s">
        <v>74</v>
      </c>
      <c r="BE599" t="s">
        <v>11757</v>
      </c>
      <c r="BF599" t="str">
        <f>HYPERLINK("http://dx.doi.org/10.1007/s00300-018-2387-1","http://dx.doi.org/10.1007/s00300-018-2387-1")</f>
        <v>http://dx.doi.org/10.1007/s00300-018-2387-1</v>
      </c>
      <c r="BG599" t="s">
        <v>74</v>
      </c>
      <c r="BH599" t="s">
        <v>74</v>
      </c>
      <c r="BI599">
        <v>11</v>
      </c>
      <c r="BJ599" t="s">
        <v>1087</v>
      </c>
      <c r="BK599" t="s">
        <v>101</v>
      </c>
      <c r="BL599" t="s">
        <v>102</v>
      </c>
      <c r="BM599" t="s">
        <v>11659</v>
      </c>
      <c r="BN599" t="s">
        <v>74</v>
      </c>
      <c r="BO599" t="s">
        <v>1089</v>
      </c>
      <c r="BP599" t="s">
        <v>74</v>
      </c>
      <c r="BQ599" t="s">
        <v>74</v>
      </c>
      <c r="BR599" t="s">
        <v>104</v>
      </c>
      <c r="BS599" t="s">
        <v>11758</v>
      </c>
      <c r="BT599" t="str">
        <f>HYPERLINK("https%3A%2F%2Fwww.webofscience.com%2Fwos%2Fwoscc%2Ffull-record%2FWOS:000452376500010","View Full Record in Web of Science")</f>
        <v>View Full Record in Web of Science</v>
      </c>
    </row>
    <row r="600" spans="1:72" x14ac:dyDescent="0.15">
      <c r="A600" t="s">
        <v>72</v>
      </c>
      <c r="B600" t="s">
        <v>11759</v>
      </c>
      <c r="C600" t="s">
        <v>74</v>
      </c>
      <c r="D600" t="s">
        <v>74</v>
      </c>
      <c r="E600" t="s">
        <v>74</v>
      </c>
      <c r="F600" t="s">
        <v>11760</v>
      </c>
      <c r="G600" t="s">
        <v>74</v>
      </c>
      <c r="H600" t="s">
        <v>74</v>
      </c>
      <c r="I600" t="s">
        <v>11761</v>
      </c>
      <c r="J600" t="s">
        <v>1067</v>
      </c>
      <c r="K600" t="s">
        <v>74</v>
      </c>
      <c r="L600" t="s">
        <v>74</v>
      </c>
      <c r="M600" t="s">
        <v>78</v>
      </c>
      <c r="N600" t="s">
        <v>79</v>
      </c>
      <c r="O600" t="s">
        <v>74</v>
      </c>
      <c r="P600" t="s">
        <v>74</v>
      </c>
      <c r="Q600" t="s">
        <v>74</v>
      </c>
      <c r="R600" t="s">
        <v>74</v>
      </c>
      <c r="S600" t="s">
        <v>74</v>
      </c>
      <c r="T600" t="s">
        <v>11762</v>
      </c>
      <c r="U600" t="s">
        <v>11763</v>
      </c>
      <c r="V600" t="s">
        <v>11764</v>
      </c>
      <c r="W600" t="s">
        <v>11765</v>
      </c>
      <c r="X600" t="s">
        <v>11766</v>
      </c>
      <c r="Y600" t="s">
        <v>11767</v>
      </c>
      <c r="Z600" t="s">
        <v>11768</v>
      </c>
      <c r="AA600" t="s">
        <v>11769</v>
      </c>
      <c r="AB600" t="s">
        <v>11770</v>
      </c>
      <c r="AC600" t="s">
        <v>11771</v>
      </c>
      <c r="AD600" t="s">
        <v>11772</v>
      </c>
      <c r="AE600" t="s">
        <v>11773</v>
      </c>
      <c r="AF600" t="s">
        <v>74</v>
      </c>
      <c r="AG600">
        <v>75</v>
      </c>
      <c r="AH600">
        <v>33</v>
      </c>
      <c r="AI600">
        <v>33</v>
      </c>
      <c r="AJ600">
        <v>0</v>
      </c>
      <c r="AK600">
        <v>5</v>
      </c>
      <c r="AL600" t="s">
        <v>1079</v>
      </c>
      <c r="AM600" t="s">
        <v>1080</v>
      </c>
      <c r="AN600" t="s">
        <v>1106</v>
      </c>
      <c r="AO600" t="s">
        <v>1082</v>
      </c>
      <c r="AP600" t="s">
        <v>1083</v>
      </c>
      <c r="AQ600" t="s">
        <v>74</v>
      </c>
      <c r="AR600" t="s">
        <v>1084</v>
      </c>
      <c r="AS600" t="s">
        <v>1085</v>
      </c>
      <c r="AT600" t="s">
        <v>9222</v>
      </c>
      <c r="AU600">
        <v>2018</v>
      </c>
      <c r="AV600">
        <v>41</v>
      </c>
      <c r="AW600">
        <v>12</v>
      </c>
      <c r="AX600" t="s">
        <v>74</v>
      </c>
      <c r="AY600" t="s">
        <v>74</v>
      </c>
      <c r="AZ600" t="s">
        <v>74</v>
      </c>
      <c r="BA600" t="s">
        <v>74</v>
      </c>
      <c r="BB600">
        <v>2591</v>
      </c>
      <c r="BC600">
        <v>2605</v>
      </c>
      <c r="BD600" t="s">
        <v>74</v>
      </c>
      <c r="BE600" t="s">
        <v>11774</v>
      </c>
      <c r="BF600" t="str">
        <f>HYPERLINK("http://dx.doi.org/10.1007/s00300-018-2394-2","http://dx.doi.org/10.1007/s00300-018-2394-2")</f>
        <v>http://dx.doi.org/10.1007/s00300-018-2394-2</v>
      </c>
      <c r="BG600" t="s">
        <v>74</v>
      </c>
      <c r="BH600" t="s">
        <v>74</v>
      </c>
      <c r="BI600">
        <v>15</v>
      </c>
      <c r="BJ600" t="s">
        <v>1087</v>
      </c>
      <c r="BK600" t="s">
        <v>101</v>
      </c>
      <c r="BL600" t="s">
        <v>102</v>
      </c>
      <c r="BM600" t="s">
        <v>11659</v>
      </c>
      <c r="BN600" t="s">
        <v>74</v>
      </c>
      <c r="BO600" t="s">
        <v>74</v>
      </c>
      <c r="BP600" t="s">
        <v>74</v>
      </c>
      <c r="BQ600" t="s">
        <v>74</v>
      </c>
      <c r="BR600" t="s">
        <v>104</v>
      </c>
      <c r="BS600" t="s">
        <v>11775</v>
      </c>
      <c r="BT600" t="str">
        <f>HYPERLINK("https%3A%2F%2Fwww.webofscience.com%2Fwos%2Fwoscc%2Ffull-record%2FWOS:000452376500016","View Full Record in Web of Science")</f>
        <v>View Full Record in Web of Science</v>
      </c>
    </row>
    <row r="601" spans="1:72" x14ac:dyDescent="0.15">
      <c r="A601" t="s">
        <v>72</v>
      </c>
      <c r="B601" t="s">
        <v>11776</v>
      </c>
      <c r="C601" t="s">
        <v>74</v>
      </c>
      <c r="D601" t="s">
        <v>74</v>
      </c>
      <c r="E601" t="s">
        <v>74</v>
      </c>
      <c r="F601" t="s">
        <v>11777</v>
      </c>
      <c r="G601" t="s">
        <v>74</v>
      </c>
      <c r="H601" t="s">
        <v>74</v>
      </c>
      <c r="I601" t="s">
        <v>11778</v>
      </c>
      <c r="J601" t="s">
        <v>1067</v>
      </c>
      <c r="K601" t="s">
        <v>74</v>
      </c>
      <c r="L601" t="s">
        <v>74</v>
      </c>
      <c r="M601" t="s">
        <v>78</v>
      </c>
      <c r="N601" t="s">
        <v>79</v>
      </c>
      <c r="O601" t="s">
        <v>74</v>
      </c>
      <c r="P601" t="s">
        <v>74</v>
      </c>
      <c r="Q601" t="s">
        <v>74</v>
      </c>
      <c r="R601" t="s">
        <v>74</v>
      </c>
      <c r="S601" t="s">
        <v>74</v>
      </c>
      <c r="T601" t="s">
        <v>11779</v>
      </c>
      <c r="U601" t="s">
        <v>11780</v>
      </c>
      <c r="V601" t="s">
        <v>11781</v>
      </c>
      <c r="W601" t="s">
        <v>11782</v>
      </c>
      <c r="X601" t="s">
        <v>11783</v>
      </c>
      <c r="Y601" t="s">
        <v>11784</v>
      </c>
      <c r="Z601" t="s">
        <v>11785</v>
      </c>
      <c r="AA601" t="s">
        <v>74</v>
      </c>
      <c r="AB601" t="s">
        <v>11786</v>
      </c>
      <c r="AC601" t="s">
        <v>74</v>
      </c>
      <c r="AD601" t="s">
        <v>74</v>
      </c>
      <c r="AE601" t="s">
        <v>74</v>
      </c>
      <c r="AF601" t="s">
        <v>74</v>
      </c>
      <c r="AG601">
        <v>52</v>
      </c>
      <c r="AH601">
        <v>7</v>
      </c>
      <c r="AI601">
        <v>7</v>
      </c>
      <c r="AJ601">
        <v>0</v>
      </c>
      <c r="AK601">
        <v>22</v>
      </c>
      <c r="AL601" t="s">
        <v>1079</v>
      </c>
      <c r="AM601" t="s">
        <v>1080</v>
      </c>
      <c r="AN601" t="s">
        <v>1081</v>
      </c>
      <c r="AO601" t="s">
        <v>1082</v>
      </c>
      <c r="AP601" t="s">
        <v>1083</v>
      </c>
      <c r="AQ601" t="s">
        <v>74</v>
      </c>
      <c r="AR601" t="s">
        <v>1084</v>
      </c>
      <c r="AS601" t="s">
        <v>1085</v>
      </c>
      <c r="AT601" t="s">
        <v>9222</v>
      </c>
      <c r="AU601">
        <v>2018</v>
      </c>
      <c r="AV601">
        <v>41</v>
      </c>
      <c r="AW601">
        <v>12</v>
      </c>
      <c r="AX601" t="s">
        <v>74</v>
      </c>
      <c r="AY601" t="s">
        <v>74</v>
      </c>
      <c r="AZ601" t="s">
        <v>74</v>
      </c>
      <c r="BA601" t="s">
        <v>74</v>
      </c>
      <c r="BB601">
        <v>2607</v>
      </c>
      <c r="BC601">
        <v>2613</v>
      </c>
      <c r="BD601" t="s">
        <v>74</v>
      </c>
      <c r="BE601" t="s">
        <v>11787</v>
      </c>
      <c r="BF601" t="str">
        <f>HYPERLINK("http://dx.doi.org/10.1007/s00300-018-2366-6","http://dx.doi.org/10.1007/s00300-018-2366-6")</f>
        <v>http://dx.doi.org/10.1007/s00300-018-2366-6</v>
      </c>
      <c r="BG601" t="s">
        <v>74</v>
      </c>
      <c r="BH601" t="s">
        <v>74</v>
      </c>
      <c r="BI601">
        <v>7</v>
      </c>
      <c r="BJ601" t="s">
        <v>1087</v>
      </c>
      <c r="BK601" t="s">
        <v>101</v>
      </c>
      <c r="BL601" t="s">
        <v>102</v>
      </c>
      <c r="BM601" t="s">
        <v>11659</v>
      </c>
      <c r="BN601" t="s">
        <v>74</v>
      </c>
      <c r="BO601" t="s">
        <v>74</v>
      </c>
      <c r="BP601" t="s">
        <v>74</v>
      </c>
      <c r="BQ601" t="s">
        <v>74</v>
      </c>
      <c r="BR601" t="s">
        <v>104</v>
      </c>
      <c r="BS601" t="s">
        <v>11788</v>
      </c>
      <c r="BT601" t="str">
        <f>HYPERLINK("https%3A%2F%2Fwww.webofscience.com%2Fwos%2Fwoscc%2Ffull-record%2FWOS:000452376500017","View Full Record in Web of Science")</f>
        <v>View Full Record in Web of Science</v>
      </c>
    </row>
    <row r="602" spans="1:72" x14ac:dyDescent="0.15">
      <c r="A602" t="s">
        <v>72</v>
      </c>
      <c r="B602" t="s">
        <v>11789</v>
      </c>
      <c r="C602" t="s">
        <v>74</v>
      </c>
      <c r="D602" t="s">
        <v>74</v>
      </c>
      <c r="E602" t="s">
        <v>74</v>
      </c>
      <c r="F602" t="s">
        <v>11790</v>
      </c>
      <c r="G602" t="s">
        <v>74</v>
      </c>
      <c r="H602" t="s">
        <v>74</v>
      </c>
      <c r="I602" t="s">
        <v>11791</v>
      </c>
      <c r="J602" t="s">
        <v>1067</v>
      </c>
      <c r="K602" t="s">
        <v>74</v>
      </c>
      <c r="L602" t="s">
        <v>74</v>
      </c>
      <c r="M602" t="s">
        <v>78</v>
      </c>
      <c r="N602" t="s">
        <v>79</v>
      </c>
      <c r="O602" t="s">
        <v>74</v>
      </c>
      <c r="P602" t="s">
        <v>74</v>
      </c>
      <c r="Q602" t="s">
        <v>74</v>
      </c>
      <c r="R602" t="s">
        <v>74</v>
      </c>
      <c r="S602" t="s">
        <v>74</v>
      </c>
      <c r="T602" t="s">
        <v>11792</v>
      </c>
      <c r="U602" t="s">
        <v>11793</v>
      </c>
      <c r="V602" t="s">
        <v>11794</v>
      </c>
      <c r="W602" t="s">
        <v>11795</v>
      </c>
      <c r="X602" t="s">
        <v>11796</v>
      </c>
      <c r="Y602" t="s">
        <v>11797</v>
      </c>
      <c r="Z602" t="s">
        <v>11798</v>
      </c>
      <c r="AA602" t="s">
        <v>11799</v>
      </c>
      <c r="AB602" t="s">
        <v>11800</v>
      </c>
      <c r="AC602" t="s">
        <v>11801</v>
      </c>
      <c r="AD602" t="s">
        <v>11802</v>
      </c>
      <c r="AE602" t="s">
        <v>11803</v>
      </c>
      <c r="AF602" t="s">
        <v>74</v>
      </c>
      <c r="AG602">
        <v>60</v>
      </c>
      <c r="AH602">
        <v>12</v>
      </c>
      <c r="AI602">
        <v>12</v>
      </c>
      <c r="AJ602">
        <v>1</v>
      </c>
      <c r="AK602">
        <v>32</v>
      </c>
      <c r="AL602" t="s">
        <v>1079</v>
      </c>
      <c r="AM602" t="s">
        <v>1080</v>
      </c>
      <c r="AN602" t="s">
        <v>1106</v>
      </c>
      <c r="AO602" t="s">
        <v>1082</v>
      </c>
      <c r="AP602" t="s">
        <v>1083</v>
      </c>
      <c r="AQ602" t="s">
        <v>74</v>
      </c>
      <c r="AR602" t="s">
        <v>1084</v>
      </c>
      <c r="AS602" t="s">
        <v>1085</v>
      </c>
      <c r="AT602" t="s">
        <v>9222</v>
      </c>
      <c r="AU602">
        <v>2018</v>
      </c>
      <c r="AV602">
        <v>41</v>
      </c>
      <c r="AW602">
        <v>12</v>
      </c>
      <c r="AX602" t="s">
        <v>74</v>
      </c>
      <c r="AY602" t="s">
        <v>74</v>
      </c>
      <c r="AZ602" t="s">
        <v>74</v>
      </c>
      <c r="BA602" t="s">
        <v>74</v>
      </c>
      <c r="BB602">
        <v>2635</v>
      </c>
      <c r="BC602">
        <v>2641</v>
      </c>
      <c r="BD602" t="s">
        <v>74</v>
      </c>
      <c r="BE602" t="s">
        <v>11804</v>
      </c>
      <c r="BF602" t="str">
        <f>HYPERLINK("http://dx.doi.org/10.1007/s00300-018-2395-1","http://dx.doi.org/10.1007/s00300-018-2395-1")</f>
        <v>http://dx.doi.org/10.1007/s00300-018-2395-1</v>
      </c>
      <c r="BG602" t="s">
        <v>74</v>
      </c>
      <c r="BH602" t="s">
        <v>74</v>
      </c>
      <c r="BI602">
        <v>7</v>
      </c>
      <c r="BJ602" t="s">
        <v>1087</v>
      </c>
      <c r="BK602" t="s">
        <v>101</v>
      </c>
      <c r="BL602" t="s">
        <v>102</v>
      </c>
      <c r="BM602" t="s">
        <v>11659</v>
      </c>
      <c r="BN602" t="s">
        <v>74</v>
      </c>
      <c r="BO602" t="s">
        <v>74</v>
      </c>
      <c r="BP602" t="s">
        <v>74</v>
      </c>
      <c r="BQ602" t="s">
        <v>74</v>
      </c>
      <c r="BR602" t="s">
        <v>104</v>
      </c>
      <c r="BS602" t="s">
        <v>11805</v>
      </c>
      <c r="BT602" t="str">
        <f>HYPERLINK("https%3A%2F%2Fwww.webofscience.com%2Fwos%2Fwoscc%2Ffull-record%2FWOS:000452376500021","View Full Record in Web of Science")</f>
        <v>View Full Record in Web of Science</v>
      </c>
    </row>
    <row r="603" spans="1:72" x14ac:dyDescent="0.15">
      <c r="A603" t="s">
        <v>72</v>
      </c>
      <c r="B603" t="s">
        <v>11806</v>
      </c>
      <c r="C603" t="s">
        <v>74</v>
      </c>
      <c r="D603" t="s">
        <v>74</v>
      </c>
      <c r="E603" t="s">
        <v>74</v>
      </c>
      <c r="F603" t="s">
        <v>11807</v>
      </c>
      <c r="G603" t="s">
        <v>74</v>
      </c>
      <c r="H603" t="s">
        <v>74</v>
      </c>
      <c r="I603" t="s">
        <v>11808</v>
      </c>
      <c r="J603" t="s">
        <v>9205</v>
      </c>
      <c r="K603" t="s">
        <v>74</v>
      </c>
      <c r="L603" t="s">
        <v>74</v>
      </c>
      <c r="M603" t="s">
        <v>78</v>
      </c>
      <c r="N603" t="s">
        <v>79</v>
      </c>
      <c r="O603" t="s">
        <v>74</v>
      </c>
      <c r="P603" t="s">
        <v>74</v>
      </c>
      <c r="Q603" t="s">
        <v>74</v>
      </c>
      <c r="R603" t="s">
        <v>74</v>
      </c>
      <c r="S603" t="s">
        <v>74</v>
      </c>
      <c r="T603" t="s">
        <v>11809</v>
      </c>
      <c r="U603" t="s">
        <v>74</v>
      </c>
      <c r="V603" t="s">
        <v>11810</v>
      </c>
      <c r="W603" t="s">
        <v>11811</v>
      </c>
      <c r="X603" t="s">
        <v>74</v>
      </c>
      <c r="Y603" t="s">
        <v>11812</v>
      </c>
      <c r="Z603" t="s">
        <v>11813</v>
      </c>
      <c r="AA603" t="s">
        <v>74</v>
      </c>
      <c r="AB603" t="s">
        <v>74</v>
      </c>
      <c r="AC603" t="s">
        <v>11814</v>
      </c>
      <c r="AD603" t="s">
        <v>11815</v>
      </c>
      <c r="AE603" t="s">
        <v>11816</v>
      </c>
      <c r="AF603" t="s">
        <v>74</v>
      </c>
      <c r="AG603">
        <v>14</v>
      </c>
      <c r="AH603">
        <v>1</v>
      </c>
      <c r="AI603">
        <v>1</v>
      </c>
      <c r="AJ603">
        <v>1</v>
      </c>
      <c r="AK603">
        <v>3</v>
      </c>
      <c r="AL603" t="s">
        <v>2519</v>
      </c>
      <c r="AM603" t="s">
        <v>2520</v>
      </c>
      <c r="AN603" t="s">
        <v>3313</v>
      </c>
      <c r="AO603" t="s">
        <v>9218</v>
      </c>
      <c r="AP603" t="s">
        <v>9219</v>
      </c>
      <c r="AQ603" t="s">
        <v>74</v>
      </c>
      <c r="AR603" t="s">
        <v>9220</v>
      </c>
      <c r="AS603" t="s">
        <v>9221</v>
      </c>
      <c r="AT603" t="s">
        <v>9222</v>
      </c>
      <c r="AU603">
        <v>2018</v>
      </c>
      <c r="AV603">
        <v>18</v>
      </c>
      <c r="AW603" t="s">
        <v>74</v>
      </c>
      <c r="AX603" t="s">
        <v>74</v>
      </c>
      <c r="AY603" t="s">
        <v>74</v>
      </c>
      <c r="AZ603" t="s">
        <v>74</v>
      </c>
      <c r="BA603" t="s">
        <v>74</v>
      </c>
      <c r="BB603">
        <v>21</v>
      </c>
      <c r="BC603">
        <v>27</v>
      </c>
      <c r="BD603" t="s">
        <v>74</v>
      </c>
      <c r="BE603" t="s">
        <v>11817</v>
      </c>
      <c r="BF603" t="str">
        <f>HYPERLINK("http://dx.doi.org/10.1016/j.polar.2018.08.003","http://dx.doi.org/10.1016/j.polar.2018.08.003")</f>
        <v>http://dx.doi.org/10.1016/j.polar.2018.08.003</v>
      </c>
      <c r="BG603" t="s">
        <v>74</v>
      </c>
      <c r="BH603" t="s">
        <v>74</v>
      </c>
      <c r="BI603">
        <v>7</v>
      </c>
      <c r="BJ603" t="s">
        <v>451</v>
      </c>
      <c r="BK603" t="s">
        <v>101</v>
      </c>
      <c r="BL603" t="s">
        <v>452</v>
      </c>
      <c r="BM603" t="s">
        <v>9224</v>
      </c>
      <c r="BN603" t="s">
        <v>74</v>
      </c>
      <c r="BO603" t="s">
        <v>3810</v>
      </c>
      <c r="BP603" t="s">
        <v>74</v>
      </c>
      <c r="BQ603" t="s">
        <v>74</v>
      </c>
      <c r="BR603" t="s">
        <v>104</v>
      </c>
      <c r="BS603" t="s">
        <v>11818</v>
      </c>
      <c r="BT603" t="str">
        <f>HYPERLINK("https%3A%2F%2Fwww.webofscience.com%2Fwos%2Fwoscc%2Ffull-record%2FWOS:000452591600004","View Full Record in Web of Science")</f>
        <v>View Full Record in Web of Science</v>
      </c>
    </row>
    <row r="604" spans="1:72" x14ac:dyDescent="0.15">
      <c r="A604" t="s">
        <v>72</v>
      </c>
      <c r="B604" t="s">
        <v>11819</v>
      </c>
      <c r="C604" t="s">
        <v>74</v>
      </c>
      <c r="D604" t="s">
        <v>74</v>
      </c>
      <c r="E604" t="s">
        <v>74</v>
      </c>
      <c r="F604" t="s">
        <v>11820</v>
      </c>
      <c r="G604" t="s">
        <v>74</v>
      </c>
      <c r="H604" t="s">
        <v>74</v>
      </c>
      <c r="I604" t="s">
        <v>11821</v>
      </c>
      <c r="J604" t="s">
        <v>9205</v>
      </c>
      <c r="K604" t="s">
        <v>74</v>
      </c>
      <c r="L604" t="s">
        <v>74</v>
      </c>
      <c r="M604" t="s">
        <v>78</v>
      </c>
      <c r="N604" t="s">
        <v>79</v>
      </c>
      <c r="O604" t="s">
        <v>74</v>
      </c>
      <c r="P604" t="s">
        <v>74</v>
      </c>
      <c r="Q604" t="s">
        <v>74</v>
      </c>
      <c r="R604" t="s">
        <v>74</v>
      </c>
      <c r="S604" t="s">
        <v>74</v>
      </c>
      <c r="T604" t="s">
        <v>11822</v>
      </c>
      <c r="U604" t="s">
        <v>11823</v>
      </c>
      <c r="V604" t="s">
        <v>11824</v>
      </c>
      <c r="W604" t="s">
        <v>11825</v>
      </c>
      <c r="X604" t="s">
        <v>11826</v>
      </c>
      <c r="Y604" t="s">
        <v>11827</v>
      </c>
      <c r="Z604" t="s">
        <v>11828</v>
      </c>
      <c r="AA604" t="s">
        <v>11829</v>
      </c>
      <c r="AB604" t="s">
        <v>11830</v>
      </c>
      <c r="AC604" t="s">
        <v>11831</v>
      </c>
      <c r="AD604" t="s">
        <v>1821</v>
      </c>
      <c r="AE604" t="s">
        <v>11832</v>
      </c>
      <c r="AF604" t="s">
        <v>74</v>
      </c>
      <c r="AG604">
        <v>65</v>
      </c>
      <c r="AH604">
        <v>9</v>
      </c>
      <c r="AI604">
        <v>9</v>
      </c>
      <c r="AJ604">
        <v>1</v>
      </c>
      <c r="AK604">
        <v>10</v>
      </c>
      <c r="AL604" t="s">
        <v>2519</v>
      </c>
      <c r="AM604" t="s">
        <v>2520</v>
      </c>
      <c r="AN604" t="s">
        <v>3313</v>
      </c>
      <c r="AO604" t="s">
        <v>9218</v>
      </c>
      <c r="AP604" t="s">
        <v>9219</v>
      </c>
      <c r="AQ604" t="s">
        <v>74</v>
      </c>
      <c r="AR604" t="s">
        <v>9220</v>
      </c>
      <c r="AS604" t="s">
        <v>9221</v>
      </c>
      <c r="AT604" t="s">
        <v>9222</v>
      </c>
      <c r="AU604">
        <v>2018</v>
      </c>
      <c r="AV604">
        <v>18</v>
      </c>
      <c r="AW604" t="s">
        <v>74</v>
      </c>
      <c r="AX604" t="s">
        <v>74</v>
      </c>
      <c r="AY604" t="s">
        <v>74</v>
      </c>
      <c r="AZ604" t="s">
        <v>74</v>
      </c>
      <c r="BA604" t="s">
        <v>74</v>
      </c>
      <c r="BB604">
        <v>28</v>
      </c>
      <c r="BC604">
        <v>38</v>
      </c>
      <c r="BD604" t="s">
        <v>74</v>
      </c>
      <c r="BE604" t="s">
        <v>11833</v>
      </c>
      <c r="BF604" t="str">
        <f>HYPERLINK("http://dx.doi.org/10.1016/j.polar.2018.08.002","http://dx.doi.org/10.1016/j.polar.2018.08.002")</f>
        <v>http://dx.doi.org/10.1016/j.polar.2018.08.002</v>
      </c>
      <c r="BG604" t="s">
        <v>74</v>
      </c>
      <c r="BH604" t="s">
        <v>74</v>
      </c>
      <c r="BI604">
        <v>11</v>
      </c>
      <c r="BJ604" t="s">
        <v>451</v>
      </c>
      <c r="BK604" t="s">
        <v>101</v>
      </c>
      <c r="BL604" t="s">
        <v>452</v>
      </c>
      <c r="BM604" t="s">
        <v>9224</v>
      </c>
      <c r="BN604" t="s">
        <v>74</v>
      </c>
      <c r="BO604" t="s">
        <v>3810</v>
      </c>
      <c r="BP604" t="s">
        <v>74</v>
      </c>
      <c r="BQ604" t="s">
        <v>74</v>
      </c>
      <c r="BR604" t="s">
        <v>104</v>
      </c>
      <c r="BS604" t="s">
        <v>11834</v>
      </c>
      <c r="BT604" t="str">
        <f>HYPERLINK("https%3A%2F%2Fwww.webofscience.com%2Fwos%2Fwoscc%2Ffull-record%2FWOS:000452591600005","View Full Record in Web of Science")</f>
        <v>View Full Record in Web of Science</v>
      </c>
    </row>
    <row r="605" spans="1:72" x14ac:dyDescent="0.15">
      <c r="A605" t="s">
        <v>72</v>
      </c>
      <c r="B605" t="s">
        <v>11835</v>
      </c>
      <c r="C605" t="s">
        <v>74</v>
      </c>
      <c r="D605" t="s">
        <v>74</v>
      </c>
      <c r="E605" t="s">
        <v>74</v>
      </c>
      <c r="F605" t="s">
        <v>11836</v>
      </c>
      <c r="G605" t="s">
        <v>74</v>
      </c>
      <c r="H605" t="s">
        <v>74</v>
      </c>
      <c r="I605" t="s">
        <v>11837</v>
      </c>
      <c r="J605" t="s">
        <v>9205</v>
      </c>
      <c r="K605" t="s">
        <v>74</v>
      </c>
      <c r="L605" t="s">
        <v>74</v>
      </c>
      <c r="M605" t="s">
        <v>78</v>
      </c>
      <c r="N605" t="s">
        <v>79</v>
      </c>
      <c r="O605" t="s">
        <v>74</v>
      </c>
      <c r="P605" t="s">
        <v>74</v>
      </c>
      <c r="Q605" t="s">
        <v>74</v>
      </c>
      <c r="R605" t="s">
        <v>74</v>
      </c>
      <c r="S605" t="s">
        <v>74</v>
      </c>
      <c r="T605" t="s">
        <v>11838</v>
      </c>
      <c r="U605" t="s">
        <v>74</v>
      </c>
      <c r="V605" t="s">
        <v>11839</v>
      </c>
      <c r="W605" t="s">
        <v>11840</v>
      </c>
      <c r="X605" t="s">
        <v>11841</v>
      </c>
      <c r="Y605" t="s">
        <v>11842</v>
      </c>
      <c r="Z605" t="s">
        <v>11843</v>
      </c>
      <c r="AA605" t="s">
        <v>74</v>
      </c>
      <c r="AB605" t="s">
        <v>74</v>
      </c>
      <c r="AC605" t="s">
        <v>11844</v>
      </c>
      <c r="AD605" t="s">
        <v>11844</v>
      </c>
      <c r="AE605" t="s">
        <v>11845</v>
      </c>
      <c r="AF605" t="s">
        <v>74</v>
      </c>
      <c r="AG605">
        <v>10</v>
      </c>
      <c r="AH605">
        <v>2</v>
      </c>
      <c r="AI605">
        <v>2</v>
      </c>
      <c r="AJ605">
        <v>0</v>
      </c>
      <c r="AK605">
        <v>1</v>
      </c>
      <c r="AL605" t="s">
        <v>2519</v>
      </c>
      <c r="AM605" t="s">
        <v>2520</v>
      </c>
      <c r="AN605" t="s">
        <v>3313</v>
      </c>
      <c r="AO605" t="s">
        <v>9218</v>
      </c>
      <c r="AP605" t="s">
        <v>9219</v>
      </c>
      <c r="AQ605" t="s">
        <v>74</v>
      </c>
      <c r="AR605" t="s">
        <v>9220</v>
      </c>
      <c r="AS605" t="s">
        <v>9221</v>
      </c>
      <c r="AT605" t="s">
        <v>9222</v>
      </c>
      <c r="AU605">
        <v>2018</v>
      </c>
      <c r="AV605">
        <v>18</v>
      </c>
      <c r="AW605" t="s">
        <v>74</v>
      </c>
      <c r="AX605" t="s">
        <v>74</v>
      </c>
      <c r="AY605" t="s">
        <v>74</v>
      </c>
      <c r="AZ605" t="s">
        <v>74</v>
      </c>
      <c r="BA605" t="s">
        <v>74</v>
      </c>
      <c r="BB605">
        <v>48</v>
      </c>
      <c r="BC605">
        <v>56</v>
      </c>
      <c r="BD605" t="s">
        <v>74</v>
      </c>
      <c r="BE605" t="s">
        <v>11846</v>
      </c>
      <c r="BF605" t="str">
        <f>HYPERLINK("http://dx.doi.org/10.1016/j.polar.2018.07.001","http://dx.doi.org/10.1016/j.polar.2018.07.001")</f>
        <v>http://dx.doi.org/10.1016/j.polar.2018.07.001</v>
      </c>
      <c r="BG605" t="s">
        <v>74</v>
      </c>
      <c r="BH605" t="s">
        <v>74</v>
      </c>
      <c r="BI605">
        <v>9</v>
      </c>
      <c r="BJ605" t="s">
        <v>451</v>
      </c>
      <c r="BK605" t="s">
        <v>101</v>
      </c>
      <c r="BL605" t="s">
        <v>452</v>
      </c>
      <c r="BM605" t="s">
        <v>9224</v>
      </c>
      <c r="BN605" t="s">
        <v>74</v>
      </c>
      <c r="BO605" t="s">
        <v>3810</v>
      </c>
      <c r="BP605" t="s">
        <v>74</v>
      </c>
      <c r="BQ605" t="s">
        <v>74</v>
      </c>
      <c r="BR605" t="s">
        <v>104</v>
      </c>
      <c r="BS605" t="s">
        <v>11847</v>
      </c>
      <c r="BT605" t="str">
        <f>HYPERLINK("https%3A%2F%2Fwww.webofscience.com%2Fwos%2Fwoscc%2Ffull-record%2FWOS:000452591600007","View Full Record in Web of Science")</f>
        <v>View Full Record in Web of Science</v>
      </c>
    </row>
    <row r="606" spans="1:72" x14ac:dyDescent="0.15">
      <c r="A606" t="s">
        <v>72</v>
      </c>
      <c r="B606" t="s">
        <v>11848</v>
      </c>
      <c r="C606" t="s">
        <v>74</v>
      </c>
      <c r="D606" t="s">
        <v>74</v>
      </c>
      <c r="E606" t="s">
        <v>74</v>
      </c>
      <c r="F606" t="s">
        <v>11849</v>
      </c>
      <c r="G606" t="s">
        <v>74</v>
      </c>
      <c r="H606" t="s">
        <v>74</v>
      </c>
      <c r="I606" t="s">
        <v>11850</v>
      </c>
      <c r="J606" t="s">
        <v>9205</v>
      </c>
      <c r="K606" t="s">
        <v>74</v>
      </c>
      <c r="L606" t="s">
        <v>74</v>
      </c>
      <c r="M606" t="s">
        <v>78</v>
      </c>
      <c r="N606" t="s">
        <v>79</v>
      </c>
      <c r="O606" t="s">
        <v>74</v>
      </c>
      <c r="P606" t="s">
        <v>74</v>
      </c>
      <c r="Q606" t="s">
        <v>74</v>
      </c>
      <c r="R606" t="s">
        <v>74</v>
      </c>
      <c r="S606" t="s">
        <v>74</v>
      </c>
      <c r="T606" t="s">
        <v>11851</v>
      </c>
      <c r="U606" t="s">
        <v>11852</v>
      </c>
      <c r="V606" t="s">
        <v>11853</v>
      </c>
      <c r="W606" t="s">
        <v>11854</v>
      </c>
      <c r="X606" t="s">
        <v>11855</v>
      </c>
      <c r="Y606" t="s">
        <v>11856</v>
      </c>
      <c r="Z606" t="s">
        <v>11857</v>
      </c>
      <c r="AA606" t="s">
        <v>11858</v>
      </c>
      <c r="AB606" t="s">
        <v>11859</v>
      </c>
      <c r="AC606" t="s">
        <v>11860</v>
      </c>
      <c r="AD606" t="s">
        <v>11860</v>
      </c>
      <c r="AE606" t="s">
        <v>11861</v>
      </c>
      <c r="AF606" t="s">
        <v>74</v>
      </c>
      <c r="AG606">
        <v>81</v>
      </c>
      <c r="AH606">
        <v>4</v>
      </c>
      <c r="AI606">
        <v>4</v>
      </c>
      <c r="AJ606">
        <v>0</v>
      </c>
      <c r="AK606">
        <v>7</v>
      </c>
      <c r="AL606" t="s">
        <v>3290</v>
      </c>
      <c r="AM606" t="s">
        <v>2520</v>
      </c>
      <c r="AN606" t="s">
        <v>3291</v>
      </c>
      <c r="AO606" t="s">
        <v>9218</v>
      </c>
      <c r="AP606" t="s">
        <v>9219</v>
      </c>
      <c r="AQ606" t="s">
        <v>74</v>
      </c>
      <c r="AR606" t="s">
        <v>9220</v>
      </c>
      <c r="AS606" t="s">
        <v>9221</v>
      </c>
      <c r="AT606" t="s">
        <v>9222</v>
      </c>
      <c r="AU606">
        <v>2018</v>
      </c>
      <c r="AV606">
        <v>18</v>
      </c>
      <c r="AW606" t="s">
        <v>74</v>
      </c>
      <c r="AX606" t="s">
        <v>74</v>
      </c>
      <c r="AY606" t="s">
        <v>74</v>
      </c>
      <c r="AZ606" t="s">
        <v>74</v>
      </c>
      <c r="BA606" t="s">
        <v>74</v>
      </c>
      <c r="BB606">
        <v>83</v>
      </c>
      <c r="BC606">
        <v>93</v>
      </c>
      <c r="BD606" t="s">
        <v>74</v>
      </c>
      <c r="BE606" t="s">
        <v>11862</v>
      </c>
      <c r="BF606" t="str">
        <f>HYPERLINK("http://dx.doi.org/10.1016/j.polar.2018.04.003","http://dx.doi.org/10.1016/j.polar.2018.04.003")</f>
        <v>http://dx.doi.org/10.1016/j.polar.2018.04.003</v>
      </c>
      <c r="BG606" t="s">
        <v>74</v>
      </c>
      <c r="BH606" t="s">
        <v>74</v>
      </c>
      <c r="BI606">
        <v>11</v>
      </c>
      <c r="BJ606" t="s">
        <v>451</v>
      </c>
      <c r="BK606" t="s">
        <v>101</v>
      </c>
      <c r="BL606" t="s">
        <v>452</v>
      </c>
      <c r="BM606" t="s">
        <v>9224</v>
      </c>
      <c r="BN606" t="s">
        <v>74</v>
      </c>
      <c r="BO606" t="s">
        <v>3810</v>
      </c>
      <c r="BP606" t="s">
        <v>74</v>
      </c>
      <c r="BQ606" t="s">
        <v>74</v>
      </c>
      <c r="BR606" t="s">
        <v>104</v>
      </c>
      <c r="BS606" t="s">
        <v>11863</v>
      </c>
      <c r="BT606" t="str">
        <f>HYPERLINK("https%3A%2F%2Fwww.webofscience.com%2Fwos%2Fwoscc%2Ffull-record%2FWOS:000452591600011","View Full Record in Web of Science")</f>
        <v>View Full Record in Web of Science</v>
      </c>
    </row>
    <row r="607" spans="1:72" x14ac:dyDescent="0.15">
      <c r="A607" t="s">
        <v>72</v>
      </c>
      <c r="B607" t="s">
        <v>11864</v>
      </c>
      <c r="C607" t="s">
        <v>74</v>
      </c>
      <c r="D607" t="s">
        <v>74</v>
      </c>
      <c r="E607" t="s">
        <v>74</v>
      </c>
      <c r="F607" t="s">
        <v>11865</v>
      </c>
      <c r="G607" t="s">
        <v>74</v>
      </c>
      <c r="H607" t="s">
        <v>74</v>
      </c>
      <c r="I607" t="s">
        <v>11866</v>
      </c>
      <c r="J607" t="s">
        <v>9205</v>
      </c>
      <c r="K607" t="s">
        <v>74</v>
      </c>
      <c r="L607" t="s">
        <v>74</v>
      </c>
      <c r="M607" t="s">
        <v>78</v>
      </c>
      <c r="N607" t="s">
        <v>1003</v>
      </c>
      <c r="O607" t="s">
        <v>74</v>
      </c>
      <c r="P607" t="s">
        <v>74</v>
      </c>
      <c r="Q607" t="s">
        <v>74</v>
      </c>
      <c r="R607" t="s">
        <v>74</v>
      </c>
      <c r="S607" t="s">
        <v>74</v>
      </c>
      <c r="T607" t="s">
        <v>11867</v>
      </c>
      <c r="U607" t="s">
        <v>11868</v>
      </c>
      <c r="V607" t="s">
        <v>11869</v>
      </c>
      <c r="W607" t="s">
        <v>11870</v>
      </c>
      <c r="X607" t="s">
        <v>74</v>
      </c>
      <c r="Y607" t="s">
        <v>11871</v>
      </c>
      <c r="Z607" t="s">
        <v>11872</v>
      </c>
      <c r="AA607" t="s">
        <v>11873</v>
      </c>
      <c r="AB607" t="s">
        <v>74</v>
      </c>
      <c r="AC607" t="s">
        <v>74</v>
      </c>
      <c r="AD607" t="s">
        <v>74</v>
      </c>
      <c r="AE607" t="s">
        <v>74</v>
      </c>
      <c r="AF607" t="s">
        <v>74</v>
      </c>
      <c r="AG607">
        <v>110</v>
      </c>
      <c r="AH607">
        <v>22</v>
      </c>
      <c r="AI607">
        <v>24</v>
      </c>
      <c r="AJ607">
        <v>11</v>
      </c>
      <c r="AK607">
        <v>85</v>
      </c>
      <c r="AL607" t="s">
        <v>3290</v>
      </c>
      <c r="AM607" t="s">
        <v>2520</v>
      </c>
      <c r="AN607" t="s">
        <v>3291</v>
      </c>
      <c r="AO607" t="s">
        <v>9218</v>
      </c>
      <c r="AP607" t="s">
        <v>9219</v>
      </c>
      <c r="AQ607" t="s">
        <v>74</v>
      </c>
      <c r="AR607" t="s">
        <v>9220</v>
      </c>
      <c r="AS607" t="s">
        <v>9221</v>
      </c>
      <c r="AT607" t="s">
        <v>9222</v>
      </c>
      <c r="AU607">
        <v>2018</v>
      </c>
      <c r="AV607">
        <v>18</v>
      </c>
      <c r="AW607" t="s">
        <v>74</v>
      </c>
      <c r="AX607" t="s">
        <v>74</v>
      </c>
      <c r="AY607" t="s">
        <v>74</v>
      </c>
      <c r="AZ607" t="s">
        <v>74</v>
      </c>
      <c r="BA607" t="s">
        <v>74</v>
      </c>
      <c r="BB607">
        <v>94</v>
      </c>
      <c r="BC607">
        <v>101</v>
      </c>
      <c r="BD607" t="s">
        <v>74</v>
      </c>
      <c r="BE607" t="s">
        <v>11874</v>
      </c>
      <c r="BF607" t="str">
        <f>HYPERLINK("http://dx.doi.org/10.1016/j.polar.2018.05.006","http://dx.doi.org/10.1016/j.polar.2018.05.006")</f>
        <v>http://dx.doi.org/10.1016/j.polar.2018.05.006</v>
      </c>
      <c r="BG607" t="s">
        <v>74</v>
      </c>
      <c r="BH607" t="s">
        <v>74</v>
      </c>
      <c r="BI607">
        <v>8</v>
      </c>
      <c r="BJ607" t="s">
        <v>451</v>
      </c>
      <c r="BK607" t="s">
        <v>101</v>
      </c>
      <c r="BL607" t="s">
        <v>452</v>
      </c>
      <c r="BM607" t="s">
        <v>9224</v>
      </c>
      <c r="BN607" t="s">
        <v>74</v>
      </c>
      <c r="BO607" t="s">
        <v>3810</v>
      </c>
      <c r="BP607" t="s">
        <v>74</v>
      </c>
      <c r="BQ607" t="s">
        <v>74</v>
      </c>
      <c r="BR607" t="s">
        <v>104</v>
      </c>
      <c r="BS607" t="s">
        <v>11875</v>
      </c>
      <c r="BT607" t="str">
        <f>HYPERLINK("https%3A%2F%2Fwww.webofscience.com%2Fwos%2Fwoscc%2Ffull-record%2FWOS:000452591600012","View Full Record in Web of Science")</f>
        <v>View Full Record in Web of Science</v>
      </c>
    </row>
    <row r="608" spans="1:72" x14ac:dyDescent="0.15">
      <c r="A608" t="s">
        <v>72</v>
      </c>
      <c r="B608" t="s">
        <v>11876</v>
      </c>
      <c r="C608" t="s">
        <v>74</v>
      </c>
      <c r="D608" t="s">
        <v>74</v>
      </c>
      <c r="E608" t="s">
        <v>74</v>
      </c>
      <c r="F608" t="s">
        <v>11877</v>
      </c>
      <c r="G608" t="s">
        <v>74</v>
      </c>
      <c r="H608" t="s">
        <v>74</v>
      </c>
      <c r="I608" t="s">
        <v>11878</v>
      </c>
      <c r="J608" t="s">
        <v>9205</v>
      </c>
      <c r="K608" t="s">
        <v>74</v>
      </c>
      <c r="L608" t="s">
        <v>74</v>
      </c>
      <c r="M608" t="s">
        <v>78</v>
      </c>
      <c r="N608" t="s">
        <v>79</v>
      </c>
      <c r="O608" t="s">
        <v>74</v>
      </c>
      <c r="P608" t="s">
        <v>74</v>
      </c>
      <c r="Q608" t="s">
        <v>74</v>
      </c>
      <c r="R608" t="s">
        <v>74</v>
      </c>
      <c r="S608" t="s">
        <v>74</v>
      </c>
      <c r="T608" t="s">
        <v>11879</v>
      </c>
      <c r="U608" t="s">
        <v>11880</v>
      </c>
      <c r="V608" t="s">
        <v>11881</v>
      </c>
      <c r="W608" t="s">
        <v>11882</v>
      </c>
      <c r="X608" t="s">
        <v>11883</v>
      </c>
      <c r="Y608" t="s">
        <v>11884</v>
      </c>
      <c r="Z608" t="s">
        <v>11885</v>
      </c>
      <c r="AA608" t="s">
        <v>74</v>
      </c>
      <c r="AB608" t="s">
        <v>11886</v>
      </c>
      <c r="AC608" t="s">
        <v>11887</v>
      </c>
      <c r="AD608" t="s">
        <v>11888</v>
      </c>
      <c r="AE608" t="s">
        <v>11889</v>
      </c>
      <c r="AF608" t="s">
        <v>74</v>
      </c>
      <c r="AG608">
        <v>54</v>
      </c>
      <c r="AH608">
        <v>4</v>
      </c>
      <c r="AI608">
        <v>4</v>
      </c>
      <c r="AJ608">
        <v>1</v>
      </c>
      <c r="AK608">
        <v>12</v>
      </c>
      <c r="AL608" t="s">
        <v>3290</v>
      </c>
      <c r="AM608" t="s">
        <v>2520</v>
      </c>
      <c r="AN608" t="s">
        <v>3291</v>
      </c>
      <c r="AO608" t="s">
        <v>9218</v>
      </c>
      <c r="AP608" t="s">
        <v>9219</v>
      </c>
      <c r="AQ608" t="s">
        <v>74</v>
      </c>
      <c r="AR608" t="s">
        <v>9220</v>
      </c>
      <c r="AS608" t="s">
        <v>9221</v>
      </c>
      <c r="AT608" t="s">
        <v>9222</v>
      </c>
      <c r="AU608">
        <v>2018</v>
      </c>
      <c r="AV608">
        <v>18</v>
      </c>
      <c r="AW608" t="s">
        <v>74</v>
      </c>
      <c r="AX608" t="s">
        <v>74</v>
      </c>
      <c r="AY608" t="s">
        <v>74</v>
      </c>
      <c r="AZ608" t="s">
        <v>74</v>
      </c>
      <c r="BA608" t="s">
        <v>74</v>
      </c>
      <c r="BB608">
        <v>102</v>
      </c>
      <c r="BC608">
        <v>112</v>
      </c>
      <c r="BD608" t="s">
        <v>74</v>
      </c>
      <c r="BE608" t="s">
        <v>11890</v>
      </c>
      <c r="BF608" t="str">
        <f>HYPERLINK("http://dx.doi.org/10.1016/j.polar.2018.05.008","http://dx.doi.org/10.1016/j.polar.2018.05.008")</f>
        <v>http://dx.doi.org/10.1016/j.polar.2018.05.008</v>
      </c>
      <c r="BG608" t="s">
        <v>74</v>
      </c>
      <c r="BH608" t="s">
        <v>74</v>
      </c>
      <c r="BI608">
        <v>11</v>
      </c>
      <c r="BJ608" t="s">
        <v>451</v>
      </c>
      <c r="BK608" t="s">
        <v>101</v>
      </c>
      <c r="BL608" t="s">
        <v>452</v>
      </c>
      <c r="BM608" t="s">
        <v>9224</v>
      </c>
      <c r="BN608" t="s">
        <v>74</v>
      </c>
      <c r="BO608" t="s">
        <v>3810</v>
      </c>
      <c r="BP608" t="s">
        <v>74</v>
      </c>
      <c r="BQ608" t="s">
        <v>74</v>
      </c>
      <c r="BR608" t="s">
        <v>104</v>
      </c>
      <c r="BS608" t="s">
        <v>11891</v>
      </c>
      <c r="BT608" t="str">
        <f>HYPERLINK("https%3A%2F%2Fwww.webofscience.com%2Fwos%2Fwoscc%2Ffull-record%2FWOS:000452591600013","View Full Record in Web of Science")</f>
        <v>View Full Record in Web of Science</v>
      </c>
    </row>
    <row r="609" spans="1:72" x14ac:dyDescent="0.15">
      <c r="A609" t="s">
        <v>72</v>
      </c>
      <c r="B609" t="s">
        <v>11892</v>
      </c>
      <c r="C609" t="s">
        <v>74</v>
      </c>
      <c r="D609" t="s">
        <v>74</v>
      </c>
      <c r="E609" t="s">
        <v>74</v>
      </c>
      <c r="F609" t="s">
        <v>11893</v>
      </c>
      <c r="G609" t="s">
        <v>74</v>
      </c>
      <c r="H609" t="s">
        <v>74</v>
      </c>
      <c r="I609" t="s">
        <v>11894</v>
      </c>
      <c r="J609" t="s">
        <v>9205</v>
      </c>
      <c r="K609" t="s">
        <v>74</v>
      </c>
      <c r="L609" t="s">
        <v>74</v>
      </c>
      <c r="M609" t="s">
        <v>78</v>
      </c>
      <c r="N609" t="s">
        <v>79</v>
      </c>
      <c r="O609" t="s">
        <v>74</v>
      </c>
      <c r="P609" t="s">
        <v>74</v>
      </c>
      <c r="Q609" t="s">
        <v>74</v>
      </c>
      <c r="R609" t="s">
        <v>74</v>
      </c>
      <c r="S609" t="s">
        <v>74</v>
      </c>
      <c r="T609" t="s">
        <v>11895</v>
      </c>
      <c r="U609" t="s">
        <v>11896</v>
      </c>
      <c r="V609" t="s">
        <v>11897</v>
      </c>
      <c r="W609" t="s">
        <v>11898</v>
      </c>
      <c r="X609" t="s">
        <v>11899</v>
      </c>
      <c r="Y609" t="s">
        <v>11900</v>
      </c>
      <c r="Z609" t="s">
        <v>11901</v>
      </c>
      <c r="AA609" t="s">
        <v>11902</v>
      </c>
      <c r="AB609" t="s">
        <v>11903</v>
      </c>
      <c r="AC609" t="s">
        <v>74</v>
      </c>
      <c r="AD609" t="s">
        <v>74</v>
      </c>
      <c r="AE609" t="s">
        <v>74</v>
      </c>
      <c r="AF609" t="s">
        <v>74</v>
      </c>
      <c r="AG609">
        <v>66</v>
      </c>
      <c r="AH609">
        <v>7</v>
      </c>
      <c r="AI609">
        <v>7</v>
      </c>
      <c r="AJ609">
        <v>0</v>
      </c>
      <c r="AK609">
        <v>4</v>
      </c>
      <c r="AL609" t="s">
        <v>2519</v>
      </c>
      <c r="AM609" t="s">
        <v>2520</v>
      </c>
      <c r="AN609" t="s">
        <v>3313</v>
      </c>
      <c r="AO609" t="s">
        <v>9218</v>
      </c>
      <c r="AP609" t="s">
        <v>9219</v>
      </c>
      <c r="AQ609" t="s">
        <v>74</v>
      </c>
      <c r="AR609" t="s">
        <v>9220</v>
      </c>
      <c r="AS609" t="s">
        <v>9221</v>
      </c>
      <c r="AT609" t="s">
        <v>9222</v>
      </c>
      <c r="AU609">
        <v>2018</v>
      </c>
      <c r="AV609">
        <v>18</v>
      </c>
      <c r="AW609" t="s">
        <v>74</v>
      </c>
      <c r="AX609" t="s">
        <v>74</v>
      </c>
      <c r="AY609" t="s">
        <v>74</v>
      </c>
      <c r="AZ609" t="s">
        <v>74</v>
      </c>
      <c r="BA609" t="s">
        <v>74</v>
      </c>
      <c r="BB609">
        <v>123</v>
      </c>
      <c r="BC609">
        <v>134</v>
      </c>
      <c r="BD609" t="s">
        <v>74</v>
      </c>
      <c r="BE609" t="s">
        <v>11904</v>
      </c>
      <c r="BF609" t="str">
        <f>HYPERLINK("http://dx.doi.org/10.1016/j.polar.2018.05.003","http://dx.doi.org/10.1016/j.polar.2018.05.003")</f>
        <v>http://dx.doi.org/10.1016/j.polar.2018.05.003</v>
      </c>
      <c r="BG609" t="s">
        <v>74</v>
      </c>
      <c r="BH609" t="s">
        <v>74</v>
      </c>
      <c r="BI609">
        <v>12</v>
      </c>
      <c r="BJ609" t="s">
        <v>451</v>
      </c>
      <c r="BK609" t="s">
        <v>101</v>
      </c>
      <c r="BL609" t="s">
        <v>452</v>
      </c>
      <c r="BM609" t="s">
        <v>9224</v>
      </c>
      <c r="BN609" t="s">
        <v>74</v>
      </c>
      <c r="BO609" t="s">
        <v>3810</v>
      </c>
      <c r="BP609" t="s">
        <v>74</v>
      </c>
      <c r="BQ609" t="s">
        <v>74</v>
      </c>
      <c r="BR609" t="s">
        <v>104</v>
      </c>
      <c r="BS609" t="s">
        <v>11905</v>
      </c>
      <c r="BT609" t="str">
        <f>HYPERLINK("https%3A%2F%2Fwww.webofscience.com%2Fwos%2Fwoscc%2Ffull-record%2FWOS:000452591600015","View Full Record in Web of Science")</f>
        <v>View Full Record in Web of Science</v>
      </c>
    </row>
    <row r="610" spans="1:72" x14ac:dyDescent="0.15">
      <c r="A610" t="s">
        <v>72</v>
      </c>
      <c r="B610" t="s">
        <v>11906</v>
      </c>
      <c r="C610" t="s">
        <v>74</v>
      </c>
      <c r="D610" t="s">
        <v>74</v>
      </c>
      <c r="E610" t="s">
        <v>74</v>
      </c>
      <c r="F610" t="s">
        <v>11907</v>
      </c>
      <c r="G610" t="s">
        <v>74</v>
      </c>
      <c r="H610" t="s">
        <v>74</v>
      </c>
      <c r="I610" t="s">
        <v>11908</v>
      </c>
      <c r="J610" t="s">
        <v>9205</v>
      </c>
      <c r="K610" t="s">
        <v>74</v>
      </c>
      <c r="L610" t="s">
        <v>74</v>
      </c>
      <c r="M610" t="s">
        <v>78</v>
      </c>
      <c r="N610" t="s">
        <v>79</v>
      </c>
      <c r="O610" t="s">
        <v>74</v>
      </c>
      <c r="P610" t="s">
        <v>74</v>
      </c>
      <c r="Q610" t="s">
        <v>74</v>
      </c>
      <c r="R610" t="s">
        <v>74</v>
      </c>
      <c r="S610" t="s">
        <v>74</v>
      </c>
      <c r="T610" t="s">
        <v>11909</v>
      </c>
      <c r="U610" t="s">
        <v>11910</v>
      </c>
      <c r="V610" t="s">
        <v>11911</v>
      </c>
      <c r="W610" t="s">
        <v>11912</v>
      </c>
      <c r="X610" t="s">
        <v>11913</v>
      </c>
      <c r="Y610" t="s">
        <v>11914</v>
      </c>
      <c r="Z610" t="s">
        <v>11915</v>
      </c>
      <c r="AA610" t="s">
        <v>11916</v>
      </c>
      <c r="AB610" t="s">
        <v>11917</v>
      </c>
      <c r="AC610" t="s">
        <v>11918</v>
      </c>
      <c r="AD610" t="s">
        <v>11918</v>
      </c>
      <c r="AE610" t="s">
        <v>11919</v>
      </c>
      <c r="AF610" t="s">
        <v>74</v>
      </c>
      <c r="AG610">
        <v>58</v>
      </c>
      <c r="AH610">
        <v>6</v>
      </c>
      <c r="AI610">
        <v>6</v>
      </c>
      <c r="AJ610">
        <v>1</v>
      </c>
      <c r="AK610">
        <v>8</v>
      </c>
      <c r="AL610" t="s">
        <v>2519</v>
      </c>
      <c r="AM610" t="s">
        <v>2520</v>
      </c>
      <c r="AN610" t="s">
        <v>3313</v>
      </c>
      <c r="AO610" t="s">
        <v>9218</v>
      </c>
      <c r="AP610" t="s">
        <v>9219</v>
      </c>
      <c r="AQ610" t="s">
        <v>74</v>
      </c>
      <c r="AR610" t="s">
        <v>9220</v>
      </c>
      <c r="AS610" t="s">
        <v>9221</v>
      </c>
      <c r="AT610" t="s">
        <v>9222</v>
      </c>
      <c r="AU610">
        <v>2018</v>
      </c>
      <c r="AV610">
        <v>18</v>
      </c>
      <c r="AW610" t="s">
        <v>74</v>
      </c>
      <c r="AX610" t="s">
        <v>74</v>
      </c>
      <c r="AY610" t="s">
        <v>74</v>
      </c>
      <c r="AZ610" t="s">
        <v>74</v>
      </c>
      <c r="BA610" t="s">
        <v>74</v>
      </c>
      <c r="BB610">
        <v>135</v>
      </c>
      <c r="BC610">
        <v>141</v>
      </c>
      <c r="BD610" t="s">
        <v>74</v>
      </c>
      <c r="BE610" t="s">
        <v>11920</v>
      </c>
      <c r="BF610" t="str">
        <f>HYPERLINK("http://dx.doi.org/10.1016/j.polar.2018.05.001","http://dx.doi.org/10.1016/j.polar.2018.05.001")</f>
        <v>http://dx.doi.org/10.1016/j.polar.2018.05.001</v>
      </c>
      <c r="BG610" t="s">
        <v>74</v>
      </c>
      <c r="BH610" t="s">
        <v>74</v>
      </c>
      <c r="BI610">
        <v>7</v>
      </c>
      <c r="BJ610" t="s">
        <v>451</v>
      </c>
      <c r="BK610" t="s">
        <v>101</v>
      </c>
      <c r="BL610" t="s">
        <v>452</v>
      </c>
      <c r="BM610" t="s">
        <v>9224</v>
      </c>
      <c r="BN610" t="s">
        <v>74</v>
      </c>
      <c r="BO610" t="s">
        <v>3810</v>
      </c>
      <c r="BP610" t="s">
        <v>74</v>
      </c>
      <c r="BQ610" t="s">
        <v>74</v>
      </c>
      <c r="BR610" t="s">
        <v>104</v>
      </c>
      <c r="BS610" t="s">
        <v>11921</v>
      </c>
      <c r="BT610" t="str">
        <f>HYPERLINK("https%3A%2F%2Fwww.webofscience.com%2Fwos%2Fwoscc%2Ffull-record%2FWOS:000452591600016","View Full Record in Web of Science")</f>
        <v>View Full Record in Web of Science</v>
      </c>
    </row>
    <row r="611" spans="1:72" x14ac:dyDescent="0.15">
      <c r="A611" t="s">
        <v>72</v>
      </c>
      <c r="B611" t="s">
        <v>11922</v>
      </c>
      <c r="C611" t="s">
        <v>74</v>
      </c>
      <c r="D611" t="s">
        <v>74</v>
      </c>
      <c r="E611" t="s">
        <v>74</v>
      </c>
      <c r="F611" t="s">
        <v>11923</v>
      </c>
      <c r="G611" t="s">
        <v>74</v>
      </c>
      <c r="H611" t="s">
        <v>74</v>
      </c>
      <c r="I611" t="s">
        <v>11924</v>
      </c>
      <c r="J611" t="s">
        <v>9205</v>
      </c>
      <c r="K611" t="s">
        <v>74</v>
      </c>
      <c r="L611" t="s">
        <v>74</v>
      </c>
      <c r="M611" t="s">
        <v>78</v>
      </c>
      <c r="N611" t="s">
        <v>79</v>
      </c>
      <c r="O611" t="s">
        <v>74</v>
      </c>
      <c r="P611" t="s">
        <v>74</v>
      </c>
      <c r="Q611" t="s">
        <v>74</v>
      </c>
      <c r="R611" t="s">
        <v>74</v>
      </c>
      <c r="S611" t="s">
        <v>74</v>
      </c>
      <c r="T611" t="s">
        <v>11925</v>
      </c>
      <c r="U611" t="s">
        <v>11926</v>
      </c>
      <c r="V611" t="s">
        <v>11927</v>
      </c>
      <c r="W611" t="s">
        <v>11928</v>
      </c>
      <c r="X611" t="s">
        <v>11929</v>
      </c>
      <c r="Y611" t="s">
        <v>11930</v>
      </c>
      <c r="Z611" t="s">
        <v>11931</v>
      </c>
      <c r="AA611" t="s">
        <v>11932</v>
      </c>
      <c r="AB611" t="s">
        <v>11933</v>
      </c>
      <c r="AC611" t="s">
        <v>11934</v>
      </c>
      <c r="AD611" t="s">
        <v>11934</v>
      </c>
      <c r="AE611" t="s">
        <v>11935</v>
      </c>
      <c r="AF611" t="s">
        <v>74</v>
      </c>
      <c r="AG611">
        <v>37</v>
      </c>
      <c r="AH611">
        <v>5</v>
      </c>
      <c r="AI611">
        <v>5</v>
      </c>
      <c r="AJ611">
        <v>0</v>
      </c>
      <c r="AK611">
        <v>10</v>
      </c>
      <c r="AL611" t="s">
        <v>2519</v>
      </c>
      <c r="AM611" t="s">
        <v>2520</v>
      </c>
      <c r="AN611" t="s">
        <v>3313</v>
      </c>
      <c r="AO611" t="s">
        <v>9218</v>
      </c>
      <c r="AP611" t="s">
        <v>9219</v>
      </c>
      <c r="AQ611" t="s">
        <v>74</v>
      </c>
      <c r="AR611" t="s">
        <v>9220</v>
      </c>
      <c r="AS611" t="s">
        <v>9221</v>
      </c>
      <c r="AT611" t="s">
        <v>9222</v>
      </c>
      <c r="AU611">
        <v>2018</v>
      </c>
      <c r="AV611">
        <v>18</v>
      </c>
      <c r="AW611" t="s">
        <v>74</v>
      </c>
      <c r="AX611" t="s">
        <v>74</v>
      </c>
      <c r="AY611" t="s">
        <v>74</v>
      </c>
      <c r="AZ611" t="s">
        <v>74</v>
      </c>
      <c r="BA611" t="s">
        <v>74</v>
      </c>
      <c r="BB611">
        <v>142</v>
      </c>
      <c r="BC611">
        <v>146</v>
      </c>
      <c r="BD611" t="s">
        <v>74</v>
      </c>
      <c r="BE611" t="s">
        <v>11936</v>
      </c>
      <c r="BF611" t="str">
        <f>HYPERLINK("http://dx.doi.org/10.1016/j.polar.2018.04.009","http://dx.doi.org/10.1016/j.polar.2018.04.009")</f>
        <v>http://dx.doi.org/10.1016/j.polar.2018.04.009</v>
      </c>
      <c r="BG611" t="s">
        <v>74</v>
      </c>
      <c r="BH611" t="s">
        <v>74</v>
      </c>
      <c r="BI611">
        <v>5</v>
      </c>
      <c r="BJ611" t="s">
        <v>451</v>
      </c>
      <c r="BK611" t="s">
        <v>101</v>
      </c>
      <c r="BL611" t="s">
        <v>452</v>
      </c>
      <c r="BM611" t="s">
        <v>9224</v>
      </c>
      <c r="BN611" t="s">
        <v>74</v>
      </c>
      <c r="BO611" t="s">
        <v>3810</v>
      </c>
      <c r="BP611" t="s">
        <v>74</v>
      </c>
      <c r="BQ611" t="s">
        <v>74</v>
      </c>
      <c r="BR611" t="s">
        <v>104</v>
      </c>
      <c r="BS611" t="s">
        <v>11937</v>
      </c>
      <c r="BT611" t="str">
        <f>HYPERLINK("https%3A%2F%2Fwww.webofscience.com%2Fwos%2Fwoscc%2Ffull-record%2FWOS:000452591600017","View Full Record in Web of Science")</f>
        <v>View Full Record in Web of Science</v>
      </c>
    </row>
    <row r="612" spans="1:72" x14ac:dyDescent="0.15">
      <c r="A612" t="s">
        <v>72</v>
      </c>
      <c r="B612" t="s">
        <v>11938</v>
      </c>
      <c r="C612" t="s">
        <v>74</v>
      </c>
      <c r="D612" t="s">
        <v>74</v>
      </c>
      <c r="E612" t="s">
        <v>74</v>
      </c>
      <c r="F612" t="s">
        <v>11939</v>
      </c>
      <c r="G612" t="s">
        <v>74</v>
      </c>
      <c r="H612" t="s">
        <v>74</v>
      </c>
      <c r="I612" t="s">
        <v>11940</v>
      </c>
      <c r="J612" t="s">
        <v>9205</v>
      </c>
      <c r="K612" t="s">
        <v>74</v>
      </c>
      <c r="L612" t="s">
        <v>74</v>
      </c>
      <c r="M612" t="s">
        <v>78</v>
      </c>
      <c r="N612" t="s">
        <v>1003</v>
      </c>
      <c r="O612" t="s">
        <v>74</v>
      </c>
      <c r="P612" t="s">
        <v>74</v>
      </c>
      <c r="Q612" t="s">
        <v>74</v>
      </c>
      <c r="R612" t="s">
        <v>74</v>
      </c>
      <c r="S612" t="s">
        <v>74</v>
      </c>
      <c r="T612" t="s">
        <v>11941</v>
      </c>
      <c r="U612" t="s">
        <v>11942</v>
      </c>
      <c r="V612" t="s">
        <v>11943</v>
      </c>
      <c r="W612" t="s">
        <v>11944</v>
      </c>
      <c r="X612" t="s">
        <v>11945</v>
      </c>
      <c r="Y612" t="s">
        <v>11946</v>
      </c>
      <c r="Z612" t="s">
        <v>11947</v>
      </c>
      <c r="AA612" t="s">
        <v>11948</v>
      </c>
      <c r="AB612" t="s">
        <v>11949</v>
      </c>
      <c r="AC612" t="s">
        <v>11950</v>
      </c>
      <c r="AD612" t="s">
        <v>11951</v>
      </c>
      <c r="AE612" t="s">
        <v>11952</v>
      </c>
      <c r="AF612" t="s">
        <v>74</v>
      </c>
      <c r="AG612">
        <v>145</v>
      </c>
      <c r="AH612">
        <v>19</v>
      </c>
      <c r="AI612">
        <v>22</v>
      </c>
      <c r="AJ612">
        <v>2</v>
      </c>
      <c r="AK612">
        <v>64</v>
      </c>
      <c r="AL612" t="s">
        <v>3290</v>
      </c>
      <c r="AM612" t="s">
        <v>2520</v>
      </c>
      <c r="AN612" t="s">
        <v>3291</v>
      </c>
      <c r="AO612" t="s">
        <v>9218</v>
      </c>
      <c r="AP612" t="s">
        <v>9219</v>
      </c>
      <c r="AQ612" t="s">
        <v>74</v>
      </c>
      <c r="AR612" t="s">
        <v>9220</v>
      </c>
      <c r="AS612" t="s">
        <v>9221</v>
      </c>
      <c r="AT612" t="s">
        <v>9222</v>
      </c>
      <c r="AU612">
        <v>2018</v>
      </c>
      <c r="AV612">
        <v>18</v>
      </c>
      <c r="AW612" t="s">
        <v>74</v>
      </c>
      <c r="AX612" t="s">
        <v>74</v>
      </c>
      <c r="AY612" t="s">
        <v>74</v>
      </c>
      <c r="AZ612" t="s">
        <v>74</v>
      </c>
      <c r="BA612" t="s">
        <v>74</v>
      </c>
      <c r="BB612">
        <v>147</v>
      </c>
      <c r="BC612">
        <v>166</v>
      </c>
      <c r="BD612" t="s">
        <v>74</v>
      </c>
      <c r="BE612" t="s">
        <v>11953</v>
      </c>
      <c r="BF612" t="str">
        <f>HYPERLINK("http://dx.doi.org/10.1016/j.polar.2018.04.006","http://dx.doi.org/10.1016/j.polar.2018.04.006")</f>
        <v>http://dx.doi.org/10.1016/j.polar.2018.04.006</v>
      </c>
      <c r="BG612" t="s">
        <v>74</v>
      </c>
      <c r="BH612" t="s">
        <v>74</v>
      </c>
      <c r="BI612">
        <v>20</v>
      </c>
      <c r="BJ612" t="s">
        <v>451</v>
      </c>
      <c r="BK612" t="s">
        <v>101</v>
      </c>
      <c r="BL612" t="s">
        <v>452</v>
      </c>
      <c r="BM612" t="s">
        <v>9224</v>
      </c>
      <c r="BN612" t="s">
        <v>74</v>
      </c>
      <c r="BO612" t="s">
        <v>3810</v>
      </c>
      <c r="BP612" t="s">
        <v>74</v>
      </c>
      <c r="BQ612" t="s">
        <v>74</v>
      </c>
      <c r="BR612" t="s">
        <v>104</v>
      </c>
      <c r="BS612" t="s">
        <v>11954</v>
      </c>
      <c r="BT612" t="str">
        <f>HYPERLINK("https%3A%2F%2Fwww.webofscience.com%2Fwos%2Fwoscc%2Ffull-record%2FWOS:000452591600018","View Full Record in Web of Science")</f>
        <v>View Full Record in Web of Science</v>
      </c>
    </row>
    <row r="613" spans="1:72" x14ac:dyDescent="0.15">
      <c r="A613" t="s">
        <v>72</v>
      </c>
      <c r="B613" t="s">
        <v>11955</v>
      </c>
      <c r="C613" t="s">
        <v>74</v>
      </c>
      <c r="D613" t="s">
        <v>74</v>
      </c>
      <c r="E613" t="s">
        <v>74</v>
      </c>
      <c r="F613" t="s">
        <v>11956</v>
      </c>
      <c r="G613" t="s">
        <v>74</v>
      </c>
      <c r="H613" t="s">
        <v>74</v>
      </c>
      <c r="I613" t="s">
        <v>11957</v>
      </c>
      <c r="J613" t="s">
        <v>9205</v>
      </c>
      <c r="K613" t="s">
        <v>74</v>
      </c>
      <c r="L613" t="s">
        <v>74</v>
      </c>
      <c r="M613" t="s">
        <v>78</v>
      </c>
      <c r="N613" t="s">
        <v>79</v>
      </c>
      <c r="O613" t="s">
        <v>74</v>
      </c>
      <c r="P613" t="s">
        <v>74</v>
      </c>
      <c r="Q613" t="s">
        <v>74</v>
      </c>
      <c r="R613" t="s">
        <v>74</v>
      </c>
      <c r="S613" t="s">
        <v>74</v>
      </c>
      <c r="T613" t="s">
        <v>11958</v>
      </c>
      <c r="U613" t="s">
        <v>11959</v>
      </c>
      <c r="V613" t="s">
        <v>11960</v>
      </c>
      <c r="W613" t="s">
        <v>11961</v>
      </c>
      <c r="X613" t="s">
        <v>11962</v>
      </c>
      <c r="Y613" t="s">
        <v>11963</v>
      </c>
      <c r="Z613" t="s">
        <v>11964</v>
      </c>
      <c r="AA613" t="s">
        <v>74</v>
      </c>
      <c r="AB613" t="s">
        <v>11965</v>
      </c>
      <c r="AC613" t="s">
        <v>11966</v>
      </c>
      <c r="AD613" t="s">
        <v>11966</v>
      </c>
      <c r="AE613" t="s">
        <v>11967</v>
      </c>
      <c r="AF613" t="s">
        <v>74</v>
      </c>
      <c r="AG613">
        <v>36</v>
      </c>
      <c r="AH613">
        <v>2</v>
      </c>
      <c r="AI613">
        <v>2</v>
      </c>
      <c r="AJ613">
        <v>0</v>
      </c>
      <c r="AK613">
        <v>8</v>
      </c>
      <c r="AL613" t="s">
        <v>3290</v>
      </c>
      <c r="AM613" t="s">
        <v>2520</v>
      </c>
      <c r="AN613" t="s">
        <v>3291</v>
      </c>
      <c r="AO613" t="s">
        <v>9218</v>
      </c>
      <c r="AP613" t="s">
        <v>9219</v>
      </c>
      <c r="AQ613" t="s">
        <v>74</v>
      </c>
      <c r="AR613" t="s">
        <v>9220</v>
      </c>
      <c r="AS613" t="s">
        <v>9221</v>
      </c>
      <c r="AT613" t="s">
        <v>9222</v>
      </c>
      <c r="AU613">
        <v>2018</v>
      </c>
      <c r="AV613">
        <v>18</v>
      </c>
      <c r="AW613" t="s">
        <v>74</v>
      </c>
      <c r="AX613" t="s">
        <v>74</v>
      </c>
      <c r="AY613" t="s">
        <v>74</v>
      </c>
      <c r="AZ613" t="s">
        <v>74</v>
      </c>
      <c r="BA613" t="s">
        <v>74</v>
      </c>
      <c r="BB613">
        <v>167</v>
      </c>
      <c r="BC613">
        <v>175</v>
      </c>
      <c r="BD613" t="s">
        <v>74</v>
      </c>
      <c r="BE613" t="s">
        <v>11968</v>
      </c>
      <c r="BF613" t="str">
        <f>HYPERLINK("http://dx.doi.org/10.1016/j.polar.2018.04.008","http://dx.doi.org/10.1016/j.polar.2018.04.008")</f>
        <v>http://dx.doi.org/10.1016/j.polar.2018.04.008</v>
      </c>
      <c r="BG613" t="s">
        <v>74</v>
      </c>
      <c r="BH613" t="s">
        <v>74</v>
      </c>
      <c r="BI613">
        <v>9</v>
      </c>
      <c r="BJ613" t="s">
        <v>451</v>
      </c>
      <c r="BK613" t="s">
        <v>101</v>
      </c>
      <c r="BL613" t="s">
        <v>452</v>
      </c>
      <c r="BM613" t="s">
        <v>9224</v>
      </c>
      <c r="BN613" t="s">
        <v>74</v>
      </c>
      <c r="BO613" t="s">
        <v>3810</v>
      </c>
      <c r="BP613" t="s">
        <v>74</v>
      </c>
      <c r="BQ613" t="s">
        <v>74</v>
      </c>
      <c r="BR613" t="s">
        <v>104</v>
      </c>
      <c r="BS613" t="s">
        <v>11969</v>
      </c>
      <c r="BT613" t="str">
        <f>HYPERLINK("https%3A%2F%2Fwww.webofscience.com%2Fwos%2Fwoscc%2Ffull-record%2FWOS:000452591600019","View Full Record in Web of Science")</f>
        <v>View Full Record in Web of Science</v>
      </c>
    </row>
    <row r="614" spans="1:72" x14ac:dyDescent="0.15">
      <c r="A614" t="s">
        <v>72</v>
      </c>
      <c r="B614" t="s">
        <v>11970</v>
      </c>
      <c r="C614" t="s">
        <v>74</v>
      </c>
      <c r="D614" t="s">
        <v>74</v>
      </c>
      <c r="E614" t="s">
        <v>74</v>
      </c>
      <c r="F614" t="s">
        <v>11971</v>
      </c>
      <c r="G614" t="s">
        <v>74</v>
      </c>
      <c r="H614" t="s">
        <v>74</v>
      </c>
      <c r="I614" t="s">
        <v>11972</v>
      </c>
      <c r="J614" t="s">
        <v>9205</v>
      </c>
      <c r="K614" t="s">
        <v>74</v>
      </c>
      <c r="L614" t="s">
        <v>74</v>
      </c>
      <c r="M614" t="s">
        <v>78</v>
      </c>
      <c r="N614" t="s">
        <v>79</v>
      </c>
      <c r="O614" t="s">
        <v>74</v>
      </c>
      <c r="P614" t="s">
        <v>74</v>
      </c>
      <c r="Q614" t="s">
        <v>74</v>
      </c>
      <c r="R614" t="s">
        <v>74</v>
      </c>
      <c r="S614" t="s">
        <v>74</v>
      </c>
      <c r="T614" t="s">
        <v>11973</v>
      </c>
      <c r="U614" t="s">
        <v>11974</v>
      </c>
      <c r="V614" t="s">
        <v>11975</v>
      </c>
      <c r="W614" t="s">
        <v>11976</v>
      </c>
      <c r="X614" t="s">
        <v>11977</v>
      </c>
      <c r="Y614" t="s">
        <v>11978</v>
      </c>
      <c r="Z614" t="s">
        <v>11979</v>
      </c>
      <c r="AA614" t="s">
        <v>11980</v>
      </c>
      <c r="AB614" t="s">
        <v>11981</v>
      </c>
      <c r="AC614" t="s">
        <v>74</v>
      </c>
      <c r="AD614" t="s">
        <v>74</v>
      </c>
      <c r="AE614" t="s">
        <v>74</v>
      </c>
      <c r="AF614" t="s">
        <v>74</v>
      </c>
      <c r="AG614">
        <v>27</v>
      </c>
      <c r="AH614">
        <v>2</v>
      </c>
      <c r="AI614">
        <v>2</v>
      </c>
      <c r="AJ614">
        <v>0</v>
      </c>
      <c r="AK614">
        <v>4</v>
      </c>
      <c r="AL614" t="s">
        <v>2519</v>
      </c>
      <c r="AM614" t="s">
        <v>2520</v>
      </c>
      <c r="AN614" t="s">
        <v>3313</v>
      </c>
      <c r="AO614" t="s">
        <v>9218</v>
      </c>
      <c r="AP614" t="s">
        <v>9219</v>
      </c>
      <c r="AQ614" t="s">
        <v>74</v>
      </c>
      <c r="AR614" t="s">
        <v>9220</v>
      </c>
      <c r="AS614" t="s">
        <v>9221</v>
      </c>
      <c r="AT614" t="s">
        <v>9222</v>
      </c>
      <c r="AU614">
        <v>2018</v>
      </c>
      <c r="AV614">
        <v>18</v>
      </c>
      <c r="AW614" t="s">
        <v>74</v>
      </c>
      <c r="AX614" t="s">
        <v>74</v>
      </c>
      <c r="AY614" t="s">
        <v>74</v>
      </c>
      <c r="AZ614" t="s">
        <v>74</v>
      </c>
      <c r="BA614" t="s">
        <v>74</v>
      </c>
      <c r="BB614">
        <v>176</v>
      </c>
      <c r="BC614">
        <v>182</v>
      </c>
      <c r="BD614" t="s">
        <v>74</v>
      </c>
      <c r="BE614" t="s">
        <v>11982</v>
      </c>
      <c r="BF614" t="str">
        <f>HYPERLINK("http://dx.doi.org/10.1016/j.polar.2018.04.007","http://dx.doi.org/10.1016/j.polar.2018.04.007")</f>
        <v>http://dx.doi.org/10.1016/j.polar.2018.04.007</v>
      </c>
      <c r="BG614" t="s">
        <v>74</v>
      </c>
      <c r="BH614" t="s">
        <v>74</v>
      </c>
      <c r="BI614">
        <v>7</v>
      </c>
      <c r="BJ614" t="s">
        <v>451</v>
      </c>
      <c r="BK614" t="s">
        <v>101</v>
      </c>
      <c r="BL614" t="s">
        <v>452</v>
      </c>
      <c r="BM614" t="s">
        <v>9224</v>
      </c>
      <c r="BN614" t="s">
        <v>74</v>
      </c>
      <c r="BO614" t="s">
        <v>6572</v>
      </c>
      <c r="BP614" t="s">
        <v>74</v>
      </c>
      <c r="BQ614" t="s">
        <v>74</v>
      </c>
      <c r="BR614" t="s">
        <v>104</v>
      </c>
      <c r="BS614" t="s">
        <v>11983</v>
      </c>
      <c r="BT614" t="str">
        <f>HYPERLINK("https%3A%2F%2Fwww.webofscience.com%2Fwos%2Fwoscc%2Ffull-record%2FWOS:000452591600020","View Full Record in Web of Science")</f>
        <v>View Full Record in Web of Science</v>
      </c>
    </row>
    <row r="615" spans="1:72" x14ac:dyDescent="0.15">
      <c r="A615" t="s">
        <v>72</v>
      </c>
      <c r="B615" t="s">
        <v>11984</v>
      </c>
      <c r="C615" t="s">
        <v>74</v>
      </c>
      <c r="D615" t="s">
        <v>74</v>
      </c>
      <c r="E615" t="s">
        <v>74</v>
      </c>
      <c r="F615" t="s">
        <v>11985</v>
      </c>
      <c r="G615" t="s">
        <v>74</v>
      </c>
      <c r="H615" t="s">
        <v>74</v>
      </c>
      <c r="I615" t="s">
        <v>11986</v>
      </c>
      <c r="J615" t="s">
        <v>9205</v>
      </c>
      <c r="K615" t="s">
        <v>74</v>
      </c>
      <c r="L615" t="s">
        <v>74</v>
      </c>
      <c r="M615" t="s">
        <v>78</v>
      </c>
      <c r="N615" t="s">
        <v>1003</v>
      </c>
      <c r="O615" t="s">
        <v>74</v>
      </c>
      <c r="P615" t="s">
        <v>74</v>
      </c>
      <c r="Q615" t="s">
        <v>74</v>
      </c>
      <c r="R615" t="s">
        <v>74</v>
      </c>
      <c r="S615" t="s">
        <v>74</v>
      </c>
      <c r="T615" t="s">
        <v>11987</v>
      </c>
      <c r="U615" t="s">
        <v>11988</v>
      </c>
      <c r="V615" t="s">
        <v>11989</v>
      </c>
      <c r="W615" t="s">
        <v>11990</v>
      </c>
      <c r="X615" t="s">
        <v>11991</v>
      </c>
      <c r="Y615" t="s">
        <v>11992</v>
      </c>
      <c r="Z615" t="s">
        <v>11993</v>
      </c>
      <c r="AA615" t="s">
        <v>74</v>
      </c>
      <c r="AB615" t="s">
        <v>11994</v>
      </c>
      <c r="AC615" t="s">
        <v>74</v>
      </c>
      <c r="AD615" t="s">
        <v>74</v>
      </c>
      <c r="AE615" t="s">
        <v>74</v>
      </c>
      <c r="AF615" t="s">
        <v>74</v>
      </c>
      <c r="AG615">
        <v>31</v>
      </c>
      <c r="AH615">
        <v>7</v>
      </c>
      <c r="AI615">
        <v>8</v>
      </c>
      <c r="AJ615">
        <v>0</v>
      </c>
      <c r="AK615">
        <v>16</v>
      </c>
      <c r="AL615" t="s">
        <v>3290</v>
      </c>
      <c r="AM615" t="s">
        <v>2520</v>
      </c>
      <c r="AN615" t="s">
        <v>3291</v>
      </c>
      <c r="AO615" t="s">
        <v>9218</v>
      </c>
      <c r="AP615" t="s">
        <v>9219</v>
      </c>
      <c r="AQ615" t="s">
        <v>74</v>
      </c>
      <c r="AR615" t="s">
        <v>9220</v>
      </c>
      <c r="AS615" t="s">
        <v>9221</v>
      </c>
      <c r="AT615" t="s">
        <v>9222</v>
      </c>
      <c r="AU615">
        <v>2018</v>
      </c>
      <c r="AV615">
        <v>18</v>
      </c>
      <c r="AW615" t="s">
        <v>74</v>
      </c>
      <c r="AX615" t="s">
        <v>74</v>
      </c>
      <c r="AY615" t="s">
        <v>74</v>
      </c>
      <c r="AZ615" t="s">
        <v>74</v>
      </c>
      <c r="BA615" t="s">
        <v>74</v>
      </c>
      <c r="BB615">
        <v>183</v>
      </c>
      <c r="BC615">
        <v>188</v>
      </c>
      <c r="BD615" t="s">
        <v>74</v>
      </c>
      <c r="BE615" t="s">
        <v>11995</v>
      </c>
      <c r="BF615" t="str">
        <f>HYPERLINK("http://dx.doi.org/10.1016/j.polar.2018.04.005","http://dx.doi.org/10.1016/j.polar.2018.04.005")</f>
        <v>http://dx.doi.org/10.1016/j.polar.2018.04.005</v>
      </c>
      <c r="BG615" t="s">
        <v>74</v>
      </c>
      <c r="BH615" t="s">
        <v>74</v>
      </c>
      <c r="BI615">
        <v>6</v>
      </c>
      <c r="BJ615" t="s">
        <v>451</v>
      </c>
      <c r="BK615" t="s">
        <v>101</v>
      </c>
      <c r="BL615" t="s">
        <v>452</v>
      </c>
      <c r="BM615" t="s">
        <v>9224</v>
      </c>
      <c r="BN615" t="s">
        <v>74</v>
      </c>
      <c r="BO615" t="s">
        <v>3810</v>
      </c>
      <c r="BP615" t="s">
        <v>74</v>
      </c>
      <c r="BQ615" t="s">
        <v>74</v>
      </c>
      <c r="BR615" t="s">
        <v>104</v>
      </c>
      <c r="BS615" t="s">
        <v>11996</v>
      </c>
      <c r="BT615" t="str">
        <f>HYPERLINK("https%3A%2F%2Fwww.webofscience.com%2Fwos%2Fwoscc%2Ffull-record%2FWOS:000452591600021","View Full Record in Web of Science")</f>
        <v>View Full Record in Web of Science</v>
      </c>
    </row>
    <row r="616" spans="1:72" x14ac:dyDescent="0.15">
      <c r="A616" t="s">
        <v>72</v>
      </c>
      <c r="B616" t="s">
        <v>11997</v>
      </c>
      <c r="C616" t="s">
        <v>74</v>
      </c>
      <c r="D616" t="s">
        <v>74</v>
      </c>
      <c r="E616" t="s">
        <v>74</v>
      </c>
      <c r="F616" t="s">
        <v>11998</v>
      </c>
      <c r="G616" t="s">
        <v>74</v>
      </c>
      <c r="H616" t="s">
        <v>74</v>
      </c>
      <c r="I616" t="s">
        <v>11999</v>
      </c>
      <c r="J616" t="s">
        <v>9205</v>
      </c>
      <c r="K616" t="s">
        <v>74</v>
      </c>
      <c r="L616" t="s">
        <v>74</v>
      </c>
      <c r="M616" t="s">
        <v>78</v>
      </c>
      <c r="N616" t="s">
        <v>79</v>
      </c>
      <c r="O616" t="s">
        <v>74</v>
      </c>
      <c r="P616" t="s">
        <v>74</v>
      </c>
      <c r="Q616" t="s">
        <v>74</v>
      </c>
      <c r="R616" t="s">
        <v>74</v>
      </c>
      <c r="S616" t="s">
        <v>74</v>
      </c>
      <c r="T616" t="s">
        <v>12000</v>
      </c>
      <c r="U616" t="s">
        <v>12001</v>
      </c>
      <c r="V616" t="s">
        <v>12002</v>
      </c>
      <c r="W616" t="s">
        <v>12003</v>
      </c>
      <c r="X616" t="s">
        <v>12004</v>
      </c>
      <c r="Y616" t="s">
        <v>12005</v>
      </c>
      <c r="Z616" t="s">
        <v>11857</v>
      </c>
      <c r="AA616" t="s">
        <v>11858</v>
      </c>
      <c r="AB616" t="s">
        <v>12006</v>
      </c>
      <c r="AC616" t="s">
        <v>12007</v>
      </c>
      <c r="AD616" t="s">
        <v>12007</v>
      </c>
      <c r="AE616" t="s">
        <v>12008</v>
      </c>
      <c r="AF616" t="s">
        <v>74</v>
      </c>
      <c r="AG616">
        <v>39</v>
      </c>
      <c r="AH616">
        <v>3</v>
      </c>
      <c r="AI616">
        <v>3</v>
      </c>
      <c r="AJ616">
        <v>0</v>
      </c>
      <c r="AK616">
        <v>2</v>
      </c>
      <c r="AL616" t="s">
        <v>2519</v>
      </c>
      <c r="AM616" t="s">
        <v>2520</v>
      </c>
      <c r="AN616" t="s">
        <v>3313</v>
      </c>
      <c r="AO616" t="s">
        <v>9218</v>
      </c>
      <c r="AP616" t="s">
        <v>9219</v>
      </c>
      <c r="AQ616" t="s">
        <v>74</v>
      </c>
      <c r="AR616" t="s">
        <v>9220</v>
      </c>
      <c r="AS616" t="s">
        <v>9221</v>
      </c>
      <c r="AT616" t="s">
        <v>9222</v>
      </c>
      <c r="AU616">
        <v>2018</v>
      </c>
      <c r="AV616">
        <v>18</v>
      </c>
      <c r="AW616" t="s">
        <v>74</v>
      </c>
      <c r="AX616" t="s">
        <v>74</v>
      </c>
      <c r="AY616" t="s">
        <v>74</v>
      </c>
      <c r="AZ616" t="s">
        <v>74</v>
      </c>
      <c r="BA616" t="s">
        <v>74</v>
      </c>
      <c r="BB616">
        <v>197</v>
      </c>
      <c r="BC616">
        <v>212</v>
      </c>
      <c r="BD616" t="s">
        <v>74</v>
      </c>
      <c r="BE616" t="s">
        <v>12009</v>
      </c>
      <c r="BF616" t="str">
        <f>HYPERLINK("http://dx.doi.org/10.1016/j.polar.2018.05.005","http://dx.doi.org/10.1016/j.polar.2018.05.005")</f>
        <v>http://dx.doi.org/10.1016/j.polar.2018.05.005</v>
      </c>
      <c r="BG616" t="s">
        <v>74</v>
      </c>
      <c r="BH616" t="s">
        <v>74</v>
      </c>
      <c r="BI616">
        <v>16</v>
      </c>
      <c r="BJ616" t="s">
        <v>451</v>
      </c>
      <c r="BK616" t="s">
        <v>101</v>
      </c>
      <c r="BL616" t="s">
        <v>452</v>
      </c>
      <c r="BM616" t="s">
        <v>9224</v>
      </c>
      <c r="BN616" t="s">
        <v>74</v>
      </c>
      <c r="BO616" t="s">
        <v>3810</v>
      </c>
      <c r="BP616" t="s">
        <v>74</v>
      </c>
      <c r="BQ616" t="s">
        <v>74</v>
      </c>
      <c r="BR616" t="s">
        <v>104</v>
      </c>
      <c r="BS616" t="s">
        <v>12010</v>
      </c>
      <c r="BT616" t="str">
        <f>HYPERLINK("https%3A%2F%2Fwww.webofscience.com%2Fwos%2Fwoscc%2Ffull-record%2FWOS:000452591600023","View Full Record in Web of Science")</f>
        <v>View Full Record in Web of Science</v>
      </c>
    </row>
    <row r="617" spans="1:72" x14ac:dyDescent="0.15">
      <c r="A617" t="s">
        <v>72</v>
      </c>
      <c r="B617" t="s">
        <v>12011</v>
      </c>
      <c r="C617" t="s">
        <v>74</v>
      </c>
      <c r="D617" t="s">
        <v>74</v>
      </c>
      <c r="E617" t="s">
        <v>74</v>
      </c>
      <c r="F617" t="s">
        <v>12012</v>
      </c>
      <c r="G617" t="s">
        <v>74</v>
      </c>
      <c r="H617" t="s">
        <v>74</v>
      </c>
      <c r="I617" t="s">
        <v>12013</v>
      </c>
      <c r="J617" t="s">
        <v>9205</v>
      </c>
      <c r="K617" t="s">
        <v>74</v>
      </c>
      <c r="L617" t="s">
        <v>74</v>
      </c>
      <c r="M617" t="s">
        <v>78</v>
      </c>
      <c r="N617" t="s">
        <v>79</v>
      </c>
      <c r="O617" t="s">
        <v>74</v>
      </c>
      <c r="P617" t="s">
        <v>74</v>
      </c>
      <c r="Q617" t="s">
        <v>74</v>
      </c>
      <c r="R617" t="s">
        <v>74</v>
      </c>
      <c r="S617" t="s">
        <v>74</v>
      </c>
      <c r="T617" t="s">
        <v>12014</v>
      </c>
      <c r="U617" t="s">
        <v>12015</v>
      </c>
      <c r="V617" t="s">
        <v>12016</v>
      </c>
      <c r="W617" t="s">
        <v>12017</v>
      </c>
      <c r="X617" t="s">
        <v>12018</v>
      </c>
      <c r="Y617" t="s">
        <v>11827</v>
      </c>
      <c r="Z617" t="s">
        <v>11828</v>
      </c>
      <c r="AA617" t="s">
        <v>12019</v>
      </c>
      <c r="AB617" t="s">
        <v>12020</v>
      </c>
      <c r="AC617" t="s">
        <v>12021</v>
      </c>
      <c r="AD617" t="s">
        <v>12022</v>
      </c>
      <c r="AE617" t="s">
        <v>12023</v>
      </c>
      <c r="AF617" t="s">
        <v>74</v>
      </c>
      <c r="AG617">
        <v>44</v>
      </c>
      <c r="AH617">
        <v>4</v>
      </c>
      <c r="AI617">
        <v>4</v>
      </c>
      <c r="AJ617">
        <v>0</v>
      </c>
      <c r="AK617">
        <v>5</v>
      </c>
      <c r="AL617" t="s">
        <v>2519</v>
      </c>
      <c r="AM617" t="s">
        <v>2520</v>
      </c>
      <c r="AN617" t="s">
        <v>3313</v>
      </c>
      <c r="AO617" t="s">
        <v>9218</v>
      </c>
      <c r="AP617" t="s">
        <v>9219</v>
      </c>
      <c r="AQ617" t="s">
        <v>74</v>
      </c>
      <c r="AR617" t="s">
        <v>9220</v>
      </c>
      <c r="AS617" t="s">
        <v>9221</v>
      </c>
      <c r="AT617" t="s">
        <v>9222</v>
      </c>
      <c r="AU617">
        <v>2018</v>
      </c>
      <c r="AV617">
        <v>18</v>
      </c>
      <c r="AW617" t="s">
        <v>74</v>
      </c>
      <c r="AX617" t="s">
        <v>74</v>
      </c>
      <c r="AY617" t="s">
        <v>74</v>
      </c>
      <c r="AZ617" t="s">
        <v>74</v>
      </c>
      <c r="BA617" t="s">
        <v>74</v>
      </c>
      <c r="BB617">
        <v>213</v>
      </c>
      <c r="BC617">
        <v>219</v>
      </c>
      <c r="BD617" t="s">
        <v>74</v>
      </c>
      <c r="BE617" t="s">
        <v>12024</v>
      </c>
      <c r="BF617" t="str">
        <f>HYPERLINK("http://dx.doi.org/10.1016/j.polar.2018.04.002","http://dx.doi.org/10.1016/j.polar.2018.04.002")</f>
        <v>http://dx.doi.org/10.1016/j.polar.2018.04.002</v>
      </c>
      <c r="BG617" t="s">
        <v>74</v>
      </c>
      <c r="BH617" t="s">
        <v>74</v>
      </c>
      <c r="BI617">
        <v>7</v>
      </c>
      <c r="BJ617" t="s">
        <v>451</v>
      </c>
      <c r="BK617" t="s">
        <v>101</v>
      </c>
      <c r="BL617" t="s">
        <v>452</v>
      </c>
      <c r="BM617" t="s">
        <v>9224</v>
      </c>
      <c r="BN617" t="s">
        <v>74</v>
      </c>
      <c r="BO617" t="s">
        <v>3810</v>
      </c>
      <c r="BP617" t="s">
        <v>74</v>
      </c>
      <c r="BQ617" t="s">
        <v>74</v>
      </c>
      <c r="BR617" t="s">
        <v>104</v>
      </c>
      <c r="BS617" t="s">
        <v>12025</v>
      </c>
      <c r="BT617" t="str">
        <f>HYPERLINK("https%3A%2F%2Fwww.webofscience.com%2Fwos%2Fwoscc%2Ffull-record%2FWOS:000452591600024","View Full Record in Web of Science")</f>
        <v>View Full Record in Web of Science</v>
      </c>
    </row>
    <row r="618" spans="1:72" x14ac:dyDescent="0.15">
      <c r="A618" t="s">
        <v>72</v>
      </c>
      <c r="B618" t="s">
        <v>12026</v>
      </c>
      <c r="C618" t="s">
        <v>74</v>
      </c>
      <c r="D618" t="s">
        <v>74</v>
      </c>
      <c r="E618" t="s">
        <v>74</v>
      </c>
      <c r="F618" t="s">
        <v>12027</v>
      </c>
      <c r="G618" t="s">
        <v>74</v>
      </c>
      <c r="H618" t="s">
        <v>74</v>
      </c>
      <c r="I618" t="s">
        <v>12028</v>
      </c>
      <c r="J618" t="s">
        <v>12029</v>
      </c>
      <c r="K618" t="s">
        <v>74</v>
      </c>
      <c r="L618" t="s">
        <v>74</v>
      </c>
      <c r="M618" t="s">
        <v>78</v>
      </c>
      <c r="N618" t="s">
        <v>79</v>
      </c>
      <c r="O618" t="s">
        <v>74</v>
      </c>
      <c r="P618" t="s">
        <v>74</v>
      </c>
      <c r="Q618" t="s">
        <v>74</v>
      </c>
      <c r="R618" t="s">
        <v>74</v>
      </c>
      <c r="S618" t="s">
        <v>74</v>
      </c>
      <c r="T618" t="s">
        <v>12030</v>
      </c>
      <c r="U618" t="s">
        <v>12031</v>
      </c>
      <c r="V618" t="s">
        <v>12032</v>
      </c>
      <c r="W618" t="s">
        <v>12033</v>
      </c>
      <c r="X618" t="s">
        <v>12034</v>
      </c>
      <c r="Y618" t="s">
        <v>12035</v>
      </c>
      <c r="Z618" t="s">
        <v>12036</v>
      </c>
      <c r="AA618" t="s">
        <v>12037</v>
      </c>
      <c r="AB618" t="s">
        <v>12038</v>
      </c>
      <c r="AC618" t="s">
        <v>12039</v>
      </c>
      <c r="AD618" t="s">
        <v>12040</v>
      </c>
      <c r="AE618" t="s">
        <v>12041</v>
      </c>
      <c r="AF618" t="s">
        <v>74</v>
      </c>
      <c r="AG618">
        <v>70</v>
      </c>
      <c r="AH618">
        <v>19</v>
      </c>
      <c r="AI618">
        <v>19</v>
      </c>
      <c r="AJ618">
        <v>2</v>
      </c>
      <c r="AK618">
        <v>36</v>
      </c>
      <c r="AL618" t="s">
        <v>5052</v>
      </c>
      <c r="AM618" t="s">
        <v>5053</v>
      </c>
      <c r="AN618" t="s">
        <v>5054</v>
      </c>
      <c r="AO618" t="s">
        <v>12042</v>
      </c>
      <c r="AP618" t="s">
        <v>12043</v>
      </c>
      <c r="AQ618" t="s">
        <v>74</v>
      </c>
      <c r="AR618" t="s">
        <v>12029</v>
      </c>
      <c r="AS618" t="s">
        <v>12044</v>
      </c>
      <c r="AT618" t="s">
        <v>9222</v>
      </c>
      <c r="AU618">
        <v>2018</v>
      </c>
      <c r="AV618">
        <v>169</v>
      </c>
      <c r="AW618">
        <v>6</v>
      </c>
      <c r="AX618" t="s">
        <v>74</v>
      </c>
      <c r="AY618" t="s">
        <v>74</v>
      </c>
      <c r="AZ618" t="s">
        <v>74</v>
      </c>
      <c r="BA618" t="s">
        <v>74</v>
      </c>
      <c r="BB618">
        <v>958</v>
      </c>
      <c r="BC618">
        <v>975</v>
      </c>
      <c r="BD618" t="s">
        <v>74</v>
      </c>
      <c r="BE618" t="s">
        <v>12045</v>
      </c>
      <c r="BF618" t="str">
        <f>HYPERLINK("http://dx.doi.org/10.1016/j.protis.2018.08.003","http://dx.doi.org/10.1016/j.protis.2018.08.003")</f>
        <v>http://dx.doi.org/10.1016/j.protis.2018.08.003</v>
      </c>
      <c r="BG618" t="s">
        <v>74</v>
      </c>
      <c r="BH618" t="s">
        <v>74</v>
      </c>
      <c r="BI618">
        <v>18</v>
      </c>
      <c r="BJ618" t="s">
        <v>4119</v>
      </c>
      <c r="BK618" t="s">
        <v>101</v>
      </c>
      <c r="BL618" t="s">
        <v>4119</v>
      </c>
      <c r="BM618" t="s">
        <v>12046</v>
      </c>
      <c r="BN618">
        <v>30453274</v>
      </c>
      <c r="BO618" t="s">
        <v>3810</v>
      </c>
      <c r="BP618" t="s">
        <v>74</v>
      </c>
      <c r="BQ618" t="s">
        <v>74</v>
      </c>
      <c r="BR618" t="s">
        <v>104</v>
      </c>
      <c r="BS618" t="s">
        <v>12047</v>
      </c>
      <c r="BT618" t="str">
        <f>HYPERLINK("https%3A%2F%2Fwww.webofscience.com%2Fwos%2Fwoscc%2Ffull-record%2FWOS:000452432800009","View Full Record in Web of Science")</f>
        <v>View Full Record in Web of Science</v>
      </c>
    </row>
    <row r="619" spans="1:72" x14ac:dyDescent="0.15">
      <c r="A619" t="s">
        <v>72</v>
      </c>
      <c r="B619" t="s">
        <v>12048</v>
      </c>
      <c r="C619" t="s">
        <v>74</v>
      </c>
      <c r="D619" t="s">
        <v>74</v>
      </c>
      <c r="E619" t="s">
        <v>74</v>
      </c>
      <c r="F619" t="s">
        <v>12049</v>
      </c>
      <c r="G619" t="s">
        <v>74</v>
      </c>
      <c r="H619" t="s">
        <v>74</v>
      </c>
      <c r="I619" t="s">
        <v>12050</v>
      </c>
      <c r="J619" t="s">
        <v>5714</v>
      </c>
      <c r="K619" t="s">
        <v>74</v>
      </c>
      <c r="L619" t="s">
        <v>74</v>
      </c>
      <c r="M619" t="s">
        <v>78</v>
      </c>
      <c r="N619" t="s">
        <v>79</v>
      </c>
      <c r="O619" t="s">
        <v>74</v>
      </c>
      <c r="P619" t="s">
        <v>74</v>
      </c>
      <c r="Q619" t="s">
        <v>74</v>
      </c>
      <c r="R619" t="s">
        <v>74</v>
      </c>
      <c r="S619" t="s">
        <v>74</v>
      </c>
      <c r="T619" t="s">
        <v>12051</v>
      </c>
      <c r="U619" t="s">
        <v>12052</v>
      </c>
      <c r="V619" t="s">
        <v>12053</v>
      </c>
      <c r="W619" t="s">
        <v>12054</v>
      </c>
      <c r="X619" t="s">
        <v>12055</v>
      </c>
      <c r="Y619" t="s">
        <v>12056</v>
      </c>
      <c r="Z619" t="s">
        <v>12057</v>
      </c>
      <c r="AA619" t="s">
        <v>12058</v>
      </c>
      <c r="AB619" t="s">
        <v>12059</v>
      </c>
      <c r="AC619" t="s">
        <v>12060</v>
      </c>
      <c r="AD619" t="s">
        <v>12061</v>
      </c>
      <c r="AE619" t="s">
        <v>12062</v>
      </c>
      <c r="AF619" t="s">
        <v>74</v>
      </c>
      <c r="AG619">
        <v>98</v>
      </c>
      <c r="AH619">
        <v>22</v>
      </c>
      <c r="AI619">
        <v>23</v>
      </c>
      <c r="AJ619">
        <v>2</v>
      </c>
      <c r="AK619">
        <v>20</v>
      </c>
      <c r="AL619" t="s">
        <v>3352</v>
      </c>
      <c r="AM619" t="s">
        <v>3353</v>
      </c>
      <c r="AN619" t="s">
        <v>3354</v>
      </c>
      <c r="AO619" t="s">
        <v>5727</v>
      </c>
      <c r="AP619" t="s">
        <v>74</v>
      </c>
      <c r="AQ619" t="s">
        <v>74</v>
      </c>
      <c r="AR619" t="s">
        <v>5728</v>
      </c>
      <c r="AS619" t="s">
        <v>5729</v>
      </c>
      <c r="AT619" t="s">
        <v>10758</v>
      </c>
      <c r="AU619">
        <v>2018</v>
      </c>
      <c r="AV619">
        <v>201</v>
      </c>
      <c r="AW619" t="s">
        <v>74</v>
      </c>
      <c r="AX619" t="s">
        <v>74</v>
      </c>
      <c r="AY619" t="s">
        <v>74</v>
      </c>
      <c r="AZ619" t="s">
        <v>74</v>
      </c>
      <c r="BA619" t="s">
        <v>74</v>
      </c>
      <c r="BB619">
        <v>13</v>
      </c>
      <c r="BC619">
        <v>28</v>
      </c>
      <c r="BD619" t="s">
        <v>74</v>
      </c>
      <c r="BE619" t="s">
        <v>12063</v>
      </c>
      <c r="BF619" t="str">
        <f>HYPERLINK("http://dx.doi.org/10.1016/j.quascirev.2018.10.007","http://dx.doi.org/10.1016/j.quascirev.2018.10.007")</f>
        <v>http://dx.doi.org/10.1016/j.quascirev.2018.10.007</v>
      </c>
      <c r="BG619" t="s">
        <v>74</v>
      </c>
      <c r="BH619" t="s">
        <v>74</v>
      </c>
      <c r="BI619">
        <v>16</v>
      </c>
      <c r="BJ619" t="s">
        <v>1480</v>
      </c>
      <c r="BK619" t="s">
        <v>101</v>
      </c>
      <c r="BL619" t="s">
        <v>1481</v>
      </c>
      <c r="BM619" t="s">
        <v>12064</v>
      </c>
      <c r="BN619" t="s">
        <v>74</v>
      </c>
      <c r="BO619" t="s">
        <v>404</v>
      </c>
      <c r="BP619" t="s">
        <v>74</v>
      </c>
      <c r="BQ619" t="s">
        <v>74</v>
      </c>
      <c r="BR619" t="s">
        <v>104</v>
      </c>
      <c r="BS619" t="s">
        <v>12065</v>
      </c>
      <c r="BT619" t="str">
        <f>HYPERLINK("https%3A%2F%2Fwww.webofscience.com%2Fwos%2Fwoscc%2Ffull-record%2FWOS:000452934700002","View Full Record in Web of Science")</f>
        <v>View Full Record in Web of Science</v>
      </c>
    </row>
    <row r="620" spans="1:72" x14ac:dyDescent="0.15">
      <c r="A620" t="s">
        <v>72</v>
      </c>
      <c r="B620" t="s">
        <v>12066</v>
      </c>
      <c r="C620" t="s">
        <v>74</v>
      </c>
      <c r="D620" t="s">
        <v>74</v>
      </c>
      <c r="E620" t="s">
        <v>74</v>
      </c>
      <c r="F620" t="s">
        <v>12067</v>
      </c>
      <c r="G620" t="s">
        <v>74</v>
      </c>
      <c r="H620" t="s">
        <v>74</v>
      </c>
      <c r="I620" t="s">
        <v>12068</v>
      </c>
      <c r="J620" t="s">
        <v>5714</v>
      </c>
      <c r="K620" t="s">
        <v>74</v>
      </c>
      <c r="L620" t="s">
        <v>74</v>
      </c>
      <c r="M620" t="s">
        <v>78</v>
      </c>
      <c r="N620" t="s">
        <v>79</v>
      </c>
      <c r="O620" t="s">
        <v>74</v>
      </c>
      <c r="P620" t="s">
        <v>74</v>
      </c>
      <c r="Q620" t="s">
        <v>74</v>
      </c>
      <c r="R620" t="s">
        <v>74</v>
      </c>
      <c r="S620" t="s">
        <v>74</v>
      </c>
      <c r="T620" t="s">
        <v>74</v>
      </c>
      <c r="U620" t="s">
        <v>12069</v>
      </c>
      <c r="V620" t="s">
        <v>12070</v>
      </c>
      <c r="W620" t="s">
        <v>12071</v>
      </c>
      <c r="X620" t="s">
        <v>12072</v>
      </c>
      <c r="Y620" t="s">
        <v>12073</v>
      </c>
      <c r="Z620" t="s">
        <v>12074</v>
      </c>
      <c r="AA620" t="s">
        <v>12075</v>
      </c>
      <c r="AB620" t="s">
        <v>12076</v>
      </c>
      <c r="AC620" t="s">
        <v>12077</v>
      </c>
      <c r="AD620" t="s">
        <v>12078</v>
      </c>
      <c r="AE620" t="s">
        <v>12079</v>
      </c>
      <c r="AF620" t="s">
        <v>74</v>
      </c>
      <c r="AG620">
        <v>66</v>
      </c>
      <c r="AH620">
        <v>13</v>
      </c>
      <c r="AI620">
        <v>14</v>
      </c>
      <c r="AJ620">
        <v>1</v>
      </c>
      <c r="AK620">
        <v>13</v>
      </c>
      <c r="AL620" t="s">
        <v>3352</v>
      </c>
      <c r="AM620" t="s">
        <v>3353</v>
      </c>
      <c r="AN620" t="s">
        <v>3354</v>
      </c>
      <c r="AO620" t="s">
        <v>5727</v>
      </c>
      <c r="AP620" t="s">
        <v>74</v>
      </c>
      <c r="AQ620" t="s">
        <v>74</v>
      </c>
      <c r="AR620" t="s">
        <v>5728</v>
      </c>
      <c r="AS620" t="s">
        <v>5729</v>
      </c>
      <c r="AT620" t="s">
        <v>10758</v>
      </c>
      <c r="AU620">
        <v>2018</v>
      </c>
      <c r="AV620">
        <v>201</v>
      </c>
      <c r="AW620" t="s">
        <v>74</v>
      </c>
      <c r="AX620" t="s">
        <v>74</v>
      </c>
      <c r="AY620" t="s">
        <v>74</v>
      </c>
      <c r="AZ620" t="s">
        <v>74</v>
      </c>
      <c r="BA620" t="s">
        <v>74</v>
      </c>
      <c r="BB620">
        <v>241</v>
      </c>
      <c r="BC620">
        <v>260</v>
      </c>
      <c r="BD620" t="s">
        <v>74</v>
      </c>
      <c r="BE620" t="s">
        <v>12080</v>
      </c>
      <c r="BF620" t="str">
        <f>HYPERLINK("http://dx.doi.org/10.1016/j.quascirev.2018.09.044","http://dx.doi.org/10.1016/j.quascirev.2018.09.044")</f>
        <v>http://dx.doi.org/10.1016/j.quascirev.2018.09.044</v>
      </c>
      <c r="BG620" t="s">
        <v>74</v>
      </c>
      <c r="BH620" t="s">
        <v>74</v>
      </c>
      <c r="BI620">
        <v>20</v>
      </c>
      <c r="BJ620" t="s">
        <v>1480</v>
      </c>
      <c r="BK620" t="s">
        <v>101</v>
      </c>
      <c r="BL620" t="s">
        <v>1481</v>
      </c>
      <c r="BM620" t="s">
        <v>12064</v>
      </c>
      <c r="BN620" t="s">
        <v>74</v>
      </c>
      <c r="BO620" t="s">
        <v>2948</v>
      </c>
      <c r="BP620" t="s">
        <v>74</v>
      </c>
      <c r="BQ620" t="s">
        <v>74</v>
      </c>
      <c r="BR620" t="s">
        <v>104</v>
      </c>
      <c r="BS620" t="s">
        <v>12081</v>
      </c>
      <c r="BT620" t="str">
        <f>HYPERLINK("https%3A%2F%2Fwww.webofscience.com%2Fwos%2Fwoscc%2Ffull-record%2FWOS:000452934700015","View Full Record in Web of Science")</f>
        <v>View Full Record in Web of Science</v>
      </c>
    </row>
    <row r="621" spans="1:72" x14ac:dyDescent="0.15">
      <c r="A621" t="s">
        <v>72</v>
      </c>
      <c r="B621" t="s">
        <v>12082</v>
      </c>
      <c r="C621" t="s">
        <v>74</v>
      </c>
      <c r="D621" t="s">
        <v>74</v>
      </c>
      <c r="E621" t="s">
        <v>74</v>
      </c>
      <c r="F621" t="s">
        <v>12083</v>
      </c>
      <c r="G621" t="s">
        <v>74</v>
      </c>
      <c r="H621" t="s">
        <v>74</v>
      </c>
      <c r="I621" t="s">
        <v>12084</v>
      </c>
      <c r="J621" t="s">
        <v>12085</v>
      </c>
      <c r="K621" t="s">
        <v>74</v>
      </c>
      <c r="L621" t="s">
        <v>74</v>
      </c>
      <c r="M621" t="s">
        <v>78</v>
      </c>
      <c r="N621" t="s">
        <v>79</v>
      </c>
      <c r="O621" t="s">
        <v>74</v>
      </c>
      <c r="P621" t="s">
        <v>74</v>
      </c>
      <c r="Q621" t="s">
        <v>74</v>
      </c>
      <c r="R621" t="s">
        <v>74</v>
      </c>
      <c r="S621" t="s">
        <v>74</v>
      </c>
      <c r="T621" t="s">
        <v>12086</v>
      </c>
      <c r="U621" t="s">
        <v>12087</v>
      </c>
      <c r="V621" t="s">
        <v>12088</v>
      </c>
      <c r="W621" t="s">
        <v>12089</v>
      </c>
      <c r="X621" t="s">
        <v>12090</v>
      </c>
      <c r="Y621" t="s">
        <v>12091</v>
      </c>
      <c r="Z621" t="s">
        <v>12092</v>
      </c>
      <c r="AA621" t="s">
        <v>12093</v>
      </c>
      <c r="AB621" t="s">
        <v>12094</v>
      </c>
      <c r="AC621" t="s">
        <v>12095</v>
      </c>
      <c r="AD621" t="s">
        <v>12095</v>
      </c>
      <c r="AE621" t="s">
        <v>12096</v>
      </c>
      <c r="AF621" t="s">
        <v>74</v>
      </c>
      <c r="AG621">
        <v>28</v>
      </c>
      <c r="AH621">
        <v>8</v>
      </c>
      <c r="AI621">
        <v>9</v>
      </c>
      <c r="AJ621">
        <v>1</v>
      </c>
      <c r="AK621">
        <v>8</v>
      </c>
      <c r="AL621" t="s">
        <v>6139</v>
      </c>
      <c r="AM621" t="s">
        <v>3353</v>
      </c>
      <c r="AN621" t="s">
        <v>6140</v>
      </c>
      <c r="AO621" t="s">
        <v>12097</v>
      </c>
      <c r="AP621" t="s">
        <v>12098</v>
      </c>
      <c r="AQ621" t="s">
        <v>74</v>
      </c>
      <c r="AR621" t="s">
        <v>12099</v>
      </c>
      <c r="AS621" t="s">
        <v>12100</v>
      </c>
      <c r="AT621" t="s">
        <v>9222</v>
      </c>
      <c r="AU621">
        <v>2018</v>
      </c>
      <c r="AV621">
        <v>121</v>
      </c>
      <c r="AW621" t="s">
        <v>74</v>
      </c>
      <c r="AX621" t="s">
        <v>74</v>
      </c>
      <c r="AY621" t="s">
        <v>74</v>
      </c>
      <c r="AZ621" t="s">
        <v>74</v>
      </c>
      <c r="BA621" t="s">
        <v>74</v>
      </c>
      <c r="BB621">
        <v>18</v>
      </c>
      <c r="BC621">
        <v>22</v>
      </c>
      <c r="BD621" t="s">
        <v>74</v>
      </c>
      <c r="BE621" t="s">
        <v>12101</v>
      </c>
      <c r="BF621" t="str">
        <f>HYPERLINK("http://dx.doi.org/10.1016/j.rvsc.2018.10.002","http://dx.doi.org/10.1016/j.rvsc.2018.10.002")</f>
        <v>http://dx.doi.org/10.1016/j.rvsc.2018.10.002</v>
      </c>
      <c r="BG621" t="s">
        <v>74</v>
      </c>
      <c r="BH621" t="s">
        <v>74</v>
      </c>
      <c r="BI621">
        <v>5</v>
      </c>
      <c r="BJ621" t="s">
        <v>12102</v>
      </c>
      <c r="BK621" t="s">
        <v>101</v>
      </c>
      <c r="BL621" t="s">
        <v>12102</v>
      </c>
      <c r="BM621" t="s">
        <v>12103</v>
      </c>
      <c r="BN621">
        <v>30312832</v>
      </c>
      <c r="BO621" t="s">
        <v>2948</v>
      </c>
      <c r="BP621" t="s">
        <v>74</v>
      </c>
      <c r="BQ621" t="s">
        <v>74</v>
      </c>
      <c r="BR621" t="s">
        <v>104</v>
      </c>
      <c r="BS621" t="s">
        <v>12104</v>
      </c>
      <c r="BT621" t="str">
        <f>HYPERLINK("https%3A%2F%2Fwww.webofscience.com%2Fwos%2Fwoscc%2Ffull-record%2FWOS:000451937600004","View Full Record in Web of Science")</f>
        <v>View Full Record in Web of Science</v>
      </c>
    </row>
    <row r="622" spans="1:72" x14ac:dyDescent="0.15">
      <c r="A622" t="s">
        <v>72</v>
      </c>
      <c r="B622" t="s">
        <v>12105</v>
      </c>
      <c r="C622" t="s">
        <v>74</v>
      </c>
      <c r="D622" t="s">
        <v>74</v>
      </c>
      <c r="E622" t="s">
        <v>74</v>
      </c>
      <c r="F622" t="s">
        <v>12106</v>
      </c>
      <c r="G622" t="s">
        <v>74</v>
      </c>
      <c r="H622" t="s">
        <v>74</v>
      </c>
      <c r="I622" t="s">
        <v>12107</v>
      </c>
      <c r="J622" t="s">
        <v>12108</v>
      </c>
      <c r="K622" t="s">
        <v>74</v>
      </c>
      <c r="L622" t="s">
        <v>74</v>
      </c>
      <c r="M622" t="s">
        <v>78</v>
      </c>
      <c r="N622" t="s">
        <v>79</v>
      </c>
      <c r="O622" t="s">
        <v>74</v>
      </c>
      <c r="P622" t="s">
        <v>74</v>
      </c>
      <c r="Q622" t="s">
        <v>74</v>
      </c>
      <c r="R622" t="s">
        <v>74</v>
      </c>
      <c r="S622" t="s">
        <v>74</v>
      </c>
      <c r="T622" t="s">
        <v>12109</v>
      </c>
      <c r="U622" t="s">
        <v>12110</v>
      </c>
      <c r="V622" t="s">
        <v>12111</v>
      </c>
      <c r="W622" t="s">
        <v>12112</v>
      </c>
      <c r="X622" t="s">
        <v>12113</v>
      </c>
      <c r="Y622" t="s">
        <v>12114</v>
      </c>
      <c r="Z622" t="s">
        <v>12115</v>
      </c>
      <c r="AA622" t="s">
        <v>12116</v>
      </c>
      <c r="AB622" t="s">
        <v>12117</v>
      </c>
      <c r="AC622" t="s">
        <v>12118</v>
      </c>
      <c r="AD622" t="s">
        <v>12119</v>
      </c>
      <c r="AE622" t="s">
        <v>12120</v>
      </c>
      <c r="AF622" t="s">
        <v>74</v>
      </c>
      <c r="AG622">
        <v>98</v>
      </c>
      <c r="AH622">
        <v>10</v>
      </c>
      <c r="AI622">
        <v>11</v>
      </c>
      <c r="AJ622">
        <v>1</v>
      </c>
      <c r="AK622">
        <v>14</v>
      </c>
      <c r="AL622" t="s">
        <v>1079</v>
      </c>
      <c r="AM622" t="s">
        <v>4862</v>
      </c>
      <c r="AN622" t="s">
        <v>4863</v>
      </c>
      <c r="AO622" t="s">
        <v>12121</v>
      </c>
      <c r="AP622" t="s">
        <v>12122</v>
      </c>
      <c r="AQ622" t="s">
        <v>74</v>
      </c>
      <c r="AR622" t="s">
        <v>12123</v>
      </c>
      <c r="AS622" t="s">
        <v>12124</v>
      </c>
      <c r="AT622" t="s">
        <v>9222</v>
      </c>
      <c r="AU622">
        <v>2018</v>
      </c>
      <c r="AV622">
        <v>28</v>
      </c>
      <c r="AW622">
        <v>4</v>
      </c>
      <c r="AX622" t="s">
        <v>74</v>
      </c>
      <c r="AY622" t="s">
        <v>74</v>
      </c>
      <c r="AZ622" t="s">
        <v>74</v>
      </c>
      <c r="BA622" t="s">
        <v>74</v>
      </c>
      <c r="BB622">
        <v>925</v>
      </c>
      <c r="BC622">
        <v>940</v>
      </c>
      <c r="BD622" t="s">
        <v>74</v>
      </c>
      <c r="BE622" t="s">
        <v>12125</v>
      </c>
      <c r="BF622" t="str">
        <f>HYPERLINK("http://dx.doi.org/10.1007/s11160-018-9535-0","http://dx.doi.org/10.1007/s11160-018-9535-0")</f>
        <v>http://dx.doi.org/10.1007/s11160-018-9535-0</v>
      </c>
      <c r="BG622" t="s">
        <v>74</v>
      </c>
      <c r="BH622" t="s">
        <v>74</v>
      </c>
      <c r="BI622">
        <v>16</v>
      </c>
      <c r="BJ622" t="s">
        <v>12126</v>
      </c>
      <c r="BK622" t="s">
        <v>101</v>
      </c>
      <c r="BL622" t="s">
        <v>12126</v>
      </c>
      <c r="BM622" t="s">
        <v>12127</v>
      </c>
      <c r="BN622" t="s">
        <v>74</v>
      </c>
      <c r="BO622" t="s">
        <v>74</v>
      </c>
      <c r="BP622" t="s">
        <v>74</v>
      </c>
      <c r="BQ622" t="s">
        <v>74</v>
      </c>
      <c r="BR622" t="s">
        <v>104</v>
      </c>
      <c r="BS622" t="s">
        <v>12128</v>
      </c>
      <c r="BT622" t="str">
        <f>HYPERLINK("https%3A%2F%2Fwww.webofscience.com%2Fwos%2Fwoscc%2Ffull-record%2FWOS:000451724000012","View Full Record in Web of Science")</f>
        <v>View Full Record in Web of Science</v>
      </c>
    </row>
    <row r="623" spans="1:72" x14ac:dyDescent="0.15">
      <c r="A623" t="s">
        <v>72</v>
      </c>
      <c r="B623" t="s">
        <v>12129</v>
      </c>
      <c r="C623" t="s">
        <v>74</v>
      </c>
      <c r="D623" t="s">
        <v>74</v>
      </c>
      <c r="E623" t="s">
        <v>74</v>
      </c>
      <c r="F623" t="s">
        <v>12130</v>
      </c>
      <c r="G623" t="s">
        <v>74</v>
      </c>
      <c r="H623" t="s">
        <v>74</v>
      </c>
      <c r="I623" t="s">
        <v>12131</v>
      </c>
      <c r="J623" t="s">
        <v>12132</v>
      </c>
      <c r="K623" t="s">
        <v>74</v>
      </c>
      <c r="L623" t="s">
        <v>74</v>
      </c>
      <c r="M623" t="s">
        <v>78</v>
      </c>
      <c r="N623" t="s">
        <v>1003</v>
      </c>
      <c r="O623" t="s">
        <v>74</v>
      </c>
      <c r="P623" t="s">
        <v>74</v>
      </c>
      <c r="Q623" t="s">
        <v>74</v>
      </c>
      <c r="R623" t="s">
        <v>74</v>
      </c>
      <c r="S623" t="s">
        <v>74</v>
      </c>
      <c r="T623" t="s">
        <v>12133</v>
      </c>
      <c r="U623" t="s">
        <v>12134</v>
      </c>
      <c r="V623" t="s">
        <v>12135</v>
      </c>
      <c r="W623" t="s">
        <v>12136</v>
      </c>
      <c r="X623" t="s">
        <v>12137</v>
      </c>
      <c r="Y623" t="s">
        <v>12138</v>
      </c>
      <c r="Z623" t="s">
        <v>12139</v>
      </c>
      <c r="AA623" t="s">
        <v>74</v>
      </c>
      <c r="AB623" t="s">
        <v>74</v>
      </c>
      <c r="AC623" t="s">
        <v>12140</v>
      </c>
      <c r="AD623" t="s">
        <v>12141</v>
      </c>
      <c r="AE623" t="s">
        <v>12142</v>
      </c>
      <c r="AF623" t="s">
        <v>74</v>
      </c>
      <c r="AG623">
        <v>70</v>
      </c>
      <c r="AH623">
        <v>24</v>
      </c>
      <c r="AI623">
        <v>26</v>
      </c>
      <c r="AJ623">
        <v>3</v>
      </c>
      <c r="AK623">
        <v>75</v>
      </c>
      <c r="AL623" t="s">
        <v>7701</v>
      </c>
      <c r="AM623" t="s">
        <v>3008</v>
      </c>
      <c r="AN623" t="s">
        <v>7702</v>
      </c>
      <c r="AO623" t="s">
        <v>12143</v>
      </c>
      <c r="AP623" t="s">
        <v>74</v>
      </c>
      <c r="AQ623" t="s">
        <v>74</v>
      </c>
      <c r="AR623" t="s">
        <v>12144</v>
      </c>
      <c r="AS623" t="s">
        <v>12145</v>
      </c>
      <c r="AT623" t="s">
        <v>9222</v>
      </c>
      <c r="AU623">
        <v>2018</v>
      </c>
      <c r="AV623">
        <v>84</v>
      </c>
      <c r="AW623" t="s">
        <v>74</v>
      </c>
      <c r="AX623" t="s">
        <v>74</v>
      </c>
      <c r="AY623" t="s">
        <v>74</v>
      </c>
      <c r="AZ623" t="s">
        <v>74</v>
      </c>
      <c r="BA623" t="s">
        <v>74</v>
      </c>
      <c r="BB623">
        <v>129</v>
      </c>
      <c r="BC623">
        <v>137</v>
      </c>
      <c r="BD623" t="s">
        <v>74</v>
      </c>
      <c r="BE623" t="s">
        <v>12146</v>
      </c>
      <c r="BF623" t="str">
        <f>HYPERLINK("http://dx.doi.org/10.1016/j.semcdb.2017.09.003","http://dx.doi.org/10.1016/j.semcdb.2017.09.003")</f>
        <v>http://dx.doi.org/10.1016/j.semcdb.2017.09.003</v>
      </c>
      <c r="BG623" t="s">
        <v>74</v>
      </c>
      <c r="BH623" t="s">
        <v>74</v>
      </c>
      <c r="BI623">
        <v>9</v>
      </c>
      <c r="BJ623" t="s">
        <v>12147</v>
      </c>
      <c r="BK623" t="s">
        <v>101</v>
      </c>
      <c r="BL623" t="s">
        <v>12147</v>
      </c>
      <c r="BM623" t="s">
        <v>12148</v>
      </c>
      <c r="BN623">
        <v>28941878</v>
      </c>
      <c r="BO623" t="s">
        <v>1089</v>
      </c>
      <c r="BP623" t="s">
        <v>74</v>
      </c>
      <c r="BQ623" t="s">
        <v>74</v>
      </c>
      <c r="BR623" t="s">
        <v>104</v>
      </c>
      <c r="BS623" t="s">
        <v>12149</v>
      </c>
      <c r="BT623" t="str">
        <f>HYPERLINK("https%3A%2F%2Fwww.webofscience.com%2Fwos%2Fwoscc%2Ffull-record%2FWOS:000450309000017","View Full Record in Web of Science")</f>
        <v>View Full Record in Web of Science</v>
      </c>
    </row>
    <row r="624" spans="1:72" x14ac:dyDescent="0.15">
      <c r="A624" t="s">
        <v>72</v>
      </c>
      <c r="B624" t="s">
        <v>12150</v>
      </c>
      <c r="C624" t="s">
        <v>74</v>
      </c>
      <c r="D624" t="s">
        <v>74</v>
      </c>
      <c r="E624" t="s">
        <v>74</v>
      </c>
      <c r="F624" t="s">
        <v>12151</v>
      </c>
      <c r="G624" t="s">
        <v>74</v>
      </c>
      <c r="H624" t="s">
        <v>74</v>
      </c>
      <c r="I624" t="s">
        <v>12152</v>
      </c>
      <c r="J624" t="s">
        <v>12153</v>
      </c>
      <c r="K624" t="s">
        <v>74</v>
      </c>
      <c r="L624" t="s">
        <v>74</v>
      </c>
      <c r="M624" t="s">
        <v>78</v>
      </c>
      <c r="N624" t="s">
        <v>5330</v>
      </c>
      <c r="O624" t="s">
        <v>12154</v>
      </c>
      <c r="P624" t="s">
        <v>12155</v>
      </c>
      <c r="Q624" t="s">
        <v>12156</v>
      </c>
      <c r="R624" t="s">
        <v>74</v>
      </c>
      <c r="S624" t="s">
        <v>12157</v>
      </c>
      <c r="T624" t="s">
        <v>12158</v>
      </c>
      <c r="U624" t="s">
        <v>12159</v>
      </c>
      <c r="V624" t="s">
        <v>12160</v>
      </c>
      <c r="W624" t="s">
        <v>12161</v>
      </c>
      <c r="X624" t="s">
        <v>12162</v>
      </c>
      <c r="Y624" t="s">
        <v>12163</v>
      </c>
      <c r="Z624" t="s">
        <v>12164</v>
      </c>
      <c r="AA624" t="s">
        <v>12165</v>
      </c>
      <c r="AB624" t="s">
        <v>12166</v>
      </c>
      <c r="AC624" t="s">
        <v>12167</v>
      </c>
      <c r="AD624" t="s">
        <v>12168</v>
      </c>
      <c r="AE624" t="s">
        <v>12169</v>
      </c>
      <c r="AF624" t="s">
        <v>74</v>
      </c>
      <c r="AG624">
        <v>50</v>
      </c>
      <c r="AH624">
        <v>17</v>
      </c>
      <c r="AI624">
        <v>18</v>
      </c>
      <c r="AJ624">
        <v>1</v>
      </c>
      <c r="AK624">
        <v>20</v>
      </c>
      <c r="AL624" t="s">
        <v>6139</v>
      </c>
      <c r="AM624" t="s">
        <v>3353</v>
      </c>
      <c r="AN624" t="s">
        <v>6140</v>
      </c>
      <c r="AO624" t="s">
        <v>12170</v>
      </c>
      <c r="AP624" t="s">
        <v>74</v>
      </c>
      <c r="AQ624" t="s">
        <v>74</v>
      </c>
      <c r="AR624" t="s">
        <v>12171</v>
      </c>
      <c r="AS624" t="s">
        <v>12172</v>
      </c>
      <c r="AT624" t="s">
        <v>9222</v>
      </c>
      <c r="AU624">
        <v>2018</v>
      </c>
      <c r="AV624">
        <v>28</v>
      </c>
      <c r="AW624" t="s">
        <v>74</v>
      </c>
      <c r="AX624" t="s">
        <v>74</v>
      </c>
      <c r="AY624" t="s">
        <v>74</v>
      </c>
      <c r="AZ624" t="s">
        <v>74</v>
      </c>
      <c r="BA624" t="s">
        <v>74</v>
      </c>
      <c r="BB624">
        <v>141</v>
      </c>
      <c r="BC624">
        <v>168</v>
      </c>
      <c r="BD624" t="s">
        <v>74</v>
      </c>
      <c r="BE624" t="s">
        <v>12173</v>
      </c>
      <c r="BF624" t="str">
        <f>HYPERLINK("http://dx.doi.org/10.1016/j.spasta.2018.04.005","http://dx.doi.org/10.1016/j.spasta.2018.04.005")</f>
        <v>http://dx.doi.org/10.1016/j.spasta.2018.04.005</v>
      </c>
      <c r="BG624" t="s">
        <v>74</v>
      </c>
      <c r="BH624" t="s">
        <v>74</v>
      </c>
      <c r="BI624">
        <v>28</v>
      </c>
      <c r="BJ624" t="s">
        <v>12174</v>
      </c>
      <c r="BK624" t="s">
        <v>5354</v>
      </c>
      <c r="BL624" t="s">
        <v>12175</v>
      </c>
      <c r="BM624" t="s">
        <v>12176</v>
      </c>
      <c r="BN624" t="s">
        <v>74</v>
      </c>
      <c r="BO624" t="s">
        <v>404</v>
      </c>
      <c r="BP624" t="s">
        <v>74</v>
      </c>
      <c r="BQ624" t="s">
        <v>74</v>
      </c>
      <c r="BR624" t="s">
        <v>104</v>
      </c>
      <c r="BS624" t="s">
        <v>12177</v>
      </c>
      <c r="BT624" t="str">
        <f>HYPERLINK("https%3A%2F%2Fwww.webofscience.com%2Fwos%2Fwoscc%2Ffull-record%2FWOS:000451116200011","View Full Record in Web of Science")</f>
        <v>View Full Record in Web of Science</v>
      </c>
    </row>
    <row r="625" spans="1:72" x14ac:dyDescent="0.15">
      <c r="A625" t="s">
        <v>72</v>
      </c>
      <c r="B625" t="s">
        <v>12178</v>
      </c>
      <c r="C625" t="s">
        <v>74</v>
      </c>
      <c r="D625" t="s">
        <v>74</v>
      </c>
      <c r="E625" t="s">
        <v>74</v>
      </c>
      <c r="F625" t="s">
        <v>12179</v>
      </c>
      <c r="G625" t="s">
        <v>74</v>
      </c>
      <c r="H625" t="s">
        <v>74</v>
      </c>
      <c r="I625" t="s">
        <v>12180</v>
      </c>
      <c r="J625" t="s">
        <v>12181</v>
      </c>
      <c r="K625" t="s">
        <v>74</v>
      </c>
      <c r="L625" t="s">
        <v>74</v>
      </c>
      <c r="M625" t="s">
        <v>78</v>
      </c>
      <c r="N625" t="s">
        <v>79</v>
      </c>
      <c r="O625" t="s">
        <v>74</v>
      </c>
      <c r="P625" t="s">
        <v>74</v>
      </c>
      <c r="Q625" t="s">
        <v>74</v>
      </c>
      <c r="R625" t="s">
        <v>74</v>
      </c>
      <c r="S625" t="s">
        <v>74</v>
      </c>
      <c r="T625" t="s">
        <v>12182</v>
      </c>
      <c r="U625" t="s">
        <v>12183</v>
      </c>
      <c r="V625" t="s">
        <v>12184</v>
      </c>
      <c r="W625" t="s">
        <v>12185</v>
      </c>
      <c r="X625" t="s">
        <v>12186</v>
      </c>
      <c r="Y625" t="s">
        <v>12187</v>
      </c>
      <c r="Z625" t="s">
        <v>12188</v>
      </c>
      <c r="AA625" t="s">
        <v>12189</v>
      </c>
      <c r="AB625" t="s">
        <v>12190</v>
      </c>
      <c r="AC625" t="s">
        <v>12191</v>
      </c>
      <c r="AD625" t="s">
        <v>12192</v>
      </c>
      <c r="AE625" t="s">
        <v>12193</v>
      </c>
      <c r="AF625" t="s">
        <v>74</v>
      </c>
      <c r="AG625">
        <v>77</v>
      </c>
      <c r="AH625">
        <v>7</v>
      </c>
      <c r="AI625">
        <v>7</v>
      </c>
      <c r="AJ625">
        <v>2</v>
      </c>
      <c r="AK625">
        <v>14</v>
      </c>
      <c r="AL625" t="s">
        <v>1203</v>
      </c>
      <c r="AM625" t="s">
        <v>1204</v>
      </c>
      <c r="AN625" t="s">
        <v>1205</v>
      </c>
      <c r="AO625" t="s">
        <v>12194</v>
      </c>
      <c r="AP625" t="s">
        <v>12195</v>
      </c>
      <c r="AQ625" t="s">
        <v>74</v>
      </c>
      <c r="AR625" t="s">
        <v>12196</v>
      </c>
      <c r="AS625" t="s">
        <v>12197</v>
      </c>
      <c r="AT625" t="s">
        <v>9222</v>
      </c>
      <c r="AU625">
        <v>2018</v>
      </c>
      <c r="AV625">
        <v>229</v>
      </c>
      <c r="AW625">
        <v>12</v>
      </c>
      <c r="AX625" t="s">
        <v>74</v>
      </c>
      <c r="AY625" t="s">
        <v>74</v>
      </c>
      <c r="AZ625" t="s">
        <v>74</v>
      </c>
      <c r="BA625" t="s">
        <v>74</v>
      </c>
      <c r="BB625" t="s">
        <v>74</v>
      </c>
      <c r="BC625" t="s">
        <v>74</v>
      </c>
      <c r="BD625">
        <v>390</v>
      </c>
      <c r="BE625" t="s">
        <v>12198</v>
      </c>
      <c r="BF625" t="str">
        <f>HYPERLINK("http://dx.doi.org/10.1007/s11270-018-4042-4","http://dx.doi.org/10.1007/s11270-018-4042-4")</f>
        <v>http://dx.doi.org/10.1007/s11270-018-4042-4</v>
      </c>
      <c r="BG625" t="s">
        <v>74</v>
      </c>
      <c r="BH625" t="s">
        <v>74</v>
      </c>
      <c r="BI625">
        <v>13</v>
      </c>
      <c r="BJ625" t="s">
        <v>12199</v>
      </c>
      <c r="BK625" t="s">
        <v>101</v>
      </c>
      <c r="BL625" t="s">
        <v>12200</v>
      </c>
      <c r="BM625" t="s">
        <v>12201</v>
      </c>
      <c r="BN625" t="s">
        <v>74</v>
      </c>
      <c r="BO625" t="s">
        <v>74</v>
      </c>
      <c r="BP625" t="s">
        <v>74</v>
      </c>
      <c r="BQ625" t="s">
        <v>74</v>
      </c>
      <c r="BR625" t="s">
        <v>104</v>
      </c>
      <c r="BS625" t="s">
        <v>12202</v>
      </c>
      <c r="BT625" t="str">
        <f>HYPERLINK("https%3A%2F%2Fwww.webofscience.com%2Fwos%2Fwoscc%2Ffull-record%2FWOS:000451067200003","View Full Record in Web of Science")</f>
        <v>View Full Record in Web of Science</v>
      </c>
    </row>
    <row r="626" spans="1:72" x14ac:dyDescent="0.15">
      <c r="A626" t="s">
        <v>72</v>
      </c>
      <c r="B626" t="s">
        <v>12203</v>
      </c>
      <c r="C626" t="s">
        <v>74</v>
      </c>
      <c r="D626" t="s">
        <v>74</v>
      </c>
      <c r="E626" t="s">
        <v>74</v>
      </c>
      <c r="F626" t="s">
        <v>12204</v>
      </c>
      <c r="G626" t="s">
        <v>74</v>
      </c>
      <c r="H626" t="s">
        <v>74</v>
      </c>
      <c r="I626" t="s">
        <v>12205</v>
      </c>
      <c r="J626" t="s">
        <v>12206</v>
      </c>
      <c r="K626" t="s">
        <v>74</v>
      </c>
      <c r="L626" t="s">
        <v>74</v>
      </c>
      <c r="M626" t="s">
        <v>78</v>
      </c>
      <c r="N626" t="s">
        <v>79</v>
      </c>
      <c r="O626" t="s">
        <v>74</v>
      </c>
      <c r="P626" t="s">
        <v>74</v>
      </c>
      <c r="Q626" t="s">
        <v>74</v>
      </c>
      <c r="R626" t="s">
        <v>74</v>
      </c>
      <c r="S626" t="s">
        <v>74</v>
      </c>
      <c r="T626" t="s">
        <v>74</v>
      </c>
      <c r="U626" t="s">
        <v>12207</v>
      </c>
      <c r="V626" t="s">
        <v>12208</v>
      </c>
      <c r="W626" t="s">
        <v>12209</v>
      </c>
      <c r="X626" t="s">
        <v>12210</v>
      </c>
      <c r="Y626" t="s">
        <v>12211</v>
      </c>
      <c r="Z626" t="s">
        <v>12212</v>
      </c>
      <c r="AA626" t="s">
        <v>12213</v>
      </c>
      <c r="AB626" t="s">
        <v>12214</v>
      </c>
      <c r="AC626" t="s">
        <v>12215</v>
      </c>
      <c r="AD626" t="s">
        <v>12216</v>
      </c>
      <c r="AE626" t="s">
        <v>12217</v>
      </c>
      <c r="AF626" t="s">
        <v>74</v>
      </c>
      <c r="AG626">
        <v>33</v>
      </c>
      <c r="AH626">
        <v>1</v>
      </c>
      <c r="AI626">
        <v>1</v>
      </c>
      <c r="AJ626">
        <v>0</v>
      </c>
      <c r="AK626">
        <v>12</v>
      </c>
      <c r="AL626" t="s">
        <v>3670</v>
      </c>
      <c r="AM626" t="s">
        <v>3671</v>
      </c>
      <c r="AN626" t="s">
        <v>3672</v>
      </c>
      <c r="AO626" t="s">
        <v>12218</v>
      </c>
      <c r="AP626" t="s">
        <v>12219</v>
      </c>
      <c r="AQ626" t="s">
        <v>74</v>
      </c>
      <c r="AR626" t="s">
        <v>12206</v>
      </c>
      <c r="AS626" t="s">
        <v>12220</v>
      </c>
      <c r="AT626" t="s">
        <v>9222</v>
      </c>
      <c r="AU626">
        <v>2018</v>
      </c>
      <c r="AV626">
        <v>73</v>
      </c>
      <c r="AW626">
        <v>12</v>
      </c>
      <c r="AX626" t="s">
        <v>74</v>
      </c>
      <c r="AY626" t="s">
        <v>74</v>
      </c>
      <c r="AZ626" t="s">
        <v>74</v>
      </c>
      <c r="BA626" t="s">
        <v>74</v>
      </c>
      <c r="BB626">
        <v>382</v>
      </c>
      <c r="BC626">
        <v>390</v>
      </c>
      <c r="BD626" t="s">
        <v>74</v>
      </c>
      <c r="BE626" t="s">
        <v>74</v>
      </c>
      <c r="BF626" t="s">
        <v>74</v>
      </c>
      <c r="BG626" t="s">
        <v>74</v>
      </c>
      <c r="BH626" t="s">
        <v>74</v>
      </c>
      <c r="BI626">
        <v>9</v>
      </c>
      <c r="BJ626" t="s">
        <v>3037</v>
      </c>
      <c r="BK626" t="s">
        <v>101</v>
      </c>
      <c r="BL626" t="s">
        <v>3037</v>
      </c>
      <c r="BM626" t="s">
        <v>12221</v>
      </c>
      <c r="BN626" t="s">
        <v>74</v>
      </c>
      <c r="BO626" t="s">
        <v>74</v>
      </c>
      <c r="BP626" t="s">
        <v>74</v>
      </c>
      <c r="BQ626" t="s">
        <v>74</v>
      </c>
      <c r="BR626" t="s">
        <v>104</v>
      </c>
      <c r="BS626" t="s">
        <v>12222</v>
      </c>
      <c r="BT626" t="str">
        <f>HYPERLINK("https%3A%2F%2Fwww.webofscience.com%2Fwos%2Fwoscc%2Ffull-record%2FWOS:000452303800007","View Full Record in Web of Science")</f>
        <v>View Full Record in Web of Science</v>
      </c>
    </row>
    <row r="627" spans="1:72" x14ac:dyDescent="0.15">
      <c r="A627" t="s">
        <v>72</v>
      </c>
      <c r="B627" t="s">
        <v>12223</v>
      </c>
      <c r="C627" t="s">
        <v>74</v>
      </c>
      <c r="D627" t="s">
        <v>74</v>
      </c>
      <c r="E627" t="s">
        <v>74</v>
      </c>
      <c r="F627" t="s">
        <v>12224</v>
      </c>
      <c r="G627" t="s">
        <v>74</v>
      </c>
      <c r="H627" t="s">
        <v>74</v>
      </c>
      <c r="I627" t="s">
        <v>12225</v>
      </c>
      <c r="J627" t="s">
        <v>12226</v>
      </c>
      <c r="K627" t="s">
        <v>74</v>
      </c>
      <c r="L627" t="s">
        <v>74</v>
      </c>
      <c r="M627" t="s">
        <v>78</v>
      </c>
      <c r="N627" t="s">
        <v>79</v>
      </c>
      <c r="O627" t="s">
        <v>74</v>
      </c>
      <c r="P627" t="s">
        <v>74</v>
      </c>
      <c r="Q627" t="s">
        <v>74</v>
      </c>
      <c r="R627" t="s">
        <v>74</v>
      </c>
      <c r="S627" t="s">
        <v>74</v>
      </c>
      <c r="T627" t="s">
        <v>12227</v>
      </c>
      <c r="U627" t="s">
        <v>12228</v>
      </c>
      <c r="V627" t="s">
        <v>12229</v>
      </c>
      <c r="W627" t="s">
        <v>12230</v>
      </c>
      <c r="X627" t="s">
        <v>12231</v>
      </c>
      <c r="Y627" t="s">
        <v>12232</v>
      </c>
      <c r="Z627" t="s">
        <v>12233</v>
      </c>
      <c r="AA627" t="s">
        <v>74</v>
      </c>
      <c r="AB627" t="s">
        <v>12234</v>
      </c>
      <c r="AC627" t="s">
        <v>12235</v>
      </c>
      <c r="AD627" t="s">
        <v>12235</v>
      </c>
      <c r="AE627" t="s">
        <v>12236</v>
      </c>
      <c r="AF627" t="s">
        <v>74</v>
      </c>
      <c r="AG627">
        <v>66</v>
      </c>
      <c r="AH627">
        <v>2</v>
      </c>
      <c r="AI627">
        <v>3</v>
      </c>
      <c r="AJ627">
        <v>5</v>
      </c>
      <c r="AK627">
        <v>38</v>
      </c>
      <c r="AL627" t="s">
        <v>1079</v>
      </c>
      <c r="AM627" t="s">
        <v>4862</v>
      </c>
      <c r="AN627" t="s">
        <v>4863</v>
      </c>
      <c r="AO627" t="s">
        <v>12237</v>
      </c>
      <c r="AP627" t="s">
        <v>12238</v>
      </c>
      <c r="AQ627" t="s">
        <v>74</v>
      </c>
      <c r="AR627" t="s">
        <v>12239</v>
      </c>
      <c r="AS627" t="s">
        <v>12240</v>
      </c>
      <c r="AT627" t="s">
        <v>9222</v>
      </c>
      <c r="AU627">
        <v>2018</v>
      </c>
      <c r="AV627">
        <v>18</v>
      </c>
      <c r="AW627">
        <v>6</v>
      </c>
      <c r="AX627" t="s">
        <v>74</v>
      </c>
      <c r="AY627" t="s">
        <v>74</v>
      </c>
      <c r="AZ627" t="s">
        <v>74</v>
      </c>
      <c r="BA627" t="s">
        <v>74</v>
      </c>
      <c r="BB627">
        <v>861</v>
      </c>
      <c r="BC627">
        <v>874</v>
      </c>
      <c r="BD627" t="s">
        <v>74</v>
      </c>
      <c r="BE627" t="s">
        <v>12241</v>
      </c>
      <c r="BF627" t="str">
        <f>HYPERLINK("http://dx.doi.org/10.1007/s10784-018-9419-8","http://dx.doi.org/10.1007/s10784-018-9419-8")</f>
        <v>http://dx.doi.org/10.1007/s10784-018-9419-8</v>
      </c>
      <c r="BG627" t="s">
        <v>74</v>
      </c>
      <c r="BH627" t="s">
        <v>74</v>
      </c>
      <c r="BI627">
        <v>14</v>
      </c>
      <c r="BJ627" t="s">
        <v>12242</v>
      </c>
      <c r="BK627" t="s">
        <v>10505</v>
      </c>
      <c r="BL627" t="s">
        <v>12243</v>
      </c>
      <c r="BM627" t="s">
        <v>12244</v>
      </c>
      <c r="BN627" t="s">
        <v>74</v>
      </c>
      <c r="BO627" t="s">
        <v>1089</v>
      </c>
      <c r="BP627" t="s">
        <v>74</v>
      </c>
      <c r="BQ627" t="s">
        <v>74</v>
      </c>
      <c r="BR627" t="s">
        <v>104</v>
      </c>
      <c r="BS627" t="s">
        <v>12245</v>
      </c>
      <c r="BT627" t="str">
        <f>HYPERLINK("https%3A%2F%2Fwww.webofscience.com%2Fwos%2Fwoscc%2Ffull-record%2FWOS:000450458600006","View Full Record in Web of Science")</f>
        <v>View Full Record in Web of Science</v>
      </c>
    </row>
    <row r="628" spans="1:72" x14ac:dyDescent="0.15">
      <c r="A628" t="s">
        <v>72</v>
      </c>
      <c r="B628" t="s">
        <v>12246</v>
      </c>
      <c r="C628" t="s">
        <v>74</v>
      </c>
      <c r="D628" t="s">
        <v>74</v>
      </c>
      <c r="E628" t="s">
        <v>74</v>
      </c>
      <c r="F628" t="s">
        <v>12247</v>
      </c>
      <c r="G628" t="s">
        <v>74</v>
      </c>
      <c r="H628" t="s">
        <v>74</v>
      </c>
      <c r="I628" t="s">
        <v>12248</v>
      </c>
      <c r="J628" t="s">
        <v>10246</v>
      </c>
      <c r="K628" t="s">
        <v>74</v>
      </c>
      <c r="L628" t="s">
        <v>74</v>
      </c>
      <c r="M628" t="s">
        <v>78</v>
      </c>
      <c r="N628" t="s">
        <v>12249</v>
      </c>
      <c r="O628" t="s">
        <v>74</v>
      </c>
      <c r="P628" t="s">
        <v>74</v>
      </c>
      <c r="Q628" t="s">
        <v>74</v>
      </c>
      <c r="R628" t="s">
        <v>74</v>
      </c>
      <c r="S628" t="s">
        <v>74</v>
      </c>
      <c r="T628" t="s">
        <v>74</v>
      </c>
      <c r="U628" t="s">
        <v>74</v>
      </c>
      <c r="V628" t="s">
        <v>74</v>
      </c>
      <c r="W628" t="s">
        <v>74</v>
      </c>
      <c r="X628" t="s">
        <v>74</v>
      </c>
      <c r="Y628" t="s">
        <v>74</v>
      </c>
      <c r="Z628" t="s">
        <v>74</v>
      </c>
      <c r="AA628" t="s">
        <v>74</v>
      </c>
      <c r="AB628" t="s">
        <v>74</v>
      </c>
      <c r="AC628" t="s">
        <v>74</v>
      </c>
      <c r="AD628" t="s">
        <v>74</v>
      </c>
      <c r="AE628" t="s">
        <v>74</v>
      </c>
      <c r="AF628" t="s">
        <v>74</v>
      </c>
      <c r="AG628">
        <v>0</v>
      </c>
      <c r="AH628">
        <v>1</v>
      </c>
      <c r="AI628">
        <v>1</v>
      </c>
      <c r="AJ628">
        <v>0</v>
      </c>
      <c r="AK628">
        <v>2</v>
      </c>
      <c r="AL628" t="s">
        <v>1473</v>
      </c>
      <c r="AM628" t="s">
        <v>1080</v>
      </c>
      <c r="AN628" t="s">
        <v>1474</v>
      </c>
      <c r="AO628" t="s">
        <v>10259</v>
      </c>
      <c r="AP628" t="s">
        <v>10260</v>
      </c>
      <c r="AQ628" t="s">
        <v>74</v>
      </c>
      <c r="AR628" t="s">
        <v>10261</v>
      </c>
      <c r="AS628" t="s">
        <v>10262</v>
      </c>
      <c r="AT628" t="s">
        <v>9222</v>
      </c>
      <c r="AU628">
        <v>2018</v>
      </c>
      <c r="AV628">
        <v>30</v>
      </c>
      <c r="AW628">
        <v>6</v>
      </c>
      <c r="AX628" t="s">
        <v>74</v>
      </c>
      <c r="AY628" t="s">
        <v>74</v>
      </c>
      <c r="AZ628" t="s">
        <v>74</v>
      </c>
      <c r="BA628" t="s">
        <v>74</v>
      </c>
      <c r="BB628">
        <v>331</v>
      </c>
      <c r="BC628">
        <v>331</v>
      </c>
      <c r="BD628" t="s">
        <v>74</v>
      </c>
      <c r="BE628" t="s">
        <v>12250</v>
      </c>
      <c r="BF628" t="str">
        <f>HYPERLINK("http://dx.doi.org/10.1017/S095410201800041X","http://dx.doi.org/10.1017/S095410201800041X")</f>
        <v>http://dx.doi.org/10.1017/S095410201800041X</v>
      </c>
      <c r="BG628" t="s">
        <v>74</v>
      </c>
      <c r="BH628" t="s">
        <v>74</v>
      </c>
      <c r="BI628">
        <v>1</v>
      </c>
      <c r="BJ628" t="s">
        <v>10264</v>
      </c>
      <c r="BK628" t="s">
        <v>101</v>
      </c>
      <c r="BL628" t="s">
        <v>10265</v>
      </c>
      <c r="BM628" t="s">
        <v>10266</v>
      </c>
      <c r="BN628" t="s">
        <v>74</v>
      </c>
      <c r="BO628" t="s">
        <v>162</v>
      </c>
      <c r="BP628" t="s">
        <v>74</v>
      </c>
      <c r="BQ628" t="s">
        <v>74</v>
      </c>
      <c r="BR628" t="s">
        <v>104</v>
      </c>
      <c r="BS628" t="s">
        <v>12251</v>
      </c>
      <c r="BT628" t="str">
        <f>HYPERLINK("https%3A%2F%2Fwww.webofscience.com%2Fwos%2Fwoscc%2Ffull-record%2FWOS:000454297300001","View Full Record in Web of Science")</f>
        <v>View Full Record in Web of Science</v>
      </c>
    </row>
    <row r="629" spans="1:72" x14ac:dyDescent="0.15">
      <c r="A629" t="s">
        <v>72</v>
      </c>
      <c r="B629" t="s">
        <v>12252</v>
      </c>
      <c r="C629" t="s">
        <v>74</v>
      </c>
      <c r="D629" t="s">
        <v>74</v>
      </c>
      <c r="E629" t="s">
        <v>74</v>
      </c>
      <c r="F629" t="s">
        <v>12253</v>
      </c>
      <c r="G629" t="s">
        <v>74</v>
      </c>
      <c r="H629" t="s">
        <v>74</v>
      </c>
      <c r="I629" t="s">
        <v>12254</v>
      </c>
      <c r="J629" t="s">
        <v>12255</v>
      </c>
      <c r="K629" t="s">
        <v>74</v>
      </c>
      <c r="L629" t="s">
        <v>74</v>
      </c>
      <c r="M629" t="s">
        <v>78</v>
      </c>
      <c r="N629" t="s">
        <v>79</v>
      </c>
      <c r="O629" t="s">
        <v>74</v>
      </c>
      <c r="P629" t="s">
        <v>74</v>
      </c>
      <c r="Q629" t="s">
        <v>74</v>
      </c>
      <c r="R629" t="s">
        <v>74</v>
      </c>
      <c r="S629" t="s">
        <v>74</v>
      </c>
      <c r="T629" t="s">
        <v>74</v>
      </c>
      <c r="U629" t="s">
        <v>12256</v>
      </c>
      <c r="V629" t="s">
        <v>74</v>
      </c>
      <c r="W629" t="s">
        <v>12257</v>
      </c>
      <c r="X629" t="s">
        <v>6557</v>
      </c>
      <c r="Y629" t="s">
        <v>12258</v>
      </c>
      <c r="Z629" t="s">
        <v>74</v>
      </c>
      <c r="AA629" t="s">
        <v>74</v>
      </c>
      <c r="AB629" t="s">
        <v>12259</v>
      </c>
      <c r="AC629" t="s">
        <v>12260</v>
      </c>
      <c r="AD629" t="s">
        <v>2819</v>
      </c>
      <c r="AE629" t="s">
        <v>74</v>
      </c>
      <c r="AF629" t="s">
        <v>74</v>
      </c>
      <c r="AG629">
        <v>28</v>
      </c>
      <c r="AH629">
        <v>0</v>
      </c>
      <c r="AI629">
        <v>0</v>
      </c>
      <c r="AJ629">
        <v>0</v>
      </c>
      <c r="AK629">
        <v>2</v>
      </c>
      <c r="AL629" t="s">
        <v>3729</v>
      </c>
      <c r="AM629" t="s">
        <v>3353</v>
      </c>
      <c r="AN629" t="s">
        <v>3730</v>
      </c>
      <c r="AO629" t="s">
        <v>12261</v>
      </c>
      <c r="AP629" t="s">
        <v>12262</v>
      </c>
      <c r="AQ629" t="s">
        <v>74</v>
      </c>
      <c r="AR629" t="s">
        <v>12263</v>
      </c>
      <c r="AS629" t="s">
        <v>12264</v>
      </c>
      <c r="AT629" t="s">
        <v>9222</v>
      </c>
      <c r="AU629">
        <v>2018</v>
      </c>
      <c r="AV629">
        <v>59</v>
      </c>
      <c r="AW629">
        <v>6</v>
      </c>
      <c r="AX629" t="s">
        <v>74</v>
      </c>
      <c r="AY629" t="s">
        <v>74</v>
      </c>
      <c r="AZ629" t="s">
        <v>74</v>
      </c>
      <c r="BA629" t="s">
        <v>74</v>
      </c>
      <c r="BB629">
        <v>19</v>
      </c>
      <c r="BC629">
        <v>21</v>
      </c>
      <c r="BD629" t="s">
        <v>74</v>
      </c>
      <c r="BE629" t="s">
        <v>12265</v>
      </c>
      <c r="BF629" t="str">
        <f>HYPERLINK("http://dx.doi.org/10.1093/astrogeo/aty273","http://dx.doi.org/10.1093/astrogeo/aty273")</f>
        <v>http://dx.doi.org/10.1093/astrogeo/aty273</v>
      </c>
      <c r="BG629" t="s">
        <v>74</v>
      </c>
      <c r="BH629" t="s">
        <v>74</v>
      </c>
      <c r="BI629">
        <v>3</v>
      </c>
      <c r="BJ629" t="s">
        <v>12266</v>
      </c>
      <c r="BK629" t="s">
        <v>101</v>
      </c>
      <c r="BL629" t="s">
        <v>12266</v>
      </c>
      <c r="BM629" t="s">
        <v>12267</v>
      </c>
      <c r="BN629" t="s">
        <v>74</v>
      </c>
      <c r="BO629" t="s">
        <v>2948</v>
      </c>
      <c r="BP629" t="s">
        <v>74</v>
      </c>
      <c r="BQ629" t="s">
        <v>74</v>
      </c>
      <c r="BR629" t="s">
        <v>104</v>
      </c>
      <c r="BS629" t="s">
        <v>12268</v>
      </c>
      <c r="BT629" t="str">
        <f>HYPERLINK("https%3A%2F%2Fwww.webofscience.com%2Fwos%2Fwoscc%2Ffull-record%2FWOS:000456074800032","View Full Record in Web of Science")</f>
        <v>View Full Record in Web of Science</v>
      </c>
    </row>
    <row r="630" spans="1:72" x14ac:dyDescent="0.15">
      <c r="A630" t="s">
        <v>72</v>
      </c>
      <c r="B630" t="s">
        <v>12269</v>
      </c>
      <c r="C630" t="s">
        <v>74</v>
      </c>
      <c r="D630" t="s">
        <v>74</v>
      </c>
      <c r="E630" t="s">
        <v>74</v>
      </c>
      <c r="F630" t="s">
        <v>12270</v>
      </c>
      <c r="G630" t="s">
        <v>74</v>
      </c>
      <c r="H630" t="s">
        <v>74</v>
      </c>
      <c r="I630" t="s">
        <v>12271</v>
      </c>
      <c r="J630" t="s">
        <v>3873</v>
      </c>
      <c r="K630" t="s">
        <v>74</v>
      </c>
      <c r="L630" t="s">
        <v>74</v>
      </c>
      <c r="M630" t="s">
        <v>78</v>
      </c>
      <c r="N630" t="s">
        <v>5330</v>
      </c>
      <c r="O630" t="s">
        <v>12272</v>
      </c>
      <c r="P630" t="s">
        <v>12273</v>
      </c>
      <c r="Q630" t="s">
        <v>1389</v>
      </c>
      <c r="R630" t="s">
        <v>74</v>
      </c>
      <c r="S630" t="s">
        <v>74</v>
      </c>
      <c r="T630" t="s">
        <v>12274</v>
      </c>
      <c r="U630" t="s">
        <v>12275</v>
      </c>
      <c r="V630" t="s">
        <v>12276</v>
      </c>
      <c r="W630" t="s">
        <v>12277</v>
      </c>
      <c r="X630" t="s">
        <v>12278</v>
      </c>
      <c r="Y630" t="s">
        <v>12279</v>
      </c>
      <c r="Z630" t="s">
        <v>12280</v>
      </c>
      <c r="AA630" t="s">
        <v>12281</v>
      </c>
      <c r="AB630" t="s">
        <v>12282</v>
      </c>
      <c r="AC630" t="s">
        <v>12283</v>
      </c>
      <c r="AD630" t="s">
        <v>12284</v>
      </c>
      <c r="AE630" t="s">
        <v>12285</v>
      </c>
      <c r="AF630" t="s">
        <v>74</v>
      </c>
      <c r="AG630">
        <v>84</v>
      </c>
      <c r="AH630">
        <v>37</v>
      </c>
      <c r="AI630">
        <v>38</v>
      </c>
      <c r="AJ630">
        <v>1</v>
      </c>
      <c r="AK630">
        <v>51</v>
      </c>
      <c r="AL630" t="s">
        <v>1079</v>
      </c>
      <c r="AM630" t="s">
        <v>1080</v>
      </c>
      <c r="AN630" t="s">
        <v>1081</v>
      </c>
      <c r="AO630" t="s">
        <v>3886</v>
      </c>
      <c r="AP630" t="s">
        <v>3887</v>
      </c>
      <c r="AQ630" t="s">
        <v>74</v>
      </c>
      <c r="AR630" t="s">
        <v>3888</v>
      </c>
      <c r="AS630" t="s">
        <v>3889</v>
      </c>
      <c r="AT630" t="s">
        <v>9222</v>
      </c>
      <c r="AU630">
        <v>2018</v>
      </c>
      <c r="AV630">
        <v>51</v>
      </c>
      <c r="AW630" t="s">
        <v>12286</v>
      </c>
      <c r="AX630" t="s">
        <v>74</v>
      </c>
      <c r="AY630" t="s">
        <v>74</v>
      </c>
      <c r="AZ630" t="s">
        <v>4266</v>
      </c>
      <c r="BA630" t="s">
        <v>74</v>
      </c>
      <c r="BB630">
        <v>4095</v>
      </c>
      <c r="BC630">
        <v>4107</v>
      </c>
      <c r="BD630" t="s">
        <v>74</v>
      </c>
      <c r="BE630" t="s">
        <v>12287</v>
      </c>
      <c r="BF630" t="str">
        <f>HYPERLINK("http://dx.doi.org/10.1007/s00382-017-3753-3","http://dx.doi.org/10.1007/s00382-017-3753-3")</f>
        <v>http://dx.doi.org/10.1007/s00382-017-3753-3</v>
      </c>
      <c r="BG630" t="s">
        <v>74</v>
      </c>
      <c r="BH630" t="s">
        <v>74</v>
      </c>
      <c r="BI630">
        <v>13</v>
      </c>
      <c r="BJ630" t="s">
        <v>3037</v>
      </c>
      <c r="BK630" t="s">
        <v>5354</v>
      </c>
      <c r="BL630" t="s">
        <v>3037</v>
      </c>
      <c r="BM630" t="s">
        <v>12288</v>
      </c>
      <c r="BN630" t="s">
        <v>74</v>
      </c>
      <c r="BO630" t="s">
        <v>74</v>
      </c>
      <c r="BP630" t="s">
        <v>74</v>
      </c>
      <c r="BQ630" t="s">
        <v>74</v>
      </c>
      <c r="BR630" t="s">
        <v>104</v>
      </c>
      <c r="BS630" t="s">
        <v>12289</v>
      </c>
      <c r="BT630" t="str">
        <f>HYPERLINK("https%3A%2F%2Fwww.webofscience.com%2Fwos%2Fwoscc%2Ffull-record%2FWOS:000451725600010","View Full Record in Web of Science")</f>
        <v>View Full Record in Web of Science</v>
      </c>
    </row>
    <row r="631" spans="1:72" x14ac:dyDescent="0.15">
      <c r="A631" t="s">
        <v>72</v>
      </c>
      <c r="B631" t="s">
        <v>12290</v>
      </c>
      <c r="C631" t="s">
        <v>74</v>
      </c>
      <c r="D631" t="s">
        <v>74</v>
      </c>
      <c r="E631" t="s">
        <v>74</v>
      </c>
      <c r="F631" t="s">
        <v>12291</v>
      </c>
      <c r="G631" t="s">
        <v>74</v>
      </c>
      <c r="H631" t="s">
        <v>74</v>
      </c>
      <c r="I631" t="s">
        <v>12292</v>
      </c>
      <c r="J631" t="s">
        <v>5457</v>
      </c>
      <c r="K631" t="s">
        <v>74</v>
      </c>
      <c r="L631" t="s">
        <v>74</v>
      </c>
      <c r="M631" t="s">
        <v>78</v>
      </c>
      <c r="N631" t="s">
        <v>79</v>
      </c>
      <c r="O631" t="s">
        <v>74</v>
      </c>
      <c r="P631" t="s">
        <v>74</v>
      </c>
      <c r="Q631" t="s">
        <v>74</v>
      </c>
      <c r="R631" t="s">
        <v>74</v>
      </c>
      <c r="S631" t="s">
        <v>74</v>
      </c>
      <c r="T631" t="s">
        <v>12293</v>
      </c>
      <c r="U631" t="s">
        <v>12294</v>
      </c>
      <c r="V631" t="s">
        <v>12295</v>
      </c>
      <c r="W631" t="s">
        <v>12296</v>
      </c>
      <c r="X631" t="s">
        <v>12297</v>
      </c>
      <c r="Y631" t="s">
        <v>12298</v>
      </c>
      <c r="Z631" t="s">
        <v>12299</v>
      </c>
      <c r="AA631" t="s">
        <v>12300</v>
      </c>
      <c r="AB631" t="s">
        <v>12301</v>
      </c>
      <c r="AC631" t="s">
        <v>12302</v>
      </c>
      <c r="AD631" t="s">
        <v>12303</v>
      </c>
      <c r="AE631" t="s">
        <v>12304</v>
      </c>
      <c r="AF631" t="s">
        <v>74</v>
      </c>
      <c r="AG631">
        <v>84</v>
      </c>
      <c r="AH631">
        <v>43</v>
      </c>
      <c r="AI631">
        <v>43</v>
      </c>
      <c r="AJ631">
        <v>2</v>
      </c>
      <c r="AK631">
        <v>36</v>
      </c>
      <c r="AL631" t="s">
        <v>3670</v>
      </c>
      <c r="AM631" t="s">
        <v>3671</v>
      </c>
      <c r="AN631" t="s">
        <v>3672</v>
      </c>
      <c r="AO631" t="s">
        <v>5470</v>
      </c>
      <c r="AP631" t="s">
        <v>5471</v>
      </c>
      <c r="AQ631" t="s">
        <v>74</v>
      </c>
      <c r="AR631" t="s">
        <v>5472</v>
      </c>
      <c r="AS631" t="s">
        <v>5473</v>
      </c>
      <c r="AT631" t="s">
        <v>9222</v>
      </c>
      <c r="AU631">
        <v>2018</v>
      </c>
      <c r="AV631">
        <v>24</v>
      </c>
      <c r="AW631">
        <v>12</v>
      </c>
      <c r="AX631" t="s">
        <v>74</v>
      </c>
      <c r="AY631" t="s">
        <v>74</v>
      </c>
      <c r="AZ631" t="s">
        <v>74</v>
      </c>
      <c r="BA631" t="s">
        <v>74</v>
      </c>
      <c r="BB631">
        <v>1756</v>
      </c>
      <c r="BC631">
        <v>1771</v>
      </c>
      <c r="BD631" t="s">
        <v>74</v>
      </c>
      <c r="BE631" t="s">
        <v>12305</v>
      </c>
      <c r="BF631" t="str">
        <f>HYPERLINK("http://dx.doi.org/10.1111/ddi.12817","http://dx.doi.org/10.1111/ddi.12817")</f>
        <v>http://dx.doi.org/10.1111/ddi.12817</v>
      </c>
      <c r="BG631" t="s">
        <v>74</v>
      </c>
      <c r="BH631" t="s">
        <v>74</v>
      </c>
      <c r="BI631">
        <v>16</v>
      </c>
      <c r="BJ631" t="s">
        <v>1087</v>
      </c>
      <c r="BK631" t="s">
        <v>101</v>
      </c>
      <c r="BL631" t="s">
        <v>102</v>
      </c>
      <c r="BM631" t="s">
        <v>10883</v>
      </c>
      <c r="BN631" t="s">
        <v>74</v>
      </c>
      <c r="BO631" t="s">
        <v>3810</v>
      </c>
      <c r="BP631" t="s">
        <v>74</v>
      </c>
      <c r="BQ631" t="s">
        <v>74</v>
      </c>
      <c r="BR631" t="s">
        <v>104</v>
      </c>
      <c r="BS631" t="s">
        <v>12306</v>
      </c>
      <c r="BT631" t="str">
        <f>HYPERLINK("https%3A%2F%2Fwww.webofscience.com%2Fwos%2Fwoscc%2Ffull-record%2FWOS:000450303700004","View Full Record in Web of Science")</f>
        <v>View Full Record in Web of Science</v>
      </c>
    </row>
    <row r="632" spans="1:72" x14ac:dyDescent="0.15">
      <c r="A632" t="s">
        <v>72</v>
      </c>
      <c r="B632" t="s">
        <v>12307</v>
      </c>
      <c r="C632" t="s">
        <v>74</v>
      </c>
      <c r="D632" t="s">
        <v>74</v>
      </c>
      <c r="E632" t="s">
        <v>74</v>
      </c>
      <c r="F632" t="s">
        <v>12308</v>
      </c>
      <c r="G632" t="s">
        <v>74</v>
      </c>
      <c r="H632" t="s">
        <v>74</v>
      </c>
      <c r="I632" t="s">
        <v>12309</v>
      </c>
      <c r="J632" t="s">
        <v>12310</v>
      </c>
      <c r="K632" t="s">
        <v>74</v>
      </c>
      <c r="L632" t="s">
        <v>74</v>
      </c>
      <c r="M632" t="s">
        <v>78</v>
      </c>
      <c r="N632" t="s">
        <v>79</v>
      </c>
      <c r="O632" t="s">
        <v>74</v>
      </c>
      <c r="P632" t="s">
        <v>74</v>
      </c>
      <c r="Q632" t="s">
        <v>74</v>
      </c>
      <c r="R632" t="s">
        <v>74</v>
      </c>
      <c r="S632" t="s">
        <v>74</v>
      </c>
      <c r="T632" t="s">
        <v>12311</v>
      </c>
      <c r="U632" t="s">
        <v>12312</v>
      </c>
      <c r="V632" t="s">
        <v>12313</v>
      </c>
      <c r="W632" t="s">
        <v>12314</v>
      </c>
      <c r="X632" t="s">
        <v>12315</v>
      </c>
      <c r="Y632" t="s">
        <v>12316</v>
      </c>
      <c r="Z632" t="s">
        <v>12317</v>
      </c>
      <c r="AA632" t="s">
        <v>12318</v>
      </c>
      <c r="AB632" t="s">
        <v>12319</v>
      </c>
      <c r="AC632" t="s">
        <v>12320</v>
      </c>
      <c r="AD632" t="s">
        <v>12321</v>
      </c>
      <c r="AE632" t="s">
        <v>12322</v>
      </c>
      <c r="AF632" t="s">
        <v>74</v>
      </c>
      <c r="AG632">
        <v>82</v>
      </c>
      <c r="AH632">
        <v>21</v>
      </c>
      <c r="AI632">
        <v>23</v>
      </c>
      <c r="AJ632">
        <v>1</v>
      </c>
      <c r="AK632">
        <v>62</v>
      </c>
      <c r="AL632" t="s">
        <v>3352</v>
      </c>
      <c r="AM632" t="s">
        <v>3353</v>
      </c>
      <c r="AN632" t="s">
        <v>3354</v>
      </c>
      <c r="AO632" t="s">
        <v>12323</v>
      </c>
      <c r="AP632" t="s">
        <v>12324</v>
      </c>
      <c r="AQ632" t="s">
        <v>74</v>
      </c>
      <c r="AR632" t="s">
        <v>12325</v>
      </c>
      <c r="AS632" t="s">
        <v>12326</v>
      </c>
      <c r="AT632" t="s">
        <v>9222</v>
      </c>
      <c r="AU632">
        <v>2018</v>
      </c>
      <c r="AV632">
        <v>156</v>
      </c>
      <c r="AW632" t="s">
        <v>74</v>
      </c>
      <c r="AX632" t="s">
        <v>74</v>
      </c>
      <c r="AY632" t="s">
        <v>74</v>
      </c>
      <c r="AZ632" t="s">
        <v>74</v>
      </c>
      <c r="BA632" t="s">
        <v>74</v>
      </c>
      <c r="BB632">
        <v>279</v>
      </c>
      <c r="BC632">
        <v>287</v>
      </c>
      <c r="BD632" t="s">
        <v>74</v>
      </c>
      <c r="BE632" t="s">
        <v>12327</v>
      </c>
      <c r="BF632" t="str">
        <f>HYPERLINK("http://dx.doi.org/10.1016/j.envexpbot.2018.09.008","http://dx.doi.org/10.1016/j.envexpbot.2018.09.008")</f>
        <v>http://dx.doi.org/10.1016/j.envexpbot.2018.09.008</v>
      </c>
      <c r="BG632" t="s">
        <v>74</v>
      </c>
      <c r="BH632" t="s">
        <v>74</v>
      </c>
      <c r="BI632">
        <v>9</v>
      </c>
      <c r="BJ632" t="s">
        <v>12328</v>
      </c>
      <c r="BK632" t="s">
        <v>101</v>
      </c>
      <c r="BL632" t="s">
        <v>12329</v>
      </c>
      <c r="BM632" t="s">
        <v>12330</v>
      </c>
      <c r="BN632" t="s">
        <v>74</v>
      </c>
      <c r="BO632" t="s">
        <v>74</v>
      </c>
      <c r="BP632" t="s">
        <v>74</v>
      </c>
      <c r="BQ632" t="s">
        <v>74</v>
      </c>
      <c r="BR632" t="s">
        <v>104</v>
      </c>
      <c r="BS632" t="s">
        <v>12331</v>
      </c>
      <c r="BT632" t="str">
        <f>HYPERLINK("https%3A%2F%2Fwww.webofscience.com%2Fwos%2Fwoscc%2Ffull-record%2FWOS:000448093600027","View Full Record in Web of Science")</f>
        <v>View Full Record in Web of Science</v>
      </c>
    </row>
    <row r="633" spans="1:72" x14ac:dyDescent="0.15">
      <c r="A633" t="s">
        <v>72</v>
      </c>
      <c r="B633" t="s">
        <v>12332</v>
      </c>
      <c r="C633" t="s">
        <v>74</v>
      </c>
      <c r="D633" t="s">
        <v>74</v>
      </c>
      <c r="E633" t="s">
        <v>74</v>
      </c>
      <c r="F633" t="s">
        <v>12333</v>
      </c>
      <c r="G633" t="s">
        <v>74</v>
      </c>
      <c r="H633" t="s">
        <v>74</v>
      </c>
      <c r="I633" t="s">
        <v>12334</v>
      </c>
      <c r="J633" t="s">
        <v>10926</v>
      </c>
      <c r="K633" t="s">
        <v>74</v>
      </c>
      <c r="L633" t="s">
        <v>74</v>
      </c>
      <c r="M633" t="s">
        <v>78</v>
      </c>
      <c r="N633" t="s">
        <v>79</v>
      </c>
      <c r="O633" t="s">
        <v>74</v>
      </c>
      <c r="P633" t="s">
        <v>74</v>
      </c>
      <c r="Q633" t="s">
        <v>74</v>
      </c>
      <c r="R633" t="s">
        <v>74</v>
      </c>
      <c r="S633" t="s">
        <v>74</v>
      </c>
      <c r="T633" t="s">
        <v>12335</v>
      </c>
      <c r="U633" t="s">
        <v>12336</v>
      </c>
      <c r="V633" t="s">
        <v>12337</v>
      </c>
      <c r="W633" t="s">
        <v>12338</v>
      </c>
      <c r="X633" t="s">
        <v>12339</v>
      </c>
      <c r="Y633" t="s">
        <v>12340</v>
      </c>
      <c r="Z633" t="s">
        <v>12341</v>
      </c>
      <c r="AA633" t="s">
        <v>12342</v>
      </c>
      <c r="AB633" t="s">
        <v>12343</v>
      </c>
      <c r="AC633" t="s">
        <v>12344</v>
      </c>
      <c r="AD633" t="s">
        <v>12345</v>
      </c>
      <c r="AE633" t="s">
        <v>12346</v>
      </c>
      <c r="AF633" t="s">
        <v>74</v>
      </c>
      <c r="AG633">
        <v>54</v>
      </c>
      <c r="AH633">
        <v>34</v>
      </c>
      <c r="AI633">
        <v>38</v>
      </c>
      <c r="AJ633">
        <v>0</v>
      </c>
      <c r="AK633">
        <v>43</v>
      </c>
      <c r="AL633" t="s">
        <v>2519</v>
      </c>
      <c r="AM633" t="s">
        <v>2520</v>
      </c>
      <c r="AN633" t="s">
        <v>3313</v>
      </c>
      <c r="AO633" t="s">
        <v>10939</v>
      </c>
      <c r="AP633" t="s">
        <v>10940</v>
      </c>
      <c r="AQ633" t="s">
        <v>74</v>
      </c>
      <c r="AR633" t="s">
        <v>10941</v>
      </c>
      <c r="AS633" t="s">
        <v>10942</v>
      </c>
      <c r="AT633" t="s">
        <v>9222</v>
      </c>
      <c r="AU633">
        <v>2018</v>
      </c>
      <c r="AV633">
        <v>208</v>
      </c>
      <c r="AW633" t="s">
        <v>74</v>
      </c>
      <c r="AX633" t="s">
        <v>74</v>
      </c>
      <c r="AY633" t="s">
        <v>74</v>
      </c>
      <c r="AZ633" t="s">
        <v>74</v>
      </c>
      <c r="BA633" t="s">
        <v>74</v>
      </c>
      <c r="BB633">
        <v>157</v>
      </c>
      <c r="BC633">
        <v>166</v>
      </c>
      <c r="BD633" t="s">
        <v>74</v>
      </c>
      <c r="BE633" t="s">
        <v>12347</v>
      </c>
      <c r="BF633" t="str">
        <f>HYPERLINK("http://dx.doi.org/10.1016/j.fishres.2018.07.020","http://dx.doi.org/10.1016/j.fishres.2018.07.020")</f>
        <v>http://dx.doi.org/10.1016/j.fishres.2018.07.020</v>
      </c>
      <c r="BG633" t="s">
        <v>74</v>
      </c>
      <c r="BH633" t="s">
        <v>74</v>
      </c>
      <c r="BI633">
        <v>10</v>
      </c>
      <c r="BJ633" t="s">
        <v>625</v>
      </c>
      <c r="BK633" t="s">
        <v>101</v>
      </c>
      <c r="BL633" t="s">
        <v>625</v>
      </c>
      <c r="BM633" t="s">
        <v>10944</v>
      </c>
      <c r="BN633" t="s">
        <v>74</v>
      </c>
      <c r="BO633" t="s">
        <v>74</v>
      </c>
      <c r="BP633" t="s">
        <v>74</v>
      </c>
      <c r="BQ633" t="s">
        <v>74</v>
      </c>
      <c r="BR633" t="s">
        <v>104</v>
      </c>
      <c r="BS633" t="s">
        <v>12348</v>
      </c>
      <c r="BT633" t="str">
        <f>HYPERLINK("https%3A%2F%2Fwww.webofscience.com%2Fwos%2Fwoscc%2Ffull-record%2FWOS:000447108300017","View Full Record in Web of Science")</f>
        <v>View Full Record in Web of Science</v>
      </c>
    </row>
    <row r="634" spans="1:72" x14ac:dyDescent="0.15">
      <c r="A634" t="s">
        <v>72</v>
      </c>
      <c r="B634" t="s">
        <v>12349</v>
      </c>
      <c r="C634" t="s">
        <v>74</v>
      </c>
      <c r="D634" t="s">
        <v>74</v>
      </c>
      <c r="E634" t="s">
        <v>74</v>
      </c>
      <c r="F634" t="s">
        <v>12350</v>
      </c>
      <c r="G634" t="s">
        <v>74</v>
      </c>
      <c r="H634" t="s">
        <v>74</v>
      </c>
      <c r="I634" t="s">
        <v>12351</v>
      </c>
      <c r="J634" t="s">
        <v>12352</v>
      </c>
      <c r="K634" t="s">
        <v>74</v>
      </c>
      <c r="L634" t="s">
        <v>74</v>
      </c>
      <c r="M634" t="s">
        <v>78</v>
      </c>
      <c r="N634" t="s">
        <v>79</v>
      </c>
      <c r="O634" t="s">
        <v>74</v>
      </c>
      <c r="P634" t="s">
        <v>74</v>
      </c>
      <c r="Q634" t="s">
        <v>74</v>
      </c>
      <c r="R634" t="s">
        <v>74</v>
      </c>
      <c r="S634" t="s">
        <v>74</v>
      </c>
      <c r="T634" t="s">
        <v>12353</v>
      </c>
      <c r="U634" t="s">
        <v>12354</v>
      </c>
      <c r="V634" t="s">
        <v>12355</v>
      </c>
      <c r="W634" t="s">
        <v>12356</v>
      </c>
      <c r="X634" t="s">
        <v>12357</v>
      </c>
      <c r="Y634" t="s">
        <v>12358</v>
      </c>
      <c r="Z634" t="s">
        <v>12359</v>
      </c>
      <c r="AA634" t="s">
        <v>12360</v>
      </c>
      <c r="AB634" t="s">
        <v>12361</v>
      </c>
      <c r="AC634" t="s">
        <v>12362</v>
      </c>
      <c r="AD634" t="s">
        <v>12363</v>
      </c>
      <c r="AE634" t="s">
        <v>12364</v>
      </c>
      <c r="AF634" t="s">
        <v>74</v>
      </c>
      <c r="AG634">
        <v>32</v>
      </c>
      <c r="AH634">
        <v>6</v>
      </c>
      <c r="AI634">
        <v>7</v>
      </c>
      <c r="AJ634">
        <v>1</v>
      </c>
      <c r="AK634">
        <v>13</v>
      </c>
      <c r="AL634" t="s">
        <v>6139</v>
      </c>
      <c r="AM634" t="s">
        <v>3353</v>
      </c>
      <c r="AN634" t="s">
        <v>6140</v>
      </c>
      <c r="AO634" t="s">
        <v>12365</v>
      </c>
      <c r="AP634" t="s">
        <v>12366</v>
      </c>
      <c r="AQ634" t="s">
        <v>74</v>
      </c>
      <c r="AR634" t="s">
        <v>12367</v>
      </c>
      <c r="AS634" t="s">
        <v>12368</v>
      </c>
      <c r="AT634" t="s">
        <v>9222</v>
      </c>
      <c r="AU634">
        <v>2018</v>
      </c>
      <c r="AV634">
        <v>36</v>
      </c>
      <c r="AW634" t="s">
        <v>74</v>
      </c>
      <c r="AX634" t="s">
        <v>74</v>
      </c>
      <c r="AY634" t="s">
        <v>74</v>
      </c>
      <c r="AZ634" t="s">
        <v>74</v>
      </c>
      <c r="BA634" t="s">
        <v>74</v>
      </c>
      <c r="BB634">
        <v>75</v>
      </c>
      <c r="BC634">
        <v>80</v>
      </c>
      <c r="BD634" t="s">
        <v>74</v>
      </c>
      <c r="BE634" t="s">
        <v>12369</v>
      </c>
      <c r="BF634" t="str">
        <f>HYPERLINK("http://dx.doi.org/10.1016/j.funeco.2018.08.002","http://dx.doi.org/10.1016/j.funeco.2018.08.002")</f>
        <v>http://dx.doi.org/10.1016/j.funeco.2018.08.002</v>
      </c>
      <c r="BG634" t="s">
        <v>74</v>
      </c>
      <c r="BH634" t="s">
        <v>74</v>
      </c>
      <c r="BI634">
        <v>6</v>
      </c>
      <c r="BJ634" t="s">
        <v>12370</v>
      </c>
      <c r="BK634" t="s">
        <v>101</v>
      </c>
      <c r="BL634" t="s">
        <v>12371</v>
      </c>
      <c r="BM634" t="s">
        <v>12372</v>
      </c>
      <c r="BN634" t="s">
        <v>74</v>
      </c>
      <c r="BO634" t="s">
        <v>5774</v>
      </c>
      <c r="BP634" t="s">
        <v>74</v>
      </c>
      <c r="BQ634" t="s">
        <v>74</v>
      </c>
      <c r="BR634" t="s">
        <v>104</v>
      </c>
      <c r="BS634" t="s">
        <v>12373</v>
      </c>
      <c r="BT634" t="str">
        <f>HYPERLINK("https%3A%2F%2Fwww.webofscience.com%2Fwos%2Fwoscc%2Ffull-record%2FWOS:000452564900008","View Full Record in Web of Science")</f>
        <v>View Full Record in Web of Science</v>
      </c>
    </row>
    <row r="635" spans="1:72" x14ac:dyDescent="0.15">
      <c r="A635" t="s">
        <v>72</v>
      </c>
      <c r="B635" t="s">
        <v>12374</v>
      </c>
      <c r="C635" t="s">
        <v>74</v>
      </c>
      <c r="D635" t="s">
        <v>74</v>
      </c>
      <c r="E635" t="s">
        <v>74</v>
      </c>
      <c r="F635" t="s">
        <v>12375</v>
      </c>
      <c r="G635" t="s">
        <v>74</v>
      </c>
      <c r="H635" t="s">
        <v>74</v>
      </c>
      <c r="I635" t="s">
        <v>12376</v>
      </c>
      <c r="J635" t="s">
        <v>3997</v>
      </c>
      <c r="K635" t="s">
        <v>74</v>
      </c>
      <c r="L635" t="s">
        <v>74</v>
      </c>
      <c r="M635" t="s">
        <v>78</v>
      </c>
      <c r="N635" t="s">
        <v>12249</v>
      </c>
      <c r="O635" t="s">
        <v>74</v>
      </c>
      <c r="P635" t="s">
        <v>74</v>
      </c>
      <c r="Q635" t="s">
        <v>74</v>
      </c>
      <c r="R635" t="s">
        <v>74</v>
      </c>
      <c r="S635" t="s">
        <v>74</v>
      </c>
      <c r="T635" t="s">
        <v>12377</v>
      </c>
      <c r="U635" t="s">
        <v>12378</v>
      </c>
      <c r="V635" t="s">
        <v>12379</v>
      </c>
      <c r="W635" t="s">
        <v>12380</v>
      </c>
      <c r="X635" t="s">
        <v>12381</v>
      </c>
      <c r="Y635" t="s">
        <v>12382</v>
      </c>
      <c r="Z635" t="s">
        <v>12383</v>
      </c>
      <c r="AA635" t="s">
        <v>12384</v>
      </c>
      <c r="AB635" t="s">
        <v>12385</v>
      </c>
      <c r="AC635" t="s">
        <v>12386</v>
      </c>
      <c r="AD635" t="s">
        <v>12387</v>
      </c>
      <c r="AE635" t="s">
        <v>12388</v>
      </c>
      <c r="AF635" t="s">
        <v>74</v>
      </c>
      <c r="AG635">
        <v>41</v>
      </c>
      <c r="AH635">
        <v>14</v>
      </c>
      <c r="AI635">
        <v>16</v>
      </c>
      <c r="AJ635">
        <v>0</v>
      </c>
      <c r="AK635">
        <v>10</v>
      </c>
      <c r="AL635" t="s">
        <v>4010</v>
      </c>
      <c r="AM635" t="s">
        <v>4011</v>
      </c>
      <c r="AN635" t="s">
        <v>4012</v>
      </c>
      <c r="AO635" t="s">
        <v>74</v>
      </c>
      <c r="AP635" t="s">
        <v>4013</v>
      </c>
      <c r="AQ635" t="s">
        <v>74</v>
      </c>
      <c r="AR635" t="s">
        <v>3997</v>
      </c>
      <c r="AS635" t="s">
        <v>4014</v>
      </c>
      <c r="AT635" t="s">
        <v>9222</v>
      </c>
      <c r="AU635">
        <v>2018</v>
      </c>
      <c r="AV635">
        <v>8</v>
      </c>
      <c r="AW635">
        <v>12</v>
      </c>
      <c r="AX635" t="s">
        <v>74</v>
      </c>
      <c r="AY635" t="s">
        <v>74</v>
      </c>
      <c r="AZ635" t="s">
        <v>74</v>
      </c>
      <c r="BA635" t="s">
        <v>74</v>
      </c>
      <c r="BB635" t="s">
        <v>74</v>
      </c>
      <c r="BC635" t="s">
        <v>74</v>
      </c>
      <c r="BD635">
        <v>477</v>
      </c>
      <c r="BE635" t="s">
        <v>12389</v>
      </c>
      <c r="BF635" t="str">
        <f>HYPERLINK("http://dx.doi.org/10.3390/geosciences8120477","http://dx.doi.org/10.3390/geosciences8120477")</f>
        <v>http://dx.doi.org/10.3390/geosciences8120477</v>
      </c>
      <c r="BG635" t="s">
        <v>74</v>
      </c>
      <c r="BH635" t="s">
        <v>74</v>
      </c>
      <c r="BI635">
        <v>9</v>
      </c>
      <c r="BJ635" t="s">
        <v>884</v>
      </c>
      <c r="BK635" t="s">
        <v>349</v>
      </c>
      <c r="BL635" t="s">
        <v>528</v>
      </c>
      <c r="BM635" t="s">
        <v>12390</v>
      </c>
      <c r="BN635" t="s">
        <v>74</v>
      </c>
      <c r="BO635" t="s">
        <v>8955</v>
      </c>
      <c r="BP635" t="s">
        <v>74</v>
      </c>
      <c r="BQ635" t="s">
        <v>74</v>
      </c>
      <c r="BR635" t="s">
        <v>104</v>
      </c>
      <c r="BS635" t="s">
        <v>12391</v>
      </c>
      <c r="BT635" t="str">
        <f>HYPERLINK("https%3A%2F%2Fwww.webofscience.com%2Fwos%2Fwoscc%2Ffull-record%2FWOS:000455388200050","View Full Record in Web of Science")</f>
        <v>View Full Record in Web of Science</v>
      </c>
    </row>
    <row r="636" spans="1:72" x14ac:dyDescent="0.15">
      <c r="A636" t="s">
        <v>72</v>
      </c>
      <c r="B636" t="s">
        <v>12392</v>
      </c>
      <c r="C636" t="s">
        <v>74</v>
      </c>
      <c r="D636" t="s">
        <v>74</v>
      </c>
      <c r="E636" t="s">
        <v>74</v>
      </c>
      <c r="F636" t="s">
        <v>12393</v>
      </c>
      <c r="G636" t="s">
        <v>74</v>
      </c>
      <c r="H636" t="s">
        <v>74</v>
      </c>
      <c r="I636" t="s">
        <v>12394</v>
      </c>
      <c r="J636" t="s">
        <v>5137</v>
      </c>
      <c r="K636" t="s">
        <v>74</v>
      </c>
      <c r="L636" t="s">
        <v>74</v>
      </c>
      <c r="M636" t="s">
        <v>78</v>
      </c>
      <c r="N636" t="s">
        <v>79</v>
      </c>
      <c r="O636" t="s">
        <v>74</v>
      </c>
      <c r="P636" t="s">
        <v>74</v>
      </c>
      <c r="Q636" t="s">
        <v>74</v>
      </c>
      <c r="R636" t="s">
        <v>74</v>
      </c>
      <c r="S636" t="s">
        <v>74</v>
      </c>
      <c r="T636" t="s">
        <v>12395</v>
      </c>
      <c r="U636" t="s">
        <v>12396</v>
      </c>
      <c r="V636" t="s">
        <v>12397</v>
      </c>
      <c r="W636" t="s">
        <v>12398</v>
      </c>
      <c r="X636" t="s">
        <v>12399</v>
      </c>
      <c r="Y636" t="s">
        <v>12400</v>
      </c>
      <c r="Z636" t="s">
        <v>12401</v>
      </c>
      <c r="AA636" t="s">
        <v>12402</v>
      </c>
      <c r="AB636" t="s">
        <v>12403</v>
      </c>
      <c r="AC636" t="s">
        <v>74</v>
      </c>
      <c r="AD636" t="s">
        <v>74</v>
      </c>
      <c r="AE636" t="s">
        <v>74</v>
      </c>
      <c r="AF636" t="s">
        <v>74</v>
      </c>
      <c r="AG636">
        <v>50</v>
      </c>
      <c r="AH636">
        <v>10</v>
      </c>
      <c r="AI636">
        <v>10</v>
      </c>
      <c r="AJ636">
        <v>2</v>
      </c>
      <c r="AK636">
        <v>29</v>
      </c>
      <c r="AL636" t="s">
        <v>2519</v>
      </c>
      <c r="AM636" t="s">
        <v>2520</v>
      </c>
      <c r="AN636" t="s">
        <v>3313</v>
      </c>
      <c r="AO636" t="s">
        <v>5150</v>
      </c>
      <c r="AP636" t="s">
        <v>5151</v>
      </c>
      <c r="AQ636" t="s">
        <v>74</v>
      </c>
      <c r="AR636" t="s">
        <v>5152</v>
      </c>
      <c r="AS636" t="s">
        <v>5153</v>
      </c>
      <c r="AT636" t="s">
        <v>9222</v>
      </c>
      <c r="AU636">
        <v>2018</v>
      </c>
      <c r="AV636">
        <v>171</v>
      </c>
      <c r="AW636" t="s">
        <v>74</v>
      </c>
      <c r="AX636" t="s">
        <v>74</v>
      </c>
      <c r="AY636" t="s">
        <v>74</v>
      </c>
      <c r="AZ636" t="s">
        <v>4266</v>
      </c>
      <c r="BA636" t="s">
        <v>74</v>
      </c>
      <c r="BB636">
        <v>248</v>
      </c>
      <c r="BC636">
        <v>254</v>
      </c>
      <c r="BD636" t="s">
        <v>74</v>
      </c>
      <c r="BE636" t="s">
        <v>12404</v>
      </c>
      <c r="BF636" t="str">
        <f>HYPERLINK("http://dx.doi.org/10.1016/j.gloplacha.2017.12.012","http://dx.doi.org/10.1016/j.gloplacha.2017.12.012")</f>
        <v>http://dx.doi.org/10.1016/j.gloplacha.2017.12.012</v>
      </c>
      <c r="BG636" t="s">
        <v>74</v>
      </c>
      <c r="BH636" t="s">
        <v>74</v>
      </c>
      <c r="BI636">
        <v>7</v>
      </c>
      <c r="BJ636" t="s">
        <v>1480</v>
      </c>
      <c r="BK636" t="s">
        <v>101</v>
      </c>
      <c r="BL636" t="s">
        <v>1481</v>
      </c>
      <c r="BM636" t="s">
        <v>12405</v>
      </c>
      <c r="BN636" t="s">
        <v>74</v>
      </c>
      <c r="BO636" t="s">
        <v>74</v>
      </c>
      <c r="BP636" t="s">
        <v>74</v>
      </c>
      <c r="BQ636" t="s">
        <v>74</v>
      </c>
      <c r="BR636" t="s">
        <v>104</v>
      </c>
      <c r="BS636" t="s">
        <v>12406</v>
      </c>
      <c r="BT636" t="str">
        <f>HYPERLINK("https%3A%2F%2Fwww.webofscience.com%2Fwos%2Fwoscc%2Ffull-record%2FWOS:000449897000015","View Full Record in Web of Science")</f>
        <v>View Full Record in Web of Science</v>
      </c>
    </row>
    <row r="637" spans="1:72" x14ac:dyDescent="0.15">
      <c r="A637" t="s">
        <v>72</v>
      </c>
      <c r="B637" t="s">
        <v>12407</v>
      </c>
      <c r="C637" t="s">
        <v>74</v>
      </c>
      <c r="D637" t="s">
        <v>74</v>
      </c>
      <c r="E637" t="s">
        <v>74</v>
      </c>
      <c r="F637" t="s">
        <v>12408</v>
      </c>
      <c r="G637" t="s">
        <v>74</v>
      </c>
      <c r="H637" t="s">
        <v>74</v>
      </c>
      <c r="I637" t="s">
        <v>12409</v>
      </c>
      <c r="J637" t="s">
        <v>4875</v>
      </c>
      <c r="K637" t="s">
        <v>74</v>
      </c>
      <c r="L637" t="s">
        <v>74</v>
      </c>
      <c r="M637" t="s">
        <v>78</v>
      </c>
      <c r="N637" t="s">
        <v>9300</v>
      </c>
      <c r="O637" t="s">
        <v>74</v>
      </c>
      <c r="P637" t="s">
        <v>74</v>
      </c>
      <c r="Q637" t="s">
        <v>74</v>
      </c>
      <c r="R637" t="s">
        <v>74</v>
      </c>
      <c r="S637" t="s">
        <v>74</v>
      </c>
      <c r="T637" t="s">
        <v>12410</v>
      </c>
      <c r="U637" t="s">
        <v>12411</v>
      </c>
      <c r="V637" t="s">
        <v>12412</v>
      </c>
      <c r="W637" t="s">
        <v>12413</v>
      </c>
      <c r="X637" t="s">
        <v>12414</v>
      </c>
      <c r="Y637" t="s">
        <v>12415</v>
      </c>
      <c r="Z637" t="s">
        <v>12416</v>
      </c>
      <c r="AA637" t="s">
        <v>12417</v>
      </c>
      <c r="AB637" t="s">
        <v>12418</v>
      </c>
      <c r="AC637" t="s">
        <v>12419</v>
      </c>
      <c r="AD637" t="s">
        <v>12420</v>
      </c>
      <c r="AE637" t="s">
        <v>12421</v>
      </c>
      <c r="AF637" t="s">
        <v>74</v>
      </c>
      <c r="AG637">
        <v>19</v>
      </c>
      <c r="AH637">
        <v>49</v>
      </c>
      <c r="AI637">
        <v>51</v>
      </c>
      <c r="AJ637">
        <v>9</v>
      </c>
      <c r="AK637">
        <v>103</v>
      </c>
      <c r="AL637" t="s">
        <v>3670</v>
      </c>
      <c r="AM637" t="s">
        <v>3671</v>
      </c>
      <c r="AN637" t="s">
        <v>3672</v>
      </c>
      <c r="AO637" t="s">
        <v>4888</v>
      </c>
      <c r="AP637" t="s">
        <v>4889</v>
      </c>
      <c r="AQ637" t="s">
        <v>74</v>
      </c>
      <c r="AR637" t="s">
        <v>4890</v>
      </c>
      <c r="AS637" t="s">
        <v>4891</v>
      </c>
      <c r="AT637" t="s">
        <v>9222</v>
      </c>
      <c r="AU637">
        <v>2018</v>
      </c>
      <c r="AV637">
        <v>27</v>
      </c>
      <c r="AW637">
        <v>12</v>
      </c>
      <c r="AX637" t="s">
        <v>74</v>
      </c>
      <c r="AY637" t="s">
        <v>74</v>
      </c>
      <c r="AZ637" t="s">
        <v>74</v>
      </c>
      <c r="BA637" t="s">
        <v>74</v>
      </c>
      <c r="BB637">
        <v>1402</v>
      </c>
      <c r="BC637">
        <v>1411</v>
      </c>
      <c r="BD637" t="s">
        <v>74</v>
      </c>
      <c r="BE637" t="s">
        <v>12422</v>
      </c>
      <c r="BF637" t="str">
        <f>HYPERLINK("http://dx.doi.org/10.1111/geb.12821","http://dx.doi.org/10.1111/geb.12821")</f>
        <v>http://dx.doi.org/10.1111/geb.12821</v>
      </c>
      <c r="BG637" t="s">
        <v>74</v>
      </c>
      <c r="BH637" t="s">
        <v>74</v>
      </c>
      <c r="BI637">
        <v>10</v>
      </c>
      <c r="BJ637" t="s">
        <v>4893</v>
      </c>
      <c r="BK637" t="s">
        <v>101</v>
      </c>
      <c r="BL637" t="s">
        <v>219</v>
      </c>
      <c r="BM637" t="s">
        <v>12423</v>
      </c>
      <c r="BN637" t="s">
        <v>74</v>
      </c>
      <c r="BO637" t="s">
        <v>3893</v>
      </c>
      <c r="BP637" t="s">
        <v>74</v>
      </c>
      <c r="BQ637" t="s">
        <v>74</v>
      </c>
      <c r="BR637" t="s">
        <v>104</v>
      </c>
      <c r="BS637" t="s">
        <v>12424</v>
      </c>
      <c r="BT637" t="str">
        <f>HYPERLINK("https%3A%2F%2Fwww.webofscience.com%2Fwos%2Fwoscc%2Ffull-record%2FWOS:000451024700001","View Full Record in Web of Science")</f>
        <v>View Full Record in Web of Science</v>
      </c>
    </row>
    <row r="638" spans="1:72" x14ac:dyDescent="0.15">
      <c r="A638" t="s">
        <v>72</v>
      </c>
      <c r="B638" t="s">
        <v>12425</v>
      </c>
      <c r="C638" t="s">
        <v>74</v>
      </c>
      <c r="D638" t="s">
        <v>74</v>
      </c>
      <c r="E638" t="s">
        <v>74</v>
      </c>
      <c r="F638" t="s">
        <v>12426</v>
      </c>
      <c r="G638" t="s">
        <v>74</v>
      </c>
      <c r="H638" t="s">
        <v>74</v>
      </c>
      <c r="I638" t="s">
        <v>12427</v>
      </c>
      <c r="J638" t="s">
        <v>12428</v>
      </c>
      <c r="K638" t="s">
        <v>74</v>
      </c>
      <c r="L638" t="s">
        <v>74</v>
      </c>
      <c r="M638" t="s">
        <v>78</v>
      </c>
      <c r="N638" t="s">
        <v>79</v>
      </c>
      <c r="O638" t="s">
        <v>74</v>
      </c>
      <c r="P638" t="s">
        <v>74</v>
      </c>
      <c r="Q638" t="s">
        <v>74</v>
      </c>
      <c r="R638" t="s">
        <v>74</v>
      </c>
      <c r="S638" t="s">
        <v>74</v>
      </c>
      <c r="T638" t="s">
        <v>12429</v>
      </c>
      <c r="U638" t="s">
        <v>12430</v>
      </c>
      <c r="V638" t="s">
        <v>12431</v>
      </c>
      <c r="W638" t="s">
        <v>12432</v>
      </c>
      <c r="X638" t="s">
        <v>12433</v>
      </c>
      <c r="Y638" t="s">
        <v>12434</v>
      </c>
      <c r="Z638" t="s">
        <v>12435</v>
      </c>
      <c r="AA638" t="s">
        <v>12436</v>
      </c>
      <c r="AB638" t="s">
        <v>12437</v>
      </c>
      <c r="AC638" t="s">
        <v>12438</v>
      </c>
      <c r="AD638" t="s">
        <v>12439</v>
      </c>
      <c r="AE638" t="s">
        <v>12440</v>
      </c>
      <c r="AF638" t="s">
        <v>74</v>
      </c>
      <c r="AG638">
        <v>48</v>
      </c>
      <c r="AH638">
        <v>8</v>
      </c>
      <c r="AI638">
        <v>9</v>
      </c>
      <c r="AJ638">
        <v>2</v>
      </c>
      <c r="AK638">
        <v>34</v>
      </c>
      <c r="AL638" t="s">
        <v>122</v>
      </c>
      <c r="AM638" t="s">
        <v>123</v>
      </c>
      <c r="AN638" t="s">
        <v>124</v>
      </c>
      <c r="AO638" t="s">
        <v>12441</v>
      </c>
      <c r="AP638" t="s">
        <v>12442</v>
      </c>
      <c r="AQ638" t="s">
        <v>74</v>
      </c>
      <c r="AR638" t="s">
        <v>12443</v>
      </c>
      <c r="AS638" t="s">
        <v>12444</v>
      </c>
      <c r="AT638" t="s">
        <v>9222</v>
      </c>
      <c r="AU638">
        <v>2018</v>
      </c>
      <c r="AV638">
        <v>11</v>
      </c>
      <c r="AW638">
        <v>12</v>
      </c>
      <c r="AX638" t="s">
        <v>74</v>
      </c>
      <c r="AY638" t="s">
        <v>74</v>
      </c>
      <c r="AZ638" t="s">
        <v>74</v>
      </c>
      <c r="BA638" t="s">
        <v>74</v>
      </c>
      <c r="BB638">
        <v>4737</v>
      </c>
      <c r="BC638">
        <v>4746</v>
      </c>
      <c r="BD638" t="s">
        <v>74</v>
      </c>
      <c r="BE638" t="s">
        <v>12445</v>
      </c>
      <c r="BF638" t="str">
        <f>HYPERLINK("http://dx.doi.org/10.1109/JSTARS.2018.2882602","http://dx.doi.org/10.1109/JSTARS.2018.2882602")</f>
        <v>http://dx.doi.org/10.1109/JSTARS.2018.2882602</v>
      </c>
      <c r="BG638" t="s">
        <v>74</v>
      </c>
      <c r="BH638" t="s">
        <v>74</v>
      </c>
      <c r="BI638">
        <v>10</v>
      </c>
      <c r="BJ638" t="s">
        <v>12446</v>
      </c>
      <c r="BK638" t="s">
        <v>101</v>
      </c>
      <c r="BL638" t="s">
        <v>12447</v>
      </c>
      <c r="BM638" t="s">
        <v>12448</v>
      </c>
      <c r="BN638" t="s">
        <v>74</v>
      </c>
      <c r="BO638" t="s">
        <v>404</v>
      </c>
      <c r="BP638" t="s">
        <v>74</v>
      </c>
      <c r="BQ638" t="s">
        <v>74</v>
      </c>
      <c r="BR638" t="s">
        <v>104</v>
      </c>
      <c r="BS638" t="s">
        <v>12449</v>
      </c>
      <c r="BT638" t="str">
        <f>HYPERLINK("https%3A%2F%2Fwww.webofscience.com%2Fwos%2Fwoscc%2Ffull-record%2FWOS:000455462100018","View Full Record in Web of Science")</f>
        <v>View Full Record in Web of Science</v>
      </c>
    </row>
    <row r="639" spans="1:72" x14ac:dyDescent="0.15">
      <c r="A639" t="s">
        <v>72</v>
      </c>
      <c r="B639" t="s">
        <v>12450</v>
      </c>
      <c r="C639" t="s">
        <v>74</v>
      </c>
      <c r="D639" t="s">
        <v>74</v>
      </c>
      <c r="E639" t="s">
        <v>74</v>
      </c>
      <c r="F639" t="s">
        <v>12451</v>
      </c>
      <c r="G639" t="s">
        <v>74</v>
      </c>
      <c r="H639" t="s">
        <v>74</v>
      </c>
      <c r="I639" t="s">
        <v>12452</v>
      </c>
      <c r="J639" t="s">
        <v>4475</v>
      </c>
      <c r="K639" t="s">
        <v>74</v>
      </c>
      <c r="L639" t="s">
        <v>74</v>
      </c>
      <c r="M639" t="s">
        <v>78</v>
      </c>
      <c r="N639" t="s">
        <v>79</v>
      </c>
      <c r="O639" t="s">
        <v>74</v>
      </c>
      <c r="P639" t="s">
        <v>74</v>
      </c>
      <c r="Q639" t="s">
        <v>74</v>
      </c>
      <c r="R639" t="s">
        <v>74</v>
      </c>
      <c r="S639" t="s">
        <v>74</v>
      </c>
      <c r="T639" t="s">
        <v>12453</v>
      </c>
      <c r="U639" t="s">
        <v>12454</v>
      </c>
      <c r="V639" t="s">
        <v>12455</v>
      </c>
      <c r="W639" t="s">
        <v>12456</v>
      </c>
      <c r="X639" t="s">
        <v>12457</v>
      </c>
      <c r="Y639" t="s">
        <v>12458</v>
      </c>
      <c r="Z639" t="s">
        <v>12459</v>
      </c>
      <c r="AA639" t="s">
        <v>12460</v>
      </c>
      <c r="AB639" t="s">
        <v>12461</v>
      </c>
      <c r="AC639" t="s">
        <v>12462</v>
      </c>
      <c r="AD639" t="s">
        <v>12463</v>
      </c>
      <c r="AE639" t="s">
        <v>12464</v>
      </c>
      <c r="AF639" t="s">
        <v>74</v>
      </c>
      <c r="AG639">
        <v>126</v>
      </c>
      <c r="AH639">
        <v>60</v>
      </c>
      <c r="AI639">
        <v>62</v>
      </c>
      <c r="AJ639">
        <v>2</v>
      </c>
      <c r="AK639">
        <v>18</v>
      </c>
      <c r="AL639" t="s">
        <v>4034</v>
      </c>
      <c r="AM639" t="s">
        <v>4035</v>
      </c>
      <c r="AN639" t="s">
        <v>4036</v>
      </c>
      <c r="AO639" t="s">
        <v>74</v>
      </c>
      <c r="AP639" t="s">
        <v>4487</v>
      </c>
      <c r="AQ639" t="s">
        <v>74</v>
      </c>
      <c r="AR639" t="s">
        <v>4488</v>
      </c>
      <c r="AS639" t="s">
        <v>4489</v>
      </c>
      <c r="AT639" t="s">
        <v>9222</v>
      </c>
      <c r="AU639">
        <v>2018</v>
      </c>
      <c r="AV639">
        <v>10</v>
      </c>
      <c r="AW639">
        <v>12</v>
      </c>
      <c r="AX639" t="s">
        <v>74</v>
      </c>
      <c r="AY639" t="s">
        <v>74</v>
      </c>
      <c r="AZ639" t="s">
        <v>74</v>
      </c>
      <c r="BA639" t="s">
        <v>74</v>
      </c>
      <c r="BB639">
        <v>3049</v>
      </c>
      <c r="BC639">
        <v>3075</v>
      </c>
      <c r="BD639" t="s">
        <v>74</v>
      </c>
      <c r="BE639" t="s">
        <v>12465</v>
      </c>
      <c r="BF639" t="str">
        <f>HYPERLINK("http://dx.doi.org/10.1029/2018MS001495","http://dx.doi.org/10.1029/2018MS001495")</f>
        <v>http://dx.doi.org/10.1029/2018MS001495</v>
      </c>
      <c r="BG639" t="s">
        <v>74</v>
      </c>
      <c r="BH639" t="s">
        <v>74</v>
      </c>
      <c r="BI639">
        <v>27</v>
      </c>
      <c r="BJ639" t="s">
        <v>3037</v>
      </c>
      <c r="BK639" t="s">
        <v>101</v>
      </c>
      <c r="BL639" t="s">
        <v>3037</v>
      </c>
      <c r="BM639" t="s">
        <v>12466</v>
      </c>
      <c r="BN639" t="s">
        <v>74</v>
      </c>
      <c r="BO639" t="s">
        <v>12467</v>
      </c>
      <c r="BP639" t="s">
        <v>74</v>
      </c>
      <c r="BQ639" t="s">
        <v>74</v>
      </c>
      <c r="BR639" t="s">
        <v>104</v>
      </c>
      <c r="BS639" t="s">
        <v>12468</v>
      </c>
      <c r="BT639" t="str">
        <f>HYPERLINK("https%3A%2F%2Fwww.webofscience.com%2Fwos%2Fwoscc%2Ffull-record%2FWOS:000455648800003","View Full Record in Web of Science")</f>
        <v>View Full Record in Web of Science</v>
      </c>
    </row>
    <row r="640" spans="1:72" x14ac:dyDescent="0.15">
      <c r="A640" t="s">
        <v>72</v>
      </c>
      <c r="B640" t="s">
        <v>12469</v>
      </c>
      <c r="C640" t="s">
        <v>74</v>
      </c>
      <c r="D640" t="s">
        <v>74</v>
      </c>
      <c r="E640" t="s">
        <v>74</v>
      </c>
      <c r="F640" t="s">
        <v>12470</v>
      </c>
      <c r="G640" t="s">
        <v>74</v>
      </c>
      <c r="H640" t="s">
        <v>74</v>
      </c>
      <c r="I640" t="s">
        <v>12471</v>
      </c>
      <c r="J640" t="s">
        <v>10022</v>
      </c>
      <c r="K640" t="s">
        <v>74</v>
      </c>
      <c r="L640" t="s">
        <v>74</v>
      </c>
      <c r="M640" t="s">
        <v>78</v>
      </c>
      <c r="N640" t="s">
        <v>5330</v>
      </c>
      <c r="O640" t="s">
        <v>10023</v>
      </c>
      <c r="P640" t="s">
        <v>10024</v>
      </c>
      <c r="Q640" t="s">
        <v>10025</v>
      </c>
      <c r="R640" t="s">
        <v>74</v>
      </c>
      <c r="S640" t="s">
        <v>74</v>
      </c>
      <c r="T640" t="s">
        <v>12472</v>
      </c>
      <c r="U640" t="s">
        <v>12473</v>
      </c>
      <c r="V640" t="s">
        <v>12474</v>
      </c>
      <c r="W640" t="s">
        <v>12475</v>
      </c>
      <c r="X640" t="s">
        <v>12476</v>
      </c>
      <c r="Y640" t="s">
        <v>12477</v>
      </c>
      <c r="Z640" t="s">
        <v>12478</v>
      </c>
      <c r="AA640" t="s">
        <v>12479</v>
      </c>
      <c r="AB640" t="s">
        <v>12480</v>
      </c>
      <c r="AC640" t="s">
        <v>12481</v>
      </c>
      <c r="AD640" t="s">
        <v>12482</v>
      </c>
      <c r="AE640" t="s">
        <v>12483</v>
      </c>
      <c r="AF640" t="s">
        <v>74</v>
      </c>
      <c r="AG640">
        <v>88</v>
      </c>
      <c r="AH640">
        <v>14</v>
      </c>
      <c r="AI640">
        <v>14</v>
      </c>
      <c r="AJ640">
        <v>4</v>
      </c>
      <c r="AK640">
        <v>35</v>
      </c>
      <c r="AL640" t="s">
        <v>1079</v>
      </c>
      <c r="AM640" t="s">
        <v>4862</v>
      </c>
      <c r="AN640" t="s">
        <v>4863</v>
      </c>
      <c r="AO640" t="s">
        <v>10038</v>
      </c>
      <c r="AP640" t="s">
        <v>10039</v>
      </c>
      <c r="AQ640" t="s">
        <v>74</v>
      </c>
      <c r="AR640" t="s">
        <v>10040</v>
      </c>
      <c r="AS640" t="s">
        <v>10041</v>
      </c>
      <c r="AT640" t="s">
        <v>9222</v>
      </c>
      <c r="AU640">
        <v>2018</v>
      </c>
      <c r="AV640">
        <v>30</v>
      </c>
      <c r="AW640">
        <v>6</v>
      </c>
      <c r="AX640" t="s">
        <v>74</v>
      </c>
      <c r="AY640" t="s">
        <v>74</v>
      </c>
      <c r="AZ640" t="s">
        <v>74</v>
      </c>
      <c r="BA640" t="s">
        <v>74</v>
      </c>
      <c r="BB640">
        <v>3103</v>
      </c>
      <c r="BC640">
        <v>3119</v>
      </c>
      <c r="BD640" t="s">
        <v>74</v>
      </c>
      <c r="BE640" t="s">
        <v>12484</v>
      </c>
      <c r="BF640" t="str">
        <f>HYPERLINK("http://dx.doi.org/10.1007/s10811-018-1455-9","http://dx.doi.org/10.1007/s10811-018-1455-9")</f>
        <v>http://dx.doi.org/10.1007/s10811-018-1455-9</v>
      </c>
      <c r="BG640" t="s">
        <v>74</v>
      </c>
      <c r="BH640" t="s">
        <v>74</v>
      </c>
      <c r="BI640">
        <v>17</v>
      </c>
      <c r="BJ640" t="s">
        <v>10043</v>
      </c>
      <c r="BK640" t="s">
        <v>5354</v>
      </c>
      <c r="BL640" t="s">
        <v>10043</v>
      </c>
      <c r="BM640" t="s">
        <v>10044</v>
      </c>
      <c r="BN640" t="s">
        <v>74</v>
      </c>
      <c r="BO640" t="s">
        <v>74</v>
      </c>
      <c r="BP640" t="s">
        <v>74</v>
      </c>
      <c r="BQ640" t="s">
        <v>74</v>
      </c>
      <c r="BR640" t="s">
        <v>104</v>
      </c>
      <c r="BS640" t="s">
        <v>12485</v>
      </c>
      <c r="BT640" t="str">
        <f>HYPERLINK("https%3A%2F%2Fwww.webofscience.com%2Fwos%2Fwoscc%2Ffull-record%2FWOS:000455405900014","View Full Record in Web of Science")</f>
        <v>View Full Record in Web of Science</v>
      </c>
    </row>
    <row r="641" spans="1:72" x14ac:dyDescent="0.15">
      <c r="A641" t="s">
        <v>72</v>
      </c>
      <c r="B641" t="s">
        <v>12486</v>
      </c>
      <c r="C641" t="s">
        <v>74</v>
      </c>
      <c r="D641" t="s">
        <v>74</v>
      </c>
      <c r="E641" t="s">
        <v>74</v>
      </c>
      <c r="F641" t="s">
        <v>12487</v>
      </c>
      <c r="G641" t="s">
        <v>74</v>
      </c>
      <c r="H641" t="s">
        <v>74</v>
      </c>
      <c r="I641" t="s">
        <v>12488</v>
      </c>
      <c r="J641" t="s">
        <v>10022</v>
      </c>
      <c r="K641" t="s">
        <v>74</v>
      </c>
      <c r="L641" t="s">
        <v>74</v>
      </c>
      <c r="M641" t="s">
        <v>78</v>
      </c>
      <c r="N641" t="s">
        <v>79</v>
      </c>
      <c r="O641" t="s">
        <v>74</v>
      </c>
      <c r="P641" t="s">
        <v>74</v>
      </c>
      <c r="Q641" t="s">
        <v>74</v>
      </c>
      <c r="R641" t="s">
        <v>74</v>
      </c>
      <c r="S641" t="s">
        <v>74</v>
      </c>
      <c r="T641" t="s">
        <v>12489</v>
      </c>
      <c r="U641" t="s">
        <v>12490</v>
      </c>
      <c r="V641" t="s">
        <v>12491</v>
      </c>
      <c r="W641" t="s">
        <v>12492</v>
      </c>
      <c r="X641" t="s">
        <v>12493</v>
      </c>
      <c r="Y641" t="s">
        <v>12494</v>
      </c>
      <c r="Z641" t="s">
        <v>12495</v>
      </c>
      <c r="AA641" t="s">
        <v>12496</v>
      </c>
      <c r="AB641" t="s">
        <v>12497</v>
      </c>
      <c r="AC641" t="s">
        <v>12498</v>
      </c>
      <c r="AD641" t="s">
        <v>12499</v>
      </c>
      <c r="AE641" t="s">
        <v>12500</v>
      </c>
      <c r="AF641" t="s">
        <v>74</v>
      </c>
      <c r="AG641">
        <v>39</v>
      </c>
      <c r="AH641">
        <v>6</v>
      </c>
      <c r="AI641">
        <v>6</v>
      </c>
      <c r="AJ641">
        <v>0</v>
      </c>
      <c r="AK641">
        <v>16</v>
      </c>
      <c r="AL641" t="s">
        <v>1079</v>
      </c>
      <c r="AM641" t="s">
        <v>4862</v>
      </c>
      <c r="AN641" t="s">
        <v>4863</v>
      </c>
      <c r="AO641" t="s">
        <v>10038</v>
      </c>
      <c r="AP641" t="s">
        <v>10039</v>
      </c>
      <c r="AQ641" t="s">
        <v>74</v>
      </c>
      <c r="AR641" t="s">
        <v>10040</v>
      </c>
      <c r="AS641" t="s">
        <v>10041</v>
      </c>
      <c r="AT641" t="s">
        <v>9222</v>
      </c>
      <c r="AU641">
        <v>2018</v>
      </c>
      <c r="AV641">
        <v>30</v>
      </c>
      <c r="AW641">
        <v>6</v>
      </c>
      <c r="AX641" t="s">
        <v>74</v>
      </c>
      <c r="AY641" t="s">
        <v>74</v>
      </c>
      <c r="AZ641" t="s">
        <v>74</v>
      </c>
      <c r="BA641" t="s">
        <v>74</v>
      </c>
      <c r="BB641">
        <v>3519</v>
      </c>
      <c r="BC641">
        <v>3528</v>
      </c>
      <c r="BD641" t="s">
        <v>74</v>
      </c>
      <c r="BE641" t="s">
        <v>12501</v>
      </c>
      <c r="BF641" t="str">
        <f>HYPERLINK("http://dx.doi.org/10.1007/s10811-018-1492-4","http://dx.doi.org/10.1007/s10811-018-1492-4")</f>
        <v>http://dx.doi.org/10.1007/s10811-018-1492-4</v>
      </c>
      <c r="BG641" t="s">
        <v>74</v>
      </c>
      <c r="BH641" t="s">
        <v>74</v>
      </c>
      <c r="BI641">
        <v>10</v>
      </c>
      <c r="BJ641" t="s">
        <v>10043</v>
      </c>
      <c r="BK641" t="s">
        <v>101</v>
      </c>
      <c r="BL641" t="s">
        <v>10043</v>
      </c>
      <c r="BM641" t="s">
        <v>10044</v>
      </c>
      <c r="BN641" t="s">
        <v>74</v>
      </c>
      <c r="BO641" t="s">
        <v>74</v>
      </c>
      <c r="BP641" t="s">
        <v>74</v>
      </c>
      <c r="BQ641" t="s">
        <v>74</v>
      </c>
      <c r="BR641" t="s">
        <v>104</v>
      </c>
      <c r="BS641" t="s">
        <v>12502</v>
      </c>
      <c r="BT641" t="str">
        <f>HYPERLINK("https%3A%2F%2Fwww.webofscience.com%2Fwos%2Fwoscc%2Ffull-record%2FWOS:000455405900052","View Full Record in Web of Science")</f>
        <v>View Full Record in Web of Science</v>
      </c>
    </row>
    <row r="642" spans="1:72" x14ac:dyDescent="0.15">
      <c r="A642" t="s">
        <v>72</v>
      </c>
      <c r="B642" t="s">
        <v>12503</v>
      </c>
      <c r="C642" t="s">
        <v>74</v>
      </c>
      <c r="D642" t="s">
        <v>74</v>
      </c>
      <c r="E642" t="s">
        <v>74</v>
      </c>
      <c r="F642" t="s">
        <v>12504</v>
      </c>
      <c r="G642" t="s">
        <v>74</v>
      </c>
      <c r="H642" t="s">
        <v>74</v>
      </c>
      <c r="I642" t="s">
        <v>12505</v>
      </c>
      <c r="J642" t="s">
        <v>10368</v>
      </c>
      <c r="K642" t="s">
        <v>74</v>
      </c>
      <c r="L642" t="s">
        <v>74</v>
      </c>
      <c r="M642" t="s">
        <v>78</v>
      </c>
      <c r="N642" t="s">
        <v>79</v>
      </c>
      <c r="O642" t="s">
        <v>74</v>
      </c>
      <c r="P642" t="s">
        <v>74</v>
      </c>
      <c r="Q642" t="s">
        <v>74</v>
      </c>
      <c r="R642" t="s">
        <v>74</v>
      </c>
      <c r="S642" t="s">
        <v>74</v>
      </c>
      <c r="T642" t="s">
        <v>12506</v>
      </c>
      <c r="U642" t="s">
        <v>12507</v>
      </c>
      <c r="V642" t="s">
        <v>12508</v>
      </c>
      <c r="W642" t="s">
        <v>12509</v>
      </c>
      <c r="X642" t="s">
        <v>12510</v>
      </c>
      <c r="Y642" t="s">
        <v>12511</v>
      </c>
      <c r="Z642" t="s">
        <v>12512</v>
      </c>
      <c r="AA642" t="s">
        <v>12513</v>
      </c>
      <c r="AB642" t="s">
        <v>12514</v>
      </c>
      <c r="AC642" t="s">
        <v>12515</v>
      </c>
      <c r="AD642" t="s">
        <v>12516</v>
      </c>
      <c r="AE642" t="s">
        <v>12517</v>
      </c>
      <c r="AF642" t="s">
        <v>74</v>
      </c>
      <c r="AG642">
        <v>79</v>
      </c>
      <c r="AH642">
        <v>24</v>
      </c>
      <c r="AI642">
        <v>24</v>
      </c>
      <c r="AJ642">
        <v>0</v>
      </c>
      <c r="AK642">
        <v>10</v>
      </c>
      <c r="AL642" t="s">
        <v>1473</v>
      </c>
      <c r="AM642" t="s">
        <v>151</v>
      </c>
      <c r="AN642" t="s">
        <v>7103</v>
      </c>
      <c r="AO642" t="s">
        <v>10381</v>
      </c>
      <c r="AP642" t="s">
        <v>10382</v>
      </c>
      <c r="AQ642" t="s">
        <v>74</v>
      </c>
      <c r="AR642" t="s">
        <v>10383</v>
      </c>
      <c r="AS642" t="s">
        <v>10384</v>
      </c>
      <c r="AT642" t="s">
        <v>9222</v>
      </c>
      <c r="AU642">
        <v>2018</v>
      </c>
      <c r="AV642">
        <v>64</v>
      </c>
      <c r="AW642">
        <v>248</v>
      </c>
      <c r="AX642" t="s">
        <v>74</v>
      </c>
      <c r="AY642" t="s">
        <v>74</v>
      </c>
      <c r="AZ642" t="s">
        <v>74</v>
      </c>
      <c r="BA642" t="s">
        <v>74</v>
      </c>
      <c r="BB642">
        <v>943</v>
      </c>
      <c r="BC642">
        <v>956</v>
      </c>
      <c r="BD642" t="s">
        <v>74</v>
      </c>
      <c r="BE642" t="s">
        <v>12518</v>
      </c>
      <c r="BF642" t="str">
        <f>HYPERLINK("http://dx.doi.org/10.1017/jog.2018.80","http://dx.doi.org/10.1017/jog.2018.80")</f>
        <v>http://dx.doi.org/10.1017/jog.2018.80</v>
      </c>
      <c r="BG642" t="s">
        <v>74</v>
      </c>
      <c r="BH642" t="s">
        <v>74</v>
      </c>
      <c r="BI642">
        <v>14</v>
      </c>
      <c r="BJ642" t="s">
        <v>1480</v>
      </c>
      <c r="BK642" t="s">
        <v>101</v>
      </c>
      <c r="BL642" t="s">
        <v>1481</v>
      </c>
      <c r="BM642" t="s">
        <v>10386</v>
      </c>
      <c r="BN642" t="s">
        <v>74</v>
      </c>
      <c r="BO642" t="s">
        <v>221</v>
      </c>
      <c r="BP642" t="s">
        <v>74</v>
      </c>
      <c r="BQ642" t="s">
        <v>74</v>
      </c>
      <c r="BR642" t="s">
        <v>104</v>
      </c>
      <c r="BS642" t="s">
        <v>12519</v>
      </c>
      <c r="BT642" t="str">
        <f>HYPERLINK("https%3A%2F%2Fwww.webofscience.com%2Fwos%2Fwoscc%2Ffull-record%2FWOS:000454427700008","View Full Record in Web of Science")</f>
        <v>View Full Record in Web of Science</v>
      </c>
    </row>
    <row r="643" spans="1:72" x14ac:dyDescent="0.15">
      <c r="A643" t="s">
        <v>72</v>
      </c>
      <c r="B643" t="s">
        <v>12520</v>
      </c>
      <c r="C643" t="s">
        <v>74</v>
      </c>
      <c r="D643" t="s">
        <v>74</v>
      </c>
      <c r="E643" t="s">
        <v>74</v>
      </c>
      <c r="F643" t="s">
        <v>12521</v>
      </c>
      <c r="G643" t="s">
        <v>74</v>
      </c>
      <c r="H643" t="s">
        <v>74</v>
      </c>
      <c r="I643" t="s">
        <v>12522</v>
      </c>
      <c r="J643" t="s">
        <v>5980</v>
      </c>
      <c r="K643" t="s">
        <v>74</v>
      </c>
      <c r="L643" t="s">
        <v>74</v>
      </c>
      <c r="M643" t="s">
        <v>78</v>
      </c>
      <c r="N643" t="s">
        <v>79</v>
      </c>
      <c r="O643" t="s">
        <v>74</v>
      </c>
      <c r="P643" t="s">
        <v>74</v>
      </c>
      <c r="Q643" t="s">
        <v>74</v>
      </c>
      <c r="R643" t="s">
        <v>74</v>
      </c>
      <c r="S643" t="s">
        <v>74</v>
      </c>
      <c r="T643" t="s">
        <v>12523</v>
      </c>
      <c r="U643" t="s">
        <v>12524</v>
      </c>
      <c r="V643" t="s">
        <v>12525</v>
      </c>
      <c r="W643" t="s">
        <v>12526</v>
      </c>
      <c r="X643" t="s">
        <v>12527</v>
      </c>
      <c r="Y643" t="s">
        <v>12528</v>
      </c>
      <c r="Z643" t="s">
        <v>12529</v>
      </c>
      <c r="AA643" t="s">
        <v>12530</v>
      </c>
      <c r="AB643" t="s">
        <v>12531</v>
      </c>
      <c r="AC643" t="s">
        <v>12532</v>
      </c>
      <c r="AD643" t="s">
        <v>12533</v>
      </c>
      <c r="AE643" t="s">
        <v>12534</v>
      </c>
      <c r="AF643" t="s">
        <v>74</v>
      </c>
      <c r="AG643">
        <v>70</v>
      </c>
      <c r="AH643">
        <v>31</v>
      </c>
      <c r="AI643">
        <v>35</v>
      </c>
      <c r="AJ643">
        <v>2</v>
      </c>
      <c r="AK643">
        <v>18</v>
      </c>
      <c r="AL643" t="s">
        <v>4136</v>
      </c>
      <c r="AM643" t="s">
        <v>4137</v>
      </c>
      <c r="AN643" t="s">
        <v>4138</v>
      </c>
      <c r="AO643" t="s">
        <v>5993</v>
      </c>
      <c r="AP643" t="s">
        <v>5994</v>
      </c>
      <c r="AQ643" t="s">
        <v>74</v>
      </c>
      <c r="AR643" t="s">
        <v>5995</v>
      </c>
      <c r="AS643" t="s">
        <v>5996</v>
      </c>
      <c r="AT643" t="s">
        <v>9222</v>
      </c>
      <c r="AU643">
        <v>2018</v>
      </c>
      <c r="AV643">
        <v>48</v>
      </c>
      <c r="AW643">
        <v>12</v>
      </c>
      <c r="AX643" t="s">
        <v>74</v>
      </c>
      <c r="AY643" t="s">
        <v>74</v>
      </c>
      <c r="AZ643" t="s">
        <v>74</v>
      </c>
      <c r="BA643" t="s">
        <v>74</v>
      </c>
      <c r="BB643">
        <v>2867</v>
      </c>
      <c r="BC643">
        <v>2885</v>
      </c>
      <c r="BD643" t="s">
        <v>74</v>
      </c>
      <c r="BE643" t="s">
        <v>12535</v>
      </c>
      <c r="BF643" t="str">
        <f>HYPERLINK("http://dx.doi.org/10.1175/JPO-D-18-0077.1","http://dx.doi.org/10.1175/JPO-D-18-0077.1")</f>
        <v>http://dx.doi.org/10.1175/JPO-D-18-0077.1</v>
      </c>
      <c r="BG643" t="s">
        <v>74</v>
      </c>
      <c r="BH643" t="s">
        <v>74</v>
      </c>
      <c r="BI643">
        <v>19</v>
      </c>
      <c r="BJ643" t="s">
        <v>773</v>
      </c>
      <c r="BK643" t="s">
        <v>101</v>
      </c>
      <c r="BL643" t="s">
        <v>773</v>
      </c>
      <c r="BM643" t="s">
        <v>12536</v>
      </c>
      <c r="BN643" t="s">
        <v>74</v>
      </c>
      <c r="BO643" t="s">
        <v>12537</v>
      </c>
      <c r="BP643" t="s">
        <v>74</v>
      </c>
      <c r="BQ643" t="s">
        <v>74</v>
      </c>
      <c r="BR643" t="s">
        <v>104</v>
      </c>
      <c r="BS643" t="s">
        <v>12538</v>
      </c>
      <c r="BT643" t="str">
        <f>HYPERLINK("https%3A%2F%2Fwww.webofscience.com%2Fwos%2Fwoscc%2Ffull-record%2FWOS:000452133600001","View Full Record in Web of Science")</f>
        <v>View Full Record in Web of Science</v>
      </c>
    </row>
    <row r="644" spans="1:72" x14ac:dyDescent="0.15">
      <c r="A644" t="s">
        <v>72</v>
      </c>
      <c r="B644" t="s">
        <v>12539</v>
      </c>
      <c r="C644" t="s">
        <v>74</v>
      </c>
      <c r="D644" t="s">
        <v>74</v>
      </c>
      <c r="E644" t="s">
        <v>74</v>
      </c>
      <c r="F644" t="s">
        <v>12540</v>
      </c>
      <c r="G644" t="s">
        <v>74</v>
      </c>
      <c r="H644" t="s">
        <v>74</v>
      </c>
      <c r="I644" t="s">
        <v>12541</v>
      </c>
      <c r="J644" t="s">
        <v>10488</v>
      </c>
      <c r="K644" t="s">
        <v>74</v>
      </c>
      <c r="L644" t="s">
        <v>74</v>
      </c>
      <c r="M644" t="s">
        <v>78</v>
      </c>
      <c r="N644" t="s">
        <v>79</v>
      </c>
      <c r="O644" t="s">
        <v>74</v>
      </c>
      <c r="P644" t="s">
        <v>74</v>
      </c>
      <c r="Q644" t="s">
        <v>74</v>
      </c>
      <c r="R644" t="s">
        <v>74</v>
      </c>
      <c r="S644" t="s">
        <v>74</v>
      </c>
      <c r="T644" t="s">
        <v>12542</v>
      </c>
      <c r="U644" t="s">
        <v>12543</v>
      </c>
      <c r="V644" t="s">
        <v>12544</v>
      </c>
      <c r="W644" t="s">
        <v>12545</v>
      </c>
      <c r="X644" t="s">
        <v>12546</v>
      </c>
      <c r="Y644" t="s">
        <v>12547</v>
      </c>
      <c r="Z644" t="s">
        <v>12548</v>
      </c>
      <c r="AA644" t="s">
        <v>12549</v>
      </c>
      <c r="AB644" t="s">
        <v>12550</v>
      </c>
      <c r="AC644" t="s">
        <v>12551</v>
      </c>
      <c r="AD644" t="s">
        <v>12552</v>
      </c>
      <c r="AE644" t="s">
        <v>12553</v>
      </c>
      <c r="AF644" t="s">
        <v>74</v>
      </c>
      <c r="AG644">
        <v>98</v>
      </c>
      <c r="AH644">
        <v>71</v>
      </c>
      <c r="AI644">
        <v>76</v>
      </c>
      <c r="AJ644">
        <v>3</v>
      </c>
      <c r="AK644">
        <v>63</v>
      </c>
      <c r="AL644" t="s">
        <v>6139</v>
      </c>
      <c r="AM644" t="s">
        <v>3353</v>
      </c>
      <c r="AN644" t="s">
        <v>6140</v>
      </c>
      <c r="AO644" t="s">
        <v>10499</v>
      </c>
      <c r="AP644" t="s">
        <v>10500</v>
      </c>
      <c r="AQ644" t="s">
        <v>74</v>
      </c>
      <c r="AR644" t="s">
        <v>10501</v>
      </c>
      <c r="AS644" t="s">
        <v>10502</v>
      </c>
      <c r="AT644" t="s">
        <v>9222</v>
      </c>
      <c r="AU644">
        <v>2018</v>
      </c>
      <c r="AV644">
        <v>98</v>
      </c>
      <c r="AW644" t="s">
        <v>74</v>
      </c>
      <c r="AX644" t="s">
        <v>74</v>
      </c>
      <c r="AY644" t="s">
        <v>74</v>
      </c>
      <c r="AZ644" t="s">
        <v>74</v>
      </c>
      <c r="BA644" t="s">
        <v>74</v>
      </c>
      <c r="BB644">
        <v>37</v>
      </c>
      <c r="BC644">
        <v>46</v>
      </c>
      <c r="BD644" t="s">
        <v>74</v>
      </c>
      <c r="BE644" t="s">
        <v>12554</v>
      </c>
      <c r="BF644" t="str">
        <f>HYPERLINK("http://dx.doi.org/10.1016/j.marpol.2018.08.024","http://dx.doi.org/10.1016/j.marpol.2018.08.024")</f>
        <v>http://dx.doi.org/10.1016/j.marpol.2018.08.024</v>
      </c>
      <c r="BG644" t="s">
        <v>74</v>
      </c>
      <c r="BH644" t="s">
        <v>74</v>
      </c>
      <c r="BI644">
        <v>10</v>
      </c>
      <c r="BJ644" t="s">
        <v>10504</v>
      </c>
      <c r="BK644" t="s">
        <v>10505</v>
      </c>
      <c r="BL644" t="s">
        <v>10506</v>
      </c>
      <c r="BM644" t="s">
        <v>10507</v>
      </c>
      <c r="BN644" t="s">
        <v>74</v>
      </c>
      <c r="BO644" t="s">
        <v>5774</v>
      </c>
      <c r="BP644" t="s">
        <v>74</v>
      </c>
      <c r="BQ644" t="s">
        <v>74</v>
      </c>
      <c r="BR644" t="s">
        <v>104</v>
      </c>
      <c r="BS644" t="s">
        <v>12555</v>
      </c>
      <c r="BT644" t="str">
        <f>HYPERLINK("https%3A%2F%2Fwww.webofscience.com%2Fwos%2Fwoscc%2Ffull-record%2FWOS:000454467100005","View Full Record in Web of Science")</f>
        <v>View Full Record in Web of Science</v>
      </c>
    </row>
    <row r="645" spans="1:72" x14ac:dyDescent="0.15">
      <c r="A645" t="s">
        <v>72</v>
      </c>
      <c r="B645" t="s">
        <v>12556</v>
      </c>
      <c r="C645" t="s">
        <v>74</v>
      </c>
      <c r="D645" t="s">
        <v>74</v>
      </c>
      <c r="E645" t="s">
        <v>74</v>
      </c>
      <c r="F645" t="s">
        <v>12557</v>
      </c>
      <c r="G645" t="s">
        <v>74</v>
      </c>
      <c r="H645" t="s">
        <v>74</v>
      </c>
      <c r="I645" t="s">
        <v>12558</v>
      </c>
      <c r="J645" t="s">
        <v>3343</v>
      </c>
      <c r="K645" t="s">
        <v>74</v>
      </c>
      <c r="L645" t="s">
        <v>74</v>
      </c>
      <c r="M645" t="s">
        <v>78</v>
      </c>
      <c r="N645" t="s">
        <v>79</v>
      </c>
      <c r="O645" t="s">
        <v>74</v>
      </c>
      <c r="P645" t="s">
        <v>74</v>
      </c>
      <c r="Q645" t="s">
        <v>74</v>
      </c>
      <c r="R645" t="s">
        <v>74</v>
      </c>
      <c r="S645" t="s">
        <v>74</v>
      </c>
      <c r="T645" t="s">
        <v>12559</v>
      </c>
      <c r="U645" t="s">
        <v>12560</v>
      </c>
      <c r="V645" t="s">
        <v>12561</v>
      </c>
      <c r="W645" t="s">
        <v>12562</v>
      </c>
      <c r="X645" t="s">
        <v>12563</v>
      </c>
      <c r="Y645" t="s">
        <v>12564</v>
      </c>
      <c r="Z645" t="s">
        <v>12565</v>
      </c>
      <c r="AA645" t="s">
        <v>74</v>
      </c>
      <c r="AB645" t="s">
        <v>12566</v>
      </c>
      <c r="AC645" t="s">
        <v>12567</v>
      </c>
      <c r="AD645" t="s">
        <v>12568</v>
      </c>
      <c r="AE645" t="s">
        <v>12569</v>
      </c>
      <c r="AF645" t="s">
        <v>74</v>
      </c>
      <c r="AG645">
        <v>38</v>
      </c>
      <c r="AH645">
        <v>30</v>
      </c>
      <c r="AI645">
        <v>31</v>
      </c>
      <c r="AJ645">
        <v>10</v>
      </c>
      <c r="AK645">
        <v>108</v>
      </c>
      <c r="AL645" t="s">
        <v>3352</v>
      </c>
      <c r="AM645" t="s">
        <v>3353</v>
      </c>
      <c r="AN645" t="s">
        <v>3354</v>
      </c>
      <c r="AO645" t="s">
        <v>3355</v>
      </c>
      <c r="AP645" t="s">
        <v>3356</v>
      </c>
      <c r="AQ645" t="s">
        <v>74</v>
      </c>
      <c r="AR645" t="s">
        <v>3357</v>
      </c>
      <c r="AS645" t="s">
        <v>3358</v>
      </c>
      <c r="AT645" t="s">
        <v>9222</v>
      </c>
      <c r="AU645">
        <v>2018</v>
      </c>
      <c r="AV645">
        <v>137</v>
      </c>
      <c r="AW645" t="s">
        <v>74</v>
      </c>
      <c r="AX645" t="s">
        <v>74</v>
      </c>
      <c r="AY645" t="s">
        <v>74</v>
      </c>
      <c r="AZ645" t="s">
        <v>74</v>
      </c>
      <c r="BA645" t="s">
        <v>74</v>
      </c>
      <c r="BB645">
        <v>533</v>
      </c>
      <c r="BC645">
        <v>541</v>
      </c>
      <c r="BD645" t="s">
        <v>74</v>
      </c>
      <c r="BE645" t="s">
        <v>12570</v>
      </c>
      <c r="BF645" t="str">
        <f>HYPERLINK("http://dx.doi.org/10.1016/j.marpolbul.2018.10.045","http://dx.doi.org/10.1016/j.marpolbul.2018.10.045")</f>
        <v>http://dx.doi.org/10.1016/j.marpolbul.2018.10.045</v>
      </c>
      <c r="BG645" t="s">
        <v>74</v>
      </c>
      <c r="BH645" t="s">
        <v>74</v>
      </c>
      <c r="BI645">
        <v>9</v>
      </c>
      <c r="BJ645" t="s">
        <v>3360</v>
      </c>
      <c r="BK645" t="s">
        <v>101</v>
      </c>
      <c r="BL645" t="s">
        <v>3361</v>
      </c>
      <c r="BM645" t="s">
        <v>10582</v>
      </c>
      <c r="BN645">
        <v>30503465</v>
      </c>
      <c r="BO645" t="s">
        <v>74</v>
      </c>
      <c r="BP645" t="s">
        <v>74</v>
      </c>
      <c r="BQ645" t="s">
        <v>74</v>
      </c>
      <c r="BR645" t="s">
        <v>104</v>
      </c>
      <c r="BS645" t="s">
        <v>12571</v>
      </c>
      <c r="BT645" t="str">
        <f>HYPERLINK("https%3A%2F%2Fwww.webofscience.com%2Fwos%2Fwoscc%2Ffull-record%2FWOS:000453490300060","View Full Record in Web of Science")</f>
        <v>View Full Record in Web of Science</v>
      </c>
    </row>
    <row r="646" spans="1:72" x14ac:dyDescent="0.15">
      <c r="A646" t="s">
        <v>72</v>
      </c>
      <c r="B646" t="s">
        <v>12572</v>
      </c>
      <c r="C646" t="s">
        <v>74</v>
      </c>
      <c r="D646" t="s">
        <v>74</v>
      </c>
      <c r="E646" t="s">
        <v>74</v>
      </c>
      <c r="F646" t="s">
        <v>12573</v>
      </c>
      <c r="G646" t="s">
        <v>74</v>
      </c>
      <c r="H646" t="s">
        <v>74</v>
      </c>
      <c r="I646" t="s">
        <v>12574</v>
      </c>
      <c r="J646" t="s">
        <v>4249</v>
      </c>
      <c r="K646" t="s">
        <v>74</v>
      </c>
      <c r="L646" t="s">
        <v>74</v>
      </c>
      <c r="M646" t="s">
        <v>78</v>
      </c>
      <c r="N646" t="s">
        <v>79</v>
      </c>
      <c r="O646" t="s">
        <v>74</v>
      </c>
      <c r="P646" t="s">
        <v>74</v>
      </c>
      <c r="Q646" t="s">
        <v>74</v>
      </c>
      <c r="R646" t="s">
        <v>74</v>
      </c>
      <c r="S646" t="s">
        <v>74</v>
      </c>
      <c r="T646" t="s">
        <v>12575</v>
      </c>
      <c r="U646" t="s">
        <v>12576</v>
      </c>
      <c r="V646" t="s">
        <v>12577</v>
      </c>
      <c r="W646" t="s">
        <v>12578</v>
      </c>
      <c r="X646" t="s">
        <v>12579</v>
      </c>
      <c r="Y646" t="s">
        <v>12580</v>
      </c>
      <c r="Z646" t="s">
        <v>12581</v>
      </c>
      <c r="AA646" t="s">
        <v>12582</v>
      </c>
      <c r="AB646" t="s">
        <v>12583</v>
      </c>
      <c r="AC646" t="s">
        <v>12584</v>
      </c>
      <c r="AD646" t="s">
        <v>12585</v>
      </c>
      <c r="AE646" t="s">
        <v>12586</v>
      </c>
      <c r="AF646" t="s">
        <v>74</v>
      </c>
      <c r="AG646">
        <v>113</v>
      </c>
      <c r="AH646">
        <v>31</v>
      </c>
      <c r="AI646">
        <v>35</v>
      </c>
      <c r="AJ646">
        <v>3</v>
      </c>
      <c r="AK646">
        <v>57</v>
      </c>
      <c r="AL646" t="s">
        <v>3670</v>
      </c>
      <c r="AM646" t="s">
        <v>3671</v>
      </c>
      <c r="AN646" t="s">
        <v>3672</v>
      </c>
      <c r="AO646" t="s">
        <v>4262</v>
      </c>
      <c r="AP646" t="s">
        <v>4263</v>
      </c>
      <c r="AQ646" t="s">
        <v>74</v>
      </c>
      <c r="AR646" t="s">
        <v>4264</v>
      </c>
      <c r="AS646" t="s">
        <v>4265</v>
      </c>
      <c r="AT646" t="s">
        <v>9222</v>
      </c>
      <c r="AU646">
        <v>2018</v>
      </c>
      <c r="AV646">
        <v>27</v>
      </c>
      <c r="AW646">
        <v>23</v>
      </c>
      <c r="AX646" t="s">
        <v>74</v>
      </c>
      <c r="AY646" t="s">
        <v>74</v>
      </c>
      <c r="AZ646" t="s">
        <v>74</v>
      </c>
      <c r="BA646" t="s">
        <v>74</v>
      </c>
      <c r="BB646">
        <v>4680</v>
      </c>
      <c r="BC646">
        <v>4697</v>
      </c>
      <c r="BD646" t="s">
        <v>74</v>
      </c>
      <c r="BE646" t="s">
        <v>12587</v>
      </c>
      <c r="BF646" t="str">
        <f>HYPERLINK("http://dx.doi.org/10.1111/mec.14896","http://dx.doi.org/10.1111/mec.14896")</f>
        <v>http://dx.doi.org/10.1111/mec.14896</v>
      </c>
      <c r="BG646" t="s">
        <v>74</v>
      </c>
      <c r="BH646" t="s">
        <v>74</v>
      </c>
      <c r="BI646">
        <v>18</v>
      </c>
      <c r="BJ646" t="s">
        <v>4268</v>
      </c>
      <c r="BK646" t="s">
        <v>101</v>
      </c>
      <c r="BL646" t="s">
        <v>4269</v>
      </c>
      <c r="BM646" t="s">
        <v>12588</v>
      </c>
      <c r="BN646">
        <v>30308702</v>
      </c>
      <c r="BO646" t="s">
        <v>4408</v>
      </c>
      <c r="BP646" t="s">
        <v>74</v>
      </c>
      <c r="BQ646" t="s">
        <v>74</v>
      </c>
      <c r="BR646" t="s">
        <v>104</v>
      </c>
      <c r="BS646" t="s">
        <v>12589</v>
      </c>
      <c r="BT646" t="str">
        <f>HYPERLINK("https%3A%2F%2Fwww.webofscience.com%2Fwos%2Fwoscc%2Ffull-record%2FWOS:000453898000003","View Full Record in Web of Science")</f>
        <v>View Full Record in Web of Science</v>
      </c>
    </row>
    <row r="647" spans="1:72" x14ac:dyDescent="0.15">
      <c r="A647" t="s">
        <v>72</v>
      </c>
      <c r="B647" t="s">
        <v>12590</v>
      </c>
      <c r="C647" t="s">
        <v>74</v>
      </c>
      <c r="D647" t="s">
        <v>74</v>
      </c>
      <c r="E647" t="s">
        <v>74</v>
      </c>
      <c r="F647" t="s">
        <v>12591</v>
      </c>
      <c r="G647" t="s">
        <v>74</v>
      </c>
      <c r="H647" t="s">
        <v>74</v>
      </c>
      <c r="I647" t="s">
        <v>12592</v>
      </c>
      <c r="J647" t="s">
        <v>6003</v>
      </c>
      <c r="K647" t="s">
        <v>74</v>
      </c>
      <c r="L647" t="s">
        <v>74</v>
      </c>
      <c r="M647" t="s">
        <v>78</v>
      </c>
      <c r="N647" t="s">
        <v>79</v>
      </c>
      <c r="O647" t="s">
        <v>74</v>
      </c>
      <c r="P647" t="s">
        <v>74</v>
      </c>
      <c r="Q647" t="s">
        <v>74</v>
      </c>
      <c r="R647" t="s">
        <v>74</v>
      </c>
      <c r="S647" t="s">
        <v>74</v>
      </c>
      <c r="T647" t="s">
        <v>12593</v>
      </c>
      <c r="U647" t="s">
        <v>12594</v>
      </c>
      <c r="V647" t="s">
        <v>12595</v>
      </c>
      <c r="W647" t="s">
        <v>12596</v>
      </c>
      <c r="X647" t="s">
        <v>12597</v>
      </c>
      <c r="Y647" t="s">
        <v>12598</v>
      </c>
      <c r="Z647" t="s">
        <v>12599</v>
      </c>
      <c r="AA647" t="s">
        <v>12600</v>
      </c>
      <c r="AB647" t="s">
        <v>12601</v>
      </c>
      <c r="AC647" t="s">
        <v>12602</v>
      </c>
      <c r="AD647" t="s">
        <v>12603</v>
      </c>
      <c r="AE647" t="s">
        <v>12604</v>
      </c>
      <c r="AF647" t="s">
        <v>74</v>
      </c>
      <c r="AG647">
        <v>126</v>
      </c>
      <c r="AH647">
        <v>52</v>
      </c>
      <c r="AI647">
        <v>58</v>
      </c>
      <c r="AJ647">
        <v>0</v>
      </c>
      <c r="AK647">
        <v>50</v>
      </c>
      <c r="AL647" t="s">
        <v>6016</v>
      </c>
      <c r="AM647" t="s">
        <v>6017</v>
      </c>
      <c r="AN647" t="s">
        <v>6018</v>
      </c>
      <c r="AO647" t="s">
        <v>6019</v>
      </c>
      <c r="AP647" t="s">
        <v>6020</v>
      </c>
      <c r="AQ647" t="s">
        <v>74</v>
      </c>
      <c r="AR647" t="s">
        <v>6021</v>
      </c>
      <c r="AS647" t="s">
        <v>6022</v>
      </c>
      <c r="AT647" t="s">
        <v>9222</v>
      </c>
      <c r="AU647">
        <v>2018</v>
      </c>
      <c r="AV647">
        <v>129</v>
      </c>
      <c r="AW647" t="s">
        <v>74</v>
      </c>
      <c r="AX647" t="s">
        <v>74</v>
      </c>
      <c r="AY647" t="s">
        <v>74</v>
      </c>
      <c r="AZ647" t="s">
        <v>74</v>
      </c>
      <c r="BA647" t="s">
        <v>74</v>
      </c>
      <c r="BB647">
        <v>268</v>
      </c>
      <c r="BC647">
        <v>279</v>
      </c>
      <c r="BD647" t="s">
        <v>74</v>
      </c>
      <c r="BE647" t="s">
        <v>12605</v>
      </c>
      <c r="BF647" t="str">
        <f>HYPERLINK("http://dx.doi.org/10.1016/j.ympev.2018.09.001","http://dx.doi.org/10.1016/j.ympev.2018.09.001")</f>
        <v>http://dx.doi.org/10.1016/j.ympev.2018.09.001</v>
      </c>
      <c r="BG647" t="s">
        <v>74</v>
      </c>
      <c r="BH647" t="s">
        <v>74</v>
      </c>
      <c r="BI647">
        <v>12</v>
      </c>
      <c r="BJ647" t="s">
        <v>4242</v>
      </c>
      <c r="BK647" t="s">
        <v>101</v>
      </c>
      <c r="BL647" t="s">
        <v>4242</v>
      </c>
      <c r="BM647" t="s">
        <v>12606</v>
      </c>
      <c r="BN647">
        <v>30195039</v>
      </c>
      <c r="BO647" t="s">
        <v>3810</v>
      </c>
      <c r="BP647" t="s">
        <v>74</v>
      </c>
      <c r="BQ647" t="s">
        <v>74</v>
      </c>
      <c r="BR647" t="s">
        <v>104</v>
      </c>
      <c r="BS647" t="s">
        <v>12607</v>
      </c>
      <c r="BT647" t="str">
        <f>HYPERLINK("https%3A%2F%2Fwww.webofscience.com%2Fwos%2Fwoscc%2Ffull-record%2FWOS:000446023100024","View Full Record in Web of Science")</f>
        <v>View Full Record in Web of Science</v>
      </c>
    </row>
    <row r="648" spans="1:72" x14ac:dyDescent="0.15">
      <c r="A648" t="s">
        <v>72</v>
      </c>
      <c r="B648" t="s">
        <v>12608</v>
      </c>
      <c r="C648" t="s">
        <v>74</v>
      </c>
      <c r="D648" t="s">
        <v>74</v>
      </c>
      <c r="E648" t="s">
        <v>74</v>
      </c>
      <c r="F648" t="s">
        <v>12609</v>
      </c>
      <c r="G648" t="s">
        <v>74</v>
      </c>
      <c r="H648" t="s">
        <v>74</v>
      </c>
      <c r="I648" t="s">
        <v>12610</v>
      </c>
      <c r="J648" t="s">
        <v>12611</v>
      </c>
      <c r="K648" t="s">
        <v>74</v>
      </c>
      <c r="L648" t="s">
        <v>74</v>
      </c>
      <c r="M648" t="s">
        <v>78</v>
      </c>
      <c r="N648" t="s">
        <v>79</v>
      </c>
      <c r="O648" t="s">
        <v>74</v>
      </c>
      <c r="P648" t="s">
        <v>74</v>
      </c>
      <c r="Q648" t="s">
        <v>74</v>
      </c>
      <c r="R648" t="s">
        <v>74</v>
      </c>
      <c r="S648" t="s">
        <v>74</v>
      </c>
      <c r="T648" t="s">
        <v>12612</v>
      </c>
      <c r="U648" t="s">
        <v>12613</v>
      </c>
      <c r="V648" t="s">
        <v>12614</v>
      </c>
      <c r="W648" t="s">
        <v>12615</v>
      </c>
      <c r="X648" t="s">
        <v>3608</v>
      </c>
      <c r="Y648" t="s">
        <v>12616</v>
      </c>
      <c r="Z648" t="s">
        <v>12617</v>
      </c>
      <c r="AA648" t="s">
        <v>12618</v>
      </c>
      <c r="AB648" t="s">
        <v>12619</v>
      </c>
      <c r="AC648" t="s">
        <v>12620</v>
      </c>
      <c r="AD648" t="s">
        <v>12621</v>
      </c>
      <c r="AE648" t="s">
        <v>12622</v>
      </c>
      <c r="AF648" t="s">
        <v>74</v>
      </c>
      <c r="AG648">
        <v>83</v>
      </c>
      <c r="AH648">
        <v>24</v>
      </c>
      <c r="AI648">
        <v>25</v>
      </c>
      <c r="AJ648">
        <v>3</v>
      </c>
      <c r="AK648">
        <v>26</v>
      </c>
      <c r="AL648" t="s">
        <v>1079</v>
      </c>
      <c r="AM648" t="s">
        <v>1080</v>
      </c>
      <c r="AN648" t="s">
        <v>1106</v>
      </c>
      <c r="AO648" t="s">
        <v>12623</v>
      </c>
      <c r="AP648" t="s">
        <v>12624</v>
      </c>
      <c r="AQ648" t="s">
        <v>74</v>
      </c>
      <c r="AR648" t="s">
        <v>12611</v>
      </c>
      <c r="AS648" t="s">
        <v>12625</v>
      </c>
      <c r="AT648" t="s">
        <v>9222</v>
      </c>
      <c r="AU648">
        <v>2018</v>
      </c>
      <c r="AV648">
        <v>188</v>
      </c>
      <c r="AW648">
        <v>4</v>
      </c>
      <c r="AX648" t="s">
        <v>74</v>
      </c>
      <c r="AY648" t="s">
        <v>74</v>
      </c>
      <c r="AZ648" t="s">
        <v>74</v>
      </c>
      <c r="BA648" t="s">
        <v>74</v>
      </c>
      <c r="BB648">
        <v>1239</v>
      </c>
      <c r="BC648">
        <v>1251</v>
      </c>
      <c r="BD648" t="s">
        <v>74</v>
      </c>
      <c r="BE648" t="s">
        <v>12626</v>
      </c>
      <c r="BF648" t="str">
        <f>HYPERLINK("http://dx.doi.org/10.1007/s00442-018-4275-3","http://dx.doi.org/10.1007/s00442-018-4275-3")</f>
        <v>http://dx.doi.org/10.1007/s00442-018-4275-3</v>
      </c>
      <c r="BG648" t="s">
        <v>74</v>
      </c>
      <c r="BH648" t="s">
        <v>74</v>
      </c>
      <c r="BI648">
        <v>13</v>
      </c>
      <c r="BJ648" t="s">
        <v>2400</v>
      </c>
      <c r="BK648" t="s">
        <v>101</v>
      </c>
      <c r="BL648" t="s">
        <v>799</v>
      </c>
      <c r="BM648" t="s">
        <v>12627</v>
      </c>
      <c r="BN648">
        <v>30406820</v>
      </c>
      <c r="BO648" t="s">
        <v>74</v>
      </c>
      <c r="BP648" t="s">
        <v>74</v>
      </c>
      <c r="BQ648" t="s">
        <v>74</v>
      </c>
      <c r="BR648" t="s">
        <v>104</v>
      </c>
      <c r="BS648" t="s">
        <v>12628</v>
      </c>
      <c r="BT648" t="str">
        <f>HYPERLINK("https%3A%2F%2Fwww.webofscience.com%2Fwos%2Fwoscc%2Ffull-record%2FWOS:000450471000025","View Full Record in Web of Science")</f>
        <v>View Full Record in Web of Science</v>
      </c>
    </row>
    <row r="649" spans="1:72" x14ac:dyDescent="0.15">
      <c r="A649" t="s">
        <v>72</v>
      </c>
      <c r="B649" t="s">
        <v>12629</v>
      </c>
      <c r="C649" t="s">
        <v>74</v>
      </c>
      <c r="D649" t="s">
        <v>74</v>
      </c>
      <c r="E649" t="s">
        <v>74</v>
      </c>
      <c r="F649" t="s">
        <v>12630</v>
      </c>
      <c r="G649" t="s">
        <v>74</v>
      </c>
      <c r="H649" t="s">
        <v>74</v>
      </c>
      <c r="I649" t="s">
        <v>12631</v>
      </c>
      <c r="J649" t="s">
        <v>1067</v>
      </c>
      <c r="K649" t="s">
        <v>74</v>
      </c>
      <c r="L649" t="s">
        <v>74</v>
      </c>
      <c r="M649" t="s">
        <v>78</v>
      </c>
      <c r="N649" t="s">
        <v>79</v>
      </c>
      <c r="O649" t="s">
        <v>74</v>
      </c>
      <c r="P649" t="s">
        <v>74</v>
      </c>
      <c r="Q649" t="s">
        <v>74</v>
      </c>
      <c r="R649" t="s">
        <v>74</v>
      </c>
      <c r="S649" t="s">
        <v>74</v>
      </c>
      <c r="T649" t="s">
        <v>12632</v>
      </c>
      <c r="U649" t="s">
        <v>12633</v>
      </c>
      <c r="V649" t="s">
        <v>12634</v>
      </c>
      <c r="W649" t="s">
        <v>12635</v>
      </c>
      <c r="X649" t="s">
        <v>12636</v>
      </c>
      <c r="Y649" t="s">
        <v>12637</v>
      </c>
      <c r="Z649" t="s">
        <v>12638</v>
      </c>
      <c r="AA649" t="s">
        <v>74</v>
      </c>
      <c r="AB649" t="s">
        <v>12639</v>
      </c>
      <c r="AC649" t="s">
        <v>12640</v>
      </c>
      <c r="AD649" t="s">
        <v>12641</v>
      </c>
      <c r="AE649" t="s">
        <v>12642</v>
      </c>
      <c r="AF649" t="s">
        <v>74</v>
      </c>
      <c r="AG649">
        <v>48</v>
      </c>
      <c r="AH649">
        <v>37</v>
      </c>
      <c r="AI649">
        <v>40</v>
      </c>
      <c r="AJ649">
        <v>2</v>
      </c>
      <c r="AK649">
        <v>35</v>
      </c>
      <c r="AL649" t="s">
        <v>1079</v>
      </c>
      <c r="AM649" t="s">
        <v>1080</v>
      </c>
      <c r="AN649" t="s">
        <v>1106</v>
      </c>
      <c r="AO649" t="s">
        <v>1082</v>
      </c>
      <c r="AP649" t="s">
        <v>1083</v>
      </c>
      <c r="AQ649" t="s">
        <v>74</v>
      </c>
      <c r="AR649" t="s">
        <v>1084</v>
      </c>
      <c r="AS649" t="s">
        <v>1085</v>
      </c>
      <c r="AT649" t="s">
        <v>9222</v>
      </c>
      <c r="AU649">
        <v>2018</v>
      </c>
      <c r="AV649">
        <v>41</v>
      </c>
      <c r="AW649">
        <v>12</v>
      </c>
      <c r="AX649" t="s">
        <v>74</v>
      </c>
      <c r="AY649" t="s">
        <v>74</v>
      </c>
      <c r="AZ649" t="s">
        <v>74</v>
      </c>
      <c r="BA649" t="s">
        <v>74</v>
      </c>
      <c r="BB649">
        <v>2481</v>
      </c>
      <c r="BC649">
        <v>2493</v>
      </c>
      <c r="BD649" t="s">
        <v>74</v>
      </c>
      <c r="BE649" t="s">
        <v>12643</v>
      </c>
      <c r="BF649" t="str">
        <f>HYPERLINK("http://dx.doi.org/10.1007/s00300-018-2385-3","http://dx.doi.org/10.1007/s00300-018-2385-3")</f>
        <v>http://dx.doi.org/10.1007/s00300-018-2385-3</v>
      </c>
      <c r="BG649" t="s">
        <v>74</v>
      </c>
      <c r="BH649" t="s">
        <v>74</v>
      </c>
      <c r="BI649">
        <v>13</v>
      </c>
      <c r="BJ649" t="s">
        <v>1087</v>
      </c>
      <c r="BK649" t="s">
        <v>101</v>
      </c>
      <c r="BL649" t="s">
        <v>102</v>
      </c>
      <c r="BM649" t="s">
        <v>11659</v>
      </c>
      <c r="BN649" t="s">
        <v>74</v>
      </c>
      <c r="BO649" t="s">
        <v>74</v>
      </c>
      <c r="BP649" t="s">
        <v>74</v>
      </c>
      <c r="BQ649" t="s">
        <v>74</v>
      </c>
      <c r="BR649" t="s">
        <v>104</v>
      </c>
      <c r="BS649" t="s">
        <v>12644</v>
      </c>
      <c r="BT649" t="str">
        <f>HYPERLINK("https%3A%2F%2Fwww.webofscience.com%2Fwos%2Fwoscc%2Ffull-record%2FWOS:000452376500008","View Full Record in Web of Science")</f>
        <v>View Full Record in Web of Science</v>
      </c>
    </row>
    <row r="650" spans="1:72" x14ac:dyDescent="0.15">
      <c r="A650" t="s">
        <v>72</v>
      </c>
      <c r="B650" t="s">
        <v>12645</v>
      </c>
      <c r="C650" t="s">
        <v>74</v>
      </c>
      <c r="D650" t="s">
        <v>74</v>
      </c>
      <c r="E650" t="s">
        <v>74</v>
      </c>
      <c r="F650" t="s">
        <v>12646</v>
      </c>
      <c r="G650" t="s">
        <v>74</v>
      </c>
      <c r="H650" t="s">
        <v>74</v>
      </c>
      <c r="I650" t="s">
        <v>12647</v>
      </c>
      <c r="J650" t="s">
        <v>1067</v>
      </c>
      <c r="K650" t="s">
        <v>74</v>
      </c>
      <c r="L650" t="s">
        <v>74</v>
      </c>
      <c r="M650" t="s">
        <v>78</v>
      </c>
      <c r="N650" t="s">
        <v>79</v>
      </c>
      <c r="O650" t="s">
        <v>74</v>
      </c>
      <c r="P650" t="s">
        <v>74</v>
      </c>
      <c r="Q650" t="s">
        <v>74</v>
      </c>
      <c r="R650" t="s">
        <v>74</v>
      </c>
      <c r="S650" t="s">
        <v>74</v>
      </c>
      <c r="T650" t="s">
        <v>12648</v>
      </c>
      <c r="U650" t="s">
        <v>12649</v>
      </c>
      <c r="V650" t="s">
        <v>12650</v>
      </c>
      <c r="W650" t="s">
        <v>12651</v>
      </c>
      <c r="X650" t="s">
        <v>12652</v>
      </c>
      <c r="Y650" t="s">
        <v>12653</v>
      </c>
      <c r="Z650" t="s">
        <v>12654</v>
      </c>
      <c r="AA650" t="s">
        <v>12655</v>
      </c>
      <c r="AB650" t="s">
        <v>12656</v>
      </c>
      <c r="AC650" t="s">
        <v>12657</v>
      </c>
      <c r="AD650" t="s">
        <v>12658</v>
      </c>
      <c r="AE650" t="s">
        <v>12659</v>
      </c>
      <c r="AF650" t="s">
        <v>74</v>
      </c>
      <c r="AG650">
        <v>55</v>
      </c>
      <c r="AH650">
        <v>9</v>
      </c>
      <c r="AI650">
        <v>11</v>
      </c>
      <c r="AJ650">
        <v>0</v>
      </c>
      <c r="AK650">
        <v>28</v>
      </c>
      <c r="AL650" t="s">
        <v>1079</v>
      </c>
      <c r="AM650" t="s">
        <v>1080</v>
      </c>
      <c r="AN650" t="s">
        <v>1106</v>
      </c>
      <c r="AO650" t="s">
        <v>1082</v>
      </c>
      <c r="AP650" t="s">
        <v>1083</v>
      </c>
      <c r="AQ650" t="s">
        <v>74</v>
      </c>
      <c r="AR650" t="s">
        <v>1084</v>
      </c>
      <c r="AS650" t="s">
        <v>1085</v>
      </c>
      <c r="AT650" t="s">
        <v>9222</v>
      </c>
      <c r="AU650">
        <v>2018</v>
      </c>
      <c r="AV650">
        <v>41</v>
      </c>
      <c r="AW650">
        <v>12</v>
      </c>
      <c r="AX650" t="s">
        <v>74</v>
      </c>
      <c r="AY650" t="s">
        <v>74</v>
      </c>
      <c r="AZ650" t="s">
        <v>74</v>
      </c>
      <c r="BA650" t="s">
        <v>74</v>
      </c>
      <c r="BB650">
        <v>2523</v>
      </c>
      <c r="BC650">
        <v>2531</v>
      </c>
      <c r="BD650" t="s">
        <v>74</v>
      </c>
      <c r="BE650" t="s">
        <v>12660</v>
      </c>
      <c r="BF650" t="str">
        <f>HYPERLINK("http://dx.doi.org/10.1007/s00300-018-2388-0","http://dx.doi.org/10.1007/s00300-018-2388-0")</f>
        <v>http://dx.doi.org/10.1007/s00300-018-2388-0</v>
      </c>
      <c r="BG650" t="s">
        <v>74</v>
      </c>
      <c r="BH650" t="s">
        <v>74</v>
      </c>
      <c r="BI650">
        <v>9</v>
      </c>
      <c r="BJ650" t="s">
        <v>1087</v>
      </c>
      <c r="BK650" t="s">
        <v>101</v>
      </c>
      <c r="BL650" t="s">
        <v>102</v>
      </c>
      <c r="BM650" t="s">
        <v>11659</v>
      </c>
      <c r="BN650" t="s">
        <v>74</v>
      </c>
      <c r="BO650" t="s">
        <v>74</v>
      </c>
      <c r="BP650" t="s">
        <v>74</v>
      </c>
      <c r="BQ650" t="s">
        <v>74</v>
      </c>
      <c r="BR650" t="s">
        <v>104</v>
      </c>
      <c r="BS650" t="s">
        <v>12661</v>
      </c>
      <c r="BT650" t="str">
        <f>HYPERLINK("https%3A%2F%2Fwww.webofscience.com%2Fwos%2Fwoscc%2Ffull-record%2FWOS:000452376500011","View Full Record in Web of Science")</f>
        <v>View Full Record in Web of Science</v>
      </c>
    </row>
    <row r="651" spans="1:72" x14ac:dyDescent="0.15">
      <c r="A651" t="s">
        <v>72</v>
      </c>
      <c r="B651" t="s">
        <v>12662</v>
      </c>
      <c r="C651" t="s">
        <v>74</v>
      </c>
      <c r="D651" t="s">
        <v>74</v>
      </c>
      <c r="E651" t="s">
        <v>74</v>
      </c>
      <c r="F651" t="s">
        <v>12663</v>
      </c>
      <c r="G651" t="s">
        <v>74</v>
      </c>
      <c r="H651" t="s">
        <v>74</v>
      </c>
      <c r="I651" t="s">
        <v>12664</v>
      </c>
      <c r="J651" t="s">
        <v>9205</v>
      </c>
      <c r="K651" t="s">
        <v>74</v>
      </c>
      <c r="L651" t="s">
        <v>74</v>
      </c>
      <c r="M651" t="s">
        <v>78</v>
      </c>
      <c r="N651" t="s">
        <v>12249</v>
      </c>
      <c r="O651" t="s">
        <v>74</v>
      </c>
      <c r="P651" t="s">
        <v>74</v>
      </c>
      <c r="Q651" t="s">
        <v>74</v>
      </c>
      <c r="R651" t="s">
        <v>74</v>
      </c>
      <c r="S651" t="s">
        <v>74</v>
      </c>
      <c r="T651" t="s">
        <v>12665</v>
      </c>
      <c r="U651" t="s">
        <v>74</v>
      </c>
      <c r="V651" t="s">
        <v>12666</v>
      </c>
      <c r="W651" t="s">
        <v>12667</v>
      </c>
      <c r="X651" t="s">
        <v>12668</v>
      </c>
      <c r="Y651" t="s">
        <v>12669</v>
      </c>
      <c r="Z651" t="s">
        <v>12670</v>
      </c>
      <c r="AA651" t="s">
        <v>12671</v>
      </c>
      <c r="AB651" t="s">
        <v>9214</v>
      </c>
      <c r="AC651" t="s">
        <v>74</v>
      </c>
      <c r="AD651" t="s">
        <v>74</v>
      </c>
      <c r="AE651" t="s">
        <v>74</v>
      </c>
      <c r="AF651" t="s">
        <v>74</v>
      </c>
      <c r="AG651">
        <v>28</v>
      </c>
      <c r="AH651">
        <v>2</v>
      </c>
      <c r="AI651">
        <v>2</v>
      </c>
      <c r="AJ651">
        <v>1</v>
      </c>
      <c r="AK651">
        <v>8</v>
      </c>
      <c r="AL651" t="s">
        <v>3290</v>
      </c>
      <c r="AM651" t="s">
        <v>2520</v>
      </c>
      <c r="AN651" t="s">
        <v>3291</v>
      </c>
      <c r="AO651" t="s">
        <v>9218</v>
      </c>
      <c r="AP651" t="s">
        <v>9219</v>
      </c>
      <c r="AQ651" t="s">
        <v>74</v>
      </c>
      <c r="AR651" t="s">
        <v>9220</v>
      </c>
      <c r="AS651" t="s">
        <v>9221</v>
      </c>
      <c r="AT651" t="s">
        <v>9222</v>
      </c>
      <c r="AU651">
        <v>2018</v>
      </c>
      <c r="AV651">
        <v>18</v>
      </c>
      <c r="AW651" t="s">
        <v>74</v>
      </c>
      <c r="AX651" t="s">
        <v>74</v>
      </c>
      <c r="AY651" t="s">
        <v>74</v>
      </c>
      <c r="AZ651" t="s">
        <v>74</v>
      </c>
      <c r="BA651" t="s">
        <v>74</v>
      </c>
      <c r="BB651">
        <v>1</v>
      </c>
      <c r="BC651">
        <v>4</v>
      </c>
      <c r="BD651" t="s">
        <v>74</v>
      </c>
      <c r="BE651" t="s">
        <v>12672</v>
      </c>
      <c r="BF651" t="str">
        <f>HYPERLINK("http://dx.doi.org/10.1016/j.polar.2018.10.006","http://dx.doi.org/10.1016/j.polar.2018.10.006")</f>
        <v>http://dx.doi.org/10.1016/j.polar.2018.10.006</v>
      </c>
      <c r="BG651" t="s">
        <v>74</v>
      </c>
      <c r="BH651" t="s">
        <v>74</v>
      </c>
      <c r="BI651">
        <v>4</v>
      </c>
      <c r="BJ651" t="s">
        <v>451</v>
      </c>
      <c r="BK651" t="s">
        <v>101</v>
      </c>
      <c r="BL651" t="s">
        <v>452</v>
      </c>
      <c r="BM651" t="s">
        <v>9224</v>
      </c>
      <c r="BN651" t="s">
        <v>74</v>
      </c>
      <c r="BO651" t="s">
        <v>3810</v>
      </c>
      <c r="BP651" t="s">
        <v>74</v>
      </c>
      <c r="BQ651" t="s">
        <v>74</v>
      </c>
      <c r="BR651" t="s">
        <v>104</v>
      </c>
      <c r="BS651" t="s">
        <v>12673</v>
      </c>
      <c r="BT651" t="str">
        <f>HYPERLINK("https%3A%2F%2Fwww.webofscience.com%2Fwos%2Fwoscc%2Ffull-record%2FWOS:000452591600002","View Full Record in Web of Science")</f>
        <v>View Full Record in Web of Science</v>
      </c>
    </row>
    <row r="652" spans="1:72" x14ac:dyDescent="0.15">
      <c r="A652" t="s">
        <v>72</v>
      </c>
      <c r="B652" t="s">
        <v>12674</v>
      </c>
      <c r="C652" t="s">
        <v>74</v>
      </c>
      <c r="D652" t="s">
        <v>74</v>
      </c>
      <c r="E652" t="s">
        <v>74</v>
      </c>
      <c r="F652" t="s">
        <v>12675</v>
      </c>
      <c r="G652" t="s">
        <v>74</v>
      </c>
      <c r="H652" t="s">
        <v>74</v>
      </c>
      <c r="I652" t="s">
        <v>12676</v>
      </c>
      <c r="J652" t="s">
        <v>12677</v>
      </c>
      <c r="K652" t="s">
        <v>74</v>
      </c>
      <c r="L652" t="s">
        <v>74</v>
      </c>
      <c r="M652" t="s">
        <v>78</v>
      </c>
      <c r="N652" t="s">
        <v>79</v>
      </c>
      <c r="O652" t="s">
        <v>74</v>
      </c>
      <c r="P652" t="s">
        <v>74</v>
      </c>
      <c r="Q652" t="s">
        <v>74</v>
      </c>
      <c r="R652" t="s">
        <v>74</v>
      </c>
      <c r="S652" t="s">
        <v>74</v>
      </c>
      <c r="T652" t="s">
        <v>12678</v>
      </c>
      <c r="U652" t="s">
        <v>12679</v>
      </c>
      <c r="V652" t="s">
        <v>12680</v>
      </c>
      <c r="W652" t="s">
        <v>12681</v>
      </c>
      <c r="X652" t="s">
        <v>12682</v>
      </c>
      <c r="Y652" t="s">
        <v>12683</v>
      </c>
      <c r="Z652" t="s">
        <v>12684</v>
      </c>
      <c r="AA652" t="s">
        <v>12685</v>
      </c>
      <c r="AB652" t="s">
        <v>12686</v>
      </c>
      <c r="AC652" t="s">
        <v>12687</v>
      </c>
      <c r="AD652" t="s">
        <v>12688</v>
      </c>
      <c r="AE652" t="s">
        <v>12689</v>
      </c>
      <c r="AF652" t="s">
        <v>74</v>
      </c>
      <c r="AG652">
        <v>85</v>
      </c>
      <c r="AH652">
        <v>10</v>
      </c>
      <c r="AI652">
        <v>11</v>
      </c>
      <c r="AJ652">
        <v>0</v>
      </c>
      <c r="AK652">
        <v>6</v>
      </c>
      <c r="AL652" t="s">
        <v>3352</v>
      </c>
      <c r="AM652" t="s">
        <v>3353</v>
      </c>
      <c r="AN652" t="s">
        <v>3354</v>
      </c>
      <c r="AO652" t="s">
        <v>12690</v>
      </c>
      <c r="AP652" t="s">
        <v>74</v>
      </c>
      <c r="AQ652" t="s">
        <v>74</v>
      </c>
      <c r="AR652" t="s">
        <v>12691</v>
      </c>
      <c r="AS652" t="s">
        <v>12692</v>
      </c>
      <c r="AT652" t="s">
        <v>9222</v>
      </c>
      <c r="AU652">
        <v>2018</v>
      </c>
      <c r="AV652">
        <v>169</v>
      </c>
      <c r="AW652" t="s">
        <v>74</v>
      </c>
      <c r="AX652" t="s">
        <v>74</v>
      </c>
      <c r="AY652" t="s">
        <v>74</v>
      </c>
      <c r="AZ652" t="s">
        <v>4266</v>
      </c>
      <c r="BA652" t="s">
        <v>74</v>
      </c>
      <c r="BB652">
        <v>199</v>
      </c>
      <c r="BC652">
        <v>213</v>
      </c>
      <c r="BD652" t="s">
        <v>74</v>
      </c>
      <c r="BE652" t="s">
        <v>12693</v>
      </c>
      <c r="BF652" t="str">
        <f>HYPERLINK("http://dx.doi.org/10.1016/j.pocean.2017.11.007","http://dx.doi.org/10.1016/j.pocean.2017.11.007")</f>
        <v>http://dx.doi.org/10.1016/j.pocean.2017.11.007</v>
      </c>
      <c r="BG652" t="s">
        <v>74</v>
      </c>
      <c r="BH652" t="s">
        <v>74</v>
      </c>
      <c r="BI652">
        <v>15</v>
      </c>
      <c r="BJ652" t="s">
        <v>773</v>
      </c>
      <c r="BK652" t="s">
        <v>101</v>
      </c>
      <c r="BL652" t="s">
        <v>773</v>
      </c>
      <c r="BM652" t="s">
        <v>12694</v>
      </c>
      <c r="BN652" t="s">
        <v>74</v>
      </c>
      <c r="BO652" t="s">
        <v>74</v>
      </c>
      <c r="BP652" t="s">
        <v>74</v>
      </c>
      <c r="BQ652" t="s">
        <v>74</v>
      </c>
      <c r="BR652" t="s">
        <v>104</v>
      </c>
      <c r="BS652" t="s">
        <v>12695</v>
      </c>
      <c r="BT652" t="str">
        <f>HYPERLINK("https%3A%2F%2Fwww.webofscience.com%2Fwos%2Fwoscc%2Ffull-record%2FWOS:000454968300015","View Full Record in Web of Science")</f>
        <v>View Full Record in Web of Science</v>
      </c>
    </row>
    <row r="653" spans="1:72" x14ac:dyDescent="0.15">
      <c r="A653" t="s">
        <v>72</v>
      </c>
      <c r="B653" t="s">
        <v>12696</v>
      </c>
      <c r="C653" t="s">
        <v>74</v>
      </c>
      <c r="D653" t="s">
        <v>74</v>
      </c>
      <c r="E653" t="s">
        <v>74</v>
      </c>
      <c r="F653" t="s">
        <v>12697</v>
      </c>
      <c r="G653" t="s">
        <v>74</v>
      </c>
      <c r="H653" t="s">
        <v>74</v>
      </c>
      <c r="I653" t="s">
        <v>12698</v>
      </c>
      <c r="J653" t="s">
        <v>5714</v>
      </c>
      <c r="K653" t="s">
        <v>74</v>
      </c>
      <c r="L653" t="s">
        <v>74</v>
      </c>
      <c r="M653" t="s">
        <v>78</v>
      </c>
      <c r="N653" t="s">
        <v>79</v>
      </c>
      <c r="O653" t="s">
        <v>74</v>
      </c>
      <c r="P653" t="s">
        <v>74</v>
      </c>
      <c r="Q653" t="s">
        <v>74</v>
      </c>
      <c r="R653" t="s">
        <v>74</v>
      </c>
      <c r="S653" t="s">
        <v>74</v>
      </c>
      <c r="T653" t="s">
        <v>12699</v>
      </c>
      <c r="U653" t="s">
        <v>12700</v>
      </c>
      <c r="V653" t="s">
        <v>12701</v>
      </c>
      <c r="W653" t="s">
        <v>12702</v>
      </c>
      <c r="X653" t="s">
        <v>12703</v>
      </c>
      <c r="Y653" t="s">
        <v>12704</v>
      </c>
      <c r="Z653" t="s">
        <v>12705</v>
      </c>
      <c r="AA653" t="s">
        <v>12706</v>
      </c>
      <c r="AB653" t="s">
        <v>12707</v>
      </c>
      <c r="AC653" t="s">
        <v>12708</v>
      </c>
      <c r="AD653" t="s">
        <v>12709</v>
      </c>
      <c r="AE653" t="s">
        <v>12710</v>
      </c>
      <c r="AF653" t="s">
        <v>74</v>
      </c>
      <c r="AG653">
        <v>137</v>
      </c>
      <c r="AH653">
        <v>68</v>
      </c>
      <c r="AI653">
        <v>71</v>
      </c>
      <c r="AJ653">
        <v>1</v>
      </c>
      <c r="AK653">
        <v>51</v>
      </c>
      <c r="AL653" t="s">
        <v>3352</v>
      </c>
      <c r="AM653" t="s">
        <v>3353</v>
      </c>
      <c r="AN653" t="s">
        <v>3354</v>
      </c>
      <c r="AO653" t="s">
        <v>5727</v>
      </c>
      <c r="AP653" t="s">
        <v>12711</v>
      </c>
      <c r="AQ653" t="s">
        <v>74</v>
      </c>
      <c r="AR653" t="s">
        <v>5728</v>
      </c>
      <c r="AS653" t="s">
        <v>5729</v>
      </c>
      <c r="AT653" t="s">
        <v>10758</v>
      </c>
      <c r="AU653">
        <v>2018</v>
      </c>
      <c r="AV653">
        <v>201</v>
      </c>
      <c r="AW653" t="s">
        <v>74</v>
      </c>
      <c r="AX653" t="s">
        <v>74</v>
      </c>
      <c r="AY653" t="s">
        <v>74</v>
      </c>
      <c r="AZ653" t="s">
        <v>74</v>
      </c>
      <c r="BA653" t="s">
        <v>74</v>
      </c>
      <c r="BB653">
        <v>44</v>
      </c>
      <c r="BC653">
        <v>56</v>
      </c>
      <c r="BD653" t="s">
        <v>74</v>
      </c>
      <c r="BE653" t="s">
        <v>12712</v>
      </c>
      <c r="BF653" t="str">
        <f>HYPERLINK("http://dx.doi.org/10.1016/j.quascirev.2018.10.005","http://dx.doi.org/10.1016/j.quascirev.2018.10.005")</f>
        <v>http://dx.doi.org/10.1016/j.quascirev.2018.10.005</v>
      </c>
      <c r="BG653" t="s">
        <v>74</v>
      </c>
      <c r="BH653" t="s">
        <v>74</v>
      </c>
      <c r="BI653">
        <v>13</v>
      </c>
      <c r="BJ653" t="s">
        <v>1480</v>
      </c>
      <c r="BK653" t="s">
        <v>101</v>
      </c>
      <c r="BL653" t="s">
        <v>1481</v>
      </c>
      <c r="BM653" t="s">
        <v>12064</v>
      </c>
      <c r="BN653" t="s">
        <v>74</v>
      </c>
      <c r="BO653" t="s">
        <v>12713</v>
      </c>
      <c r="BP653" t="s">
        <v>74</v>
      </c>
      <c r="BQ653" t="s">
        <v>74</v>
      </c>
      <c r="BR653" t="s">
        <v>104</v>
      </c>
      <c r="BS653" t="s">
        <v>12714</v>
      </c>
      <c r="BT653" t="str">
        <f>HYPERLINK("https%3A%2F%2Fwww.webofscience.com%2Fwos%2Fwoscc%2Ffull-record%2FWOS:000452934700004","View Full Record in Web of Science")</f>
        <v>View Full Record in Web of Science</v>
      </c>
    </row>
    <row r="654" spans="1:72" x14ac:dyDescent="0.15">
      <c r="A654" t="s">
        <v>72</v>
      </c>
      <c r="B654" t="s">
        <v>12715</v>
      </c>
      <c r="C654" t="s">
        <v>74</v>
      </c>
      <c r="D654" t="s">
        <v>74</v>
      </c>
      <c r="E654" t="s">
        <v>74</v>
      </c>
      <c r="F654" t="s">
        <v>12716</v>
      </c>
      <c r="G654" t="s">
        <v>74</v>
      </c>
      <c r="H654" t="s">
        <v>74</v>
      </c>
      <c r="I654" t="s">
        <v>12717</v>
      </c>
      <c r="J654" t="s">
        <v>12718</v>
      </c>
      <c r="K654" t="s">
        <v>74</v>
      </c>
      <c r="L654" t="s">
        <v>74</v>
      </c>
      <c r="M654" t="s">
        <v>78</v>
      </c>
      <c r="N654" t="s">
        <v>1003</v>
      </c>
      <c r="O654" t="s">
        <v>74</v>
      </c>
      <c r="P654" t="s">
        <v>74</v>
      </c>
      <c r="Q654" t="s">
        <v>74</v>
      </c>
      <c r="R654" t="s">
        <v>74</v>
      </c>
      <c r="S654" t="s">
        <v>74</v>
      </c>
      <c r="T654" t="s">
        <v>12719</v>
      </c>
      <c r="U654" t="s">
        <v>12720</v>
      </c>
      <c r="V654" t="s">
        <v>12721</v>
      </c>
      <c r="W654" t="s">
        <v>12722</v>
      </c>
      <c r="X654" t="s">
        <v>12723</v>
      </c>
      <c r="Y654" t="s">
        <v>12724</v>
      </c>
      <c r="Z654" t="s">
        <v>12725</v>
      </c>
      <c r="AA654" t="s">
        <v>12726</v>
      </c>
      <c r="AB654" t="s">
        <v>12727</v>
      </c>
      <c r="AC654" t="s">
        <v>12728</v>
      </c>
      <c r="AD654" t="s">
        <v>12729</v>
      </c>
      <c r="AE654" t="s">
        <v>12730</v>
      </c>
      <c r="AF654" t="s">
        <v>74</v>
      </c>
      <c r="AG654">
        <v>223</v>
      </c>
      <c r="AH654">
        <v>172</v>
      </c>
      <c r="AI654">
        <v>189</v>
      </c>
      <c r="AJ654">
        <v>17</v>
      </c>
      <c r="AK654">
        <v>101</v>
      </c>
      <c r="AL654" t="s">
        <v>4034</v>
      </c>
      <c r="AM654" t="s">
        <v>4035</v>
      </c>
      <c r="AN654" t="s">
        <v>4036</v>
      </c>
      <c r="AO654" t="s">
        <v>12731</v>
      </c>
      <c r="AP654" t="s">
        <v>12732</v>
      </c>
      <c r="AQ654" t="s">
        <v>74</v>
      </c>
      <c r="AR654" t="s">
        <v>12733</v>
      </c>
      <c r="AS654" t="s">
        <v>12734</v>
      </c>
      <c r="AT654" t="s">
        <v>9222</v>
      </c>
      <c r="AU654">
        <v>2018</v>
      </c>
      <c r="AV654">
        <v>56</v>
      </c>
      <c r="AW654">
        <v>4</v>
      </c>
      <c r="AX654" t="s">
        <v>74</v>
      </c>
      <c r="AY654" t="s">
        <v>74</v>
      </c>
      <c r="AZ654" t="s">
        <v>74</v>
      </c>
      <c r="BA654" t="s">
        <v>74</v>
      </c>
      <c r="BB654">
        <v>741</v>
      </c>
      <c r="BC654">
        <v>770</v>
      </c>
      <c r="BD654" t="s">
        <v>74</v>
      </c>
      <c r="BE654" t="s">
        <v>12735</v>
      </c>
      <c r="BF654" t="str">
        <f>HYPERLINK("http://dx.doi.org/10.1029/2018RG000624","http://dx.doi.org/10.1029/2018RG000624")</f>
        <v>http://dx.doi.org/10.1029/2018RG000624</v>
      </c>
      <c r="BG654" t="s">
        <v>74</v>
      </c>
      <c r="BH654" t="s">
        <v>74</v>
      </c>
      <c r="BI654">
        <v>30</v>
      </c>
      <c r="BJ654" t="s">
        <v>746</v>
      </c>
      <c r="BK654" t="s">
        <v>101</v>
      </c>
      <c r="BL654" t="s">
        <v>746</v>
      </c>
      <c r="BM654" t="s">
        <v>12736</v>
      </c>
      <c r="BN654" t="s">
        <v>74</v>
      </c>
      <c r="BO654" t="s">
        <v>4700</v>
      </c>
      <c r="BP654" t="s">
        <v>4786</v>
      </c>
      <c r="BQ654" t="s">
        <v>4787</v>
      </c>
      <c r="BR654" t="s">
        <v>104</v>
      </c>
      <c r="BS654" t="s">
        <v>12737</v>
      </c>
      <c r="BT654" t="str">
        <f>HYPERLINK("https%3A%2F%2Fwww.webofscience.com%2Fwos%2Fwoscc%2Ffull-record%2FWOS:000456026600006","View Full Record in Web of Science")</f>
        <v>View Full Record in Web of Science</v>
      </c>
    </row>
    <row r="655" spans="1:72" x14ac:dyDescent="0.15">
      <c r="A655" t="s">
        <v>72</v>
      </c>
      <c r="B655" t="s">
        <v>12738</v>
      </c>
      <c r="C655" t="s">
        <v>74</v>
      </c>
      <c r="D655" t="s">
        <v>74</v>
      </c>
      <c r="E655" t="s">
        <v>74</v>
      </c>
      <c r="F655" t="s">
        <v>12739</v>
      </c>
      <c r="G655" t="s">
        <v>74</v>
      </c>
      <c r="H655" t="s">
        <v>74</v>
      </c>
      <c r="I655" t="s">
        <v>12740</v>
      </c>
      <c r="J655" t="s">
        <v>12181</v>
      </c>
      <c r="K655" t="s">
        <v>74</v>
      </c>
      <c r="L655" t="s">
        <v>74</v>
      </c>
      <c r="M655" t="s">
        <v>78</v>
      </c>
      <c r="N655" t="s">
        <v>79</v>
      </c>
      <c r="O655" t="s">
        <v>74</v>
      </c>
      <c r="P655" t="s">
        <v>74</v>
      </c>
      <c r="Q655" t="s">
        <v>74</v>
      </c>
      <c r="R655" t="s">
        <v>74</v>
      </c>
      <c r="S655" t="s">
        <v>74</v>
      </c>
      <c r="T655" t="s">
        <v>12741</v>
      </c>
      <c r="U655" t="s">
        <v>12742</v>
      </c>
      <c r="V655" t="s">
        <v>12743</v>
      </c>
      <c r="W655" t="s">
        <v>12744</v>
      </c>
      <c r="X655" t="s">
        <v>12745</v>
      </c>
      <c r="Y655" t="s">
        <v>12746</v>
      </c>
      <c r="Z655" t="s">
        <v>12747</v>
      </c>
      <c r="AA655" t="s">
        <v>74</v>
      </c>
      <c r="AB655" t="s">
        <v>74</v>
      </c>
      <c r="AC655" t="s">
        <v>12748</v>
      </c>
      <c r="AD655" t="s">
        <v>12748</v>
      </c>
      <c r="AE655" t="s">
        <v>12749</v>
      </c>
      <c r="AF655" t="s">
        <v>74</v>
      </c>
      <c r="AG655">
        <v>43</v>
      </c>
      <c r="AH655">
        <v>18</v>
      </c>
      <c r="AI655">
        <v>18</v>
      </c>
      <c r="AJ655">
        <v>1</v>
      </c>
      <c r="AK655">
        <v>30</v>
      </c>
      <c r="AL655" t="s">
        <v>1203</v>
      </c>
      <c r="AM655" t="s">
        <v>1204</v>
      </c>
      <c r="AN655" t="s">
        <v>1205</v>
      </c>
      <c r="AO655" t="s">
        <v>12194</v>
      </c>
      <c r="AP655" t="s">
        <v>12195</v>
      </c>
      <c r="AQ655" t="s">
        <v>74</v>
      </c>
      <c r="AR655" t="s">
        <v>12196</v>
      </c>
      <c r="AS655" t="s">
        <v>12197</v>
      </c>
      <c r="AT655" t="s">
        <v>9222</v>
      </c>
      <c r="AU655">
        <v>2018</v>
      </c>
      <c r="AV655">
        <v>229</v>
      </c>
      <c r="AW655">
        <v>12</v>
      </c>
      <c r="AX655" t="s">
        <v>74</v>
      </c>
      <c r="AY655" t="s">
        <v>74</v>
      </c>
      <c r="AZ655" t="s">
        <v>74</v>
      </c>
      <c r="BA655" t="s">
        <v>74</v>
      </c>
      <c r="BB655" t="s">
        <v>74</v>
      </c>
      <c r="BC655" t="s">
        <v>74</v>
      </c>
      <c r="BD655">
        <v>398</v>
      </c>
      <c r="BE655" t="s">
        <v>12750</v>
      </c>
      <c r="BF655" t="str">
        <f>HYPERLINK("http://dx.doi.org/10.1007/s11270-018-4045-1","http://dx.doi.org/10.1007/s11270-018-4045-1")</f>
        <v>http://dx.doi.org/10.1007/s11270-018-4045-1</v>
      </c>
      <c r="BG655" t="s">
        <v>74</v>
      </c>
      <c r="BH655" t="s">
        <v>74</v>
      </c>
      <c r="BI655">
        <v>11</v>
      </c>
      <c r="BJ655" t="s">
        <v>12199</v>
      </c>
      <c r="BK655" t="s">
        <v>101</v>
      </c>
      <c r="BL655" t="s">
        <v>12200</v>
      </c>
      <c r="BM655" t="s">
        <v>12751</v>
      </c>
      <c r="BN655" t="s">
        <v>74</v>
      </c>
      <c r="BO655" t="s">
        <v>74</v>
      </c>
      <c r="BP655" t="s">
        <v>74</v>
      </c>
      <c r="BQ655" t="s">
        <v>74</v>
      </c>
      <c r="BR655" t="s">
        <v>104</v>
      </c>
      <c r="BS655" t="s">
        <v>12752</v>
      </c>
      <c r="BT655" t="str">
        <f>HYPERLINK("https%3A%2F%2Fwww.webofscience.com%2Fwos%2Fwoscc%2Ffull-record%2FWOS:000452088600001","View Full Record in Web of Science")</f>
        <v>View Full Record in Web of Science</v>
      </c>
    </row>
    <row r="656" spans="1:72" x14ac:dyDescent="0.15">
      <c r="A656" t="s">
        <v>72</v>
      </c>
      <c r="B656" t="s">
        <v>12753</v>
      </c>
      <c r="C656" t="s">
        <v>74</v>
      </c>
      <c r="D656" t="s">
        <v>74</v>
      </c>
      <c r="E656" t="s">
        <v>74</v>
      </c>
      <c r="F656" t="s">
        <v>12754</v>
      </c>
      <c r="G656" t="s">
        <v>74</v>
      </c>
      <c r="H656" t="s">
        <v>74</v>
      </c>
      <c r="I656" t="s">
        <v>12755</v>
      </c>
      <c r="J656" t="s">
        <v>12756</v>
      </c>
      <c r="K656" t="s">
        <v>74</v>
      </c>
      <c r="L656" t="s">
        <v>74</v>
      </c>
      <c r="M656" t="s">
        <v>78</v>
      </c>
      <c r="N656" t="s">
        <v>79</v>
      </c>
      <c r="O656" t="s">
        <v>74</v>
      </c>
      <c r="P656" t="s">
        <v>74</v>
      </c>
      <c r="Q656" t="s">
        <v>74</v>
      </c>
      <c r="R656" t="s">
        <v>74</v>
      </c>
      <c r="S656" t="s">
        <v>74</v>
      </c>
      <c r="T656" t="s">
        <v>12757</v>
      </c>
      <c r="U656" t="s">
        <v>12758</v>
      </c>
      <c r="V656" t="s">
        <v>12759</v>
      </c>
      <c r="W656" t="s">
        <v>12760</v>
      </c>
      <c r="X656" t="s">
        <v>12761</v>
      </c>
      <c r="Y656" t="s">
        <v>12762</v>
      </c>
      <c r="Z656" t="s">
        <v>12763</v>
      </c>
      <c r="AA656" t="s">
        <v>74</v>
      </c>
      <c r="AB656" t="s">
        <v>74</v>
      </c>
      <c r="AC656" t="s">
        <v>74</v>
      </c>
      <c r="AD656" t="s">
        <v>74</v>
      </c>
      <c r="AE656" t="s">
        <v>74</v>
      </c>
      <c r="AF656" t="s">
        <v>74</v>
      </c>
      <c r="AG656">
        <v>10</v>
      </c>
      <c r="AH656">
        <v>0</v>
      </c>
      <c r="AI656">
        <v>0</v>
      </c>
      <c r="AJ656">
        <v>0</v>
      </c>
      <c r="AK656">
        <v>5</v>
      </c>
      <c r="AL656" t="s">
        <v>12764</v>
      </c>
      <c r="AM656" t="s">
        <v>12765</v>
      </c>
      <c r="AN656" t="s">
        <v>12766</v>
      </c>
      <c r="AO656" t="s">
        <v>12767</v>
      </c>
      <c r="AP656" t="s">
        <v>12768</v>
      </c>
      <c r="AQ656" t="s">
        <v>74</v>
      </c>
      <c r="AR656" t="s">
        <v>12769</v>
      </c>
      <c r="AS656" t="s">
        <v>12770</v>
      </c>
      <c r="AT656" t="s">
        <v>9222</v>
      </c>
      <c r="AU656">
        <v>2018</v>
      </c>
      <c r="AV656">
        <v>30</v>
      </c>
      <c r="AW656">
        <v>4</v>
      </c>
      <c r="AX656" t="s">
        <v>74</v>
      </c>
      <c r="AY656" t="s">
        <v>74</v>
      </c>
      <c r="AZ656" t="s">
        <v>74</v>
      </c>
      <c r="BA656" t="s">
        <v>74</v>
      </c>
      <c r="BB656">
        <v>274</v>
      </c>
      <c r="BC656">
        <v>277</v>
      </c>
      <c r="BD656" t="s">
        <v>74</v>
      </c>
      <c r="BE656" t="s">
        <v>12771</v>
      </c>
      <c r="BF656" t="str">
        <f>HYPERLINK("http://dx.doi.org/10.1556/1326.2017.00298","http://dx.doi.org/10.1556/1326.2017.00298")</f>
        <v>http://dx.doi.org/10.1556/1326.2017.00298</v>
      </c>
      <c r="BG656" t="s">
        <v>74</v>
      </c>
      <c r="BH656" t="s">
        <v>74</v>
      </c>
      <c r="BI656">
        <v>4</v>
      </c>
      <c r="BJ656" t="s">
        <v>11576</v>
      </c>
      <c r="BK656" t="s">
        <v>101</v>
      </c>
      <c r="BL656" t="s">
        <v>2526</v>
      </c>
      <c r="BM656" t="s">
        <v>12772</v>
      </c>
      <c r="BN656" t="s">
        <v>74</v>
      </c>
      <c r="BO656" t="s">
        <v>131</v>
      </c>
      <c r="BP656" t="s">
        <v>74</v>
      </c>
      <c r="BQ656" t="s">
        <v>74</v>
      </c>
      <c r="BR656" t="s">
        <v>104</v>
      </c>
      <c r="BS656" t="s">
        <v>12773</v>
      </c>
      <c r="BT656" t="str">
        <f>HYPERLINK("https%3A%2F%2Fwww.webofscience.com%2Fwos%2Fwoscc%2Ffull-record%2FWOS:000450760400012","View Full Record in Web of Science")</f>
        <v>View Full Record in Web of Science</v>
      </c>
    </row>
    <row r="657" spans="1:72" x14ac:dyDescent="0.15">
      <c r="A657" t="s">
        <v>72</v>
      </c>
      <c r="B657" t="s">
        <v>12774</v>
      </c>
      <c r="C657" t="s">
        <v>74</v>
      </c>
      <c r="D657" t="s">
        <v>74</v>
      </c>
      <c r="E657" t="s">
        <v>74</v>
      </c>
      <c r="F657" t="s">
        <v>12775</v>
      </c>
      <c r="G657" t="s">
        <v>74</v>
      </c>
      <c r="H657" t="s">
        <v>74</v>
      </c>
      <c r="I657" t="s">
        <v>12776</v>
      </c>
      <c r="J657" t="s">
        <v>12777</v>
      </c>
      <c r="K657" t="s">
        <v>74</v>
      </c>
      <c r="L657" t="s">
        <v>74</v>
      </c>
      <c r="M657" t="s">
        <v>78</v>
      </c>
      <c r="N657" t="s">
        <v>79</v>
      </c>
      <c r="O657" t="s">
        <v>74</v>
      </c>
      <c r="P657" t="s">
        <v>74</v>
      </c>
      <c r="Q657" t="s">
        <v>74</v>
      </c>
      <c r="R657" t="s">
        <v>74</v>
      </c>
      <c r="S657" t="s">
        <v>74</v>
      </c>
      <c r="T657" t="s">
        <v>12778</v>
      </c>
      <c r="U657" t="s">
        <v>12779</v>
      </c>
      <c r="V657" t="s">
        <v>12780</v>
      </c>
      <c r="W657" t="s">
        <v>12781</v>
      </c>
      <c r="X657" t="s">
        <v>12782</v>
      </c>
      <c r="Y657" t="s">
        <v>12783</v>
      </c>
      <c r="Z657" t="s">
        <v>12784</v>
      </c>
      <c r="AA657" t="s">
        <v>12785</v>
      </c>
      <c r="AB657" t="s">
        <v>12786</v>
      </c>
      <c r="AC657" t="s">
        <v>12787</v>
      </c>
      <c r="AD657" t="s">
        <v>12787</v>
      </c>
      <c r="AE657" t="s">
        <v>12788</v>
      </c>
      <c r="AF657" t="s">
        <v>74</v>
      </c>
      <c r="AG657">
        <v>55</v>
      </c>
      <c r="AH657">
        <v>17</v>
      </c>
      <c r="AI657">
        <v>17</v>
      </c>
      <c r="AJ657">
        <v>0</v>
      </c>
      <c r="AK657">
        <v>8</v>
      </c>
      <c r="AL657" t="s">
        <v>4136</v>
      </c>
      <c r="AM657" t="s">
        <v>4137</v>
      </c>
      <c r="AN657" t="s">
        <v>4138</v>
      </c>
      <c r="AO657" t="s">
        <v>12789</v>
      </c>
      <c r="AP657" t="s">
        <v>12790</v>
      </c>
      <c r="AQ657" t="s">
        <v>74</v>
      </c>
      <c r="AR657" t="s">
        <v>12791</v>
      </c>
      <c r="AS657" t="s">
        <v>12792</v>
      </c>
      <c r="AT657" t="s">
        <v>9222</v>
      </c>
      <c r="AU657">
        <v>2018</v>
      </c>
      <c r="AV657">
        <v>146</v>
      </c>
      <c r="AW657">
        <v>12</v>
      </c>
      <c r="AX657" t="s">
        <v>74</v>
      </c>
      <c r="AY657" t="s">
        <v>74</v>
      </c>
      <c r="AZ657" t="s">
        <v>74</v>
      </c>
      <c r="BA657" t="s">
        <v>74</v>
      </c>
      <c r="BB657">
        <v>4201</v>
      </c>
      <c r="BC657">
        <v>4230</v>
      </c>
      <c r="BD657" t="s">
        <v>74</v>
      </c>
      <c r="BE657" t="s">
        <v>12793</v>
      </c>
      <c r="BF657" t="str">
        <f>HYPERLINK("http://dx.doi.org/10.1175/MWR-D-18-0135.1","http://dx.doi.org/10.1175/MWR-D-18-0135.1")</f>
        <v>http://dx.doi.org/10.1175/MWR-D-18-0135.1</v>
      </c>
      <c r="BG657" t="s">
        <v>74</v>
      </c>
      <c r="BH657" t="s">
        <v>74</v>
      </c>
      <c r="BI657">
        <v>30</v>
      </c>
      <c r="BJ657" t="s">
        <v>3037</v>
      </c>
      <c r="BK657" t="s">
        <v>101</v>
      </c>
      <c r="BL657" t="s">
        <v>3037</v>
      </c>
      <c r="BM657" t="s">
        <v>12794</v>
      </c>
      <c r="BN657" t="s">
        <v>74</v>
      </c>
      <c r="BO657" t="s">
        <v>162</v>
      </c>
      <c r="BP657" t="s">
        <v>74</v>
      </c>
      <c r="BQ657" t="s">
        <v>74</v>
      </c>
      <c r="BR657" t="s">
        <v>104</v>
      </c>
      <c r="BS657" t="s">
        <v>12795</v>
      </c>
      <c r="BT657" t="str">
        <f>HYPERLINK("https%3A%2F%2Fwww.webofscience.com%2Fwos%2Fwoscc%2Ffull-record%2FWOS:000450408200004","View Full Record in Web of Science")</f>
        <v>View Full Record in Web of Science</v>
      </c>
    </row>
    <row r="658" spans="1:72" x14ac:dyDescent="0.15">
      <c r="A658" t="s">
        <v>72</v>
      </c>
      <c r="B658" t="s">
        <v>12796</v>
      </c>
      <c r="C658" t="s">
        <v>74</v>
      </c>
      <c r="D658" t="s">
        <v>74</v>
      </c>
      <c r="E658" t="s">
        <v>74</v>
      </c>
      <c r="F658" t="s">
        <v>12797</v>
      </c>
      <c r="G658" t="s">
        <v>74</v>
      </c>
      <c r="H658" t="s">
        <v>74</v>
      </c>
      <c r="I658" t="s">
        <v>12798</v>
      </c>
      <c r="J658" t="s">
        <v>11272</v>
      </c>
      <c r="K658" t="s">
        <v>74</v>
      </c>
      <c r="L658" t="s">
        <v>74</v>
      </c>
      <c r="M658" t="s">
        <v>78</v>
      </c>
      <c r="N658" t="s">
        <v>79</v>
      </c>
      <c r="O658" t="s">
        <v>74</v>
      </c>
      <c r="P658" t="s">
        <v>74</v>
      </c>
      <c r="Q658" t="s">
        <v>74</v>
      </c>
      <c r="R658" t="s">
        <v>74</v>
      </c>
      <c r="S658" t="s">
        <v>74</v>
      </c>
      <c r="T658" t="s">
        <v>12799</v>
      </c>
      <c r="U658" t="s">
        <v>12800</v>
      </c>
      <c r="V658" t="s">
        <v>12801</v>
      </c>
      <c r="W658" t="s">
        <v>12802</v>
      </c>
      <c r="X658" t="s">
        <v>12803</v>
      </c>
      <c r="Y658" t="s">
        <v>12804</v>
      </c>
      <c r="Z658" t="s">
        <v>12805</v>
      </c>
      <c r="AA658" t="s">
        <v>12806</v>
      </c>
      <c r="AB658" t="s">
        <v>12807</v>
      </c>
      <c r="AC658" t="s">
        <v>12808</v>
      </c>
      <c r="AD658" t="s">
        <v>12809</v>
      </c>
      <c r="AE658" t="s">
        <v>12810</v>
      </c>
      <c r="AF658" t="s">
        <v>74</v>
      </c>
      <c r="AG658">
        <v>46</v>
      </c>
      <c r="AH658">
        <v>29</v>
      </c>
      <c r="AI658">
        <v>35</v>
      </c>
      <c r="AJ658">
        <v>0</v>
      </c>
      <c r="AK658">
        <v>8</v>
      </c>
      <c r="AL658" t="s">
        <v>4136</v>
      </c>
      <c r="AM658" t="s">
        <v>4137</v>
      </c>
      <c r="AN658" t="s">
        <v>4138</v>
      </c>
      <c r="AO658" t="s">
        <v>11282</v>
      </c>
      <c r="AP658" t="s">
        <v>11283</v>
      </c>
      <c r="AQ658" t="s">
        <v>74</v>
      </c>
      <c r="AR658" t="s">
        <v>11284</v>
      </c>
      <c r="AS658" t="s">
        <v>11285</v>
      </c>
      <c r="AT658" t="s">
        <v>9222</v>
      </c>
      <c r="AU658">
        <v>2018</v>
      </c>
      <c r="AV658">
        <v>31</v>
      </c>
      <c r="AW658">
        <v>23</v>
      </c>
      <c r="AX658" t="s">
        <v>74</v>
      </c>
      <c r="AY658" t="s">
        <v>74</v>
      </c>
      <c r="AZ658" t="s">
        <v>74</v>
      </c>
      <c r="BA658" t="s">
        <v>74</v>
      </c>
      <c r="BB658">
        <v>9659</v>
      </c>
      <c r="BC658">
        <v>9678</v>
      </c>
      <c r="BD658" t="s">
        <v>74</v>
      </c>
      <c r="BE658" t="s">
        <v>12811</v>
      </c>
      <c r="BF658" t="str">
        <f>HYPERLINK("http://dx.doi.org/10.1175/JCLI-D-18-0392.1","http://dx.doi.org/10.1175/JCLI-D-18-0392.1")</f>
        <v>http://dx.doi.org/10.1175/JCLI-D-18-0392.1</v>
      </c>
      <c r="BG658" t="s">
        <v>74</v>
      </c>
      <c r="BH658" t="s">
        <v>74</v>
      </c>
      <c r="BI658">
        <v>20</v>
      </c>
      <c r="BJ658" t="s">
        <v>3037</v>
      </c>
      <c r="BK658" t="s">
        <v>101</v>
      </c>
      <c r="BL658" t="s">
        <v>3037</v>
      </c>
      <c r="BM658" t="s">
        <v>12812</v>
      </c>
      <c r="BN658" t="s">
        <v>74</v>
      </c>
      <c r="BO658" t="s">
        <v>162</v>
      </c>
      <c r="BP658" t="s">
        <v>74</v>
      </c>
      <c r="BQ658" t="s">
        <v>74</v>
      </c>
      <c r="BR658" t="s">
        <v>104</v>
      </c>
      <c r="BS658" t="s">
        <v>12813</v>
      </c>
      <c r="BT658" t="str">
        <f>HYPERLINK("https%3A%2F%2Fwww.webofscience.com%2Fwos%2Fwoscc%2Ffull-record%2FWOS:000450055800002","View Full Record in Web of Science")</f>
        <v>View Full Record in Web of Science</v>
      </c>
    </row>
    <row r="659" spans="1:72" x14ac:dyDescent="0.15">
      <c r="A659" t="s">
        <v>72</v>
      </c>
      <c r="B659" t="s">
        <v>12814</v>
      </c>
      <c r="C659" t="s">
        <v>74</v>
      </c>
      <c r="D659" t="s">
        <v>74</v>
      </c>
      <c r="E659" t="s">
        <v>74</v>
      </c>
      <c r="F659" t="s">
        <v>12815</v>
      </c>
      <c r="G659" t="s">
        <v>74</v>
      </c>
      <c r="H659" t="s">
        <v>74</v>
      </c>
      <c r="I659" t="s">
        <v>12816</v>
      </c>
      <c r="J659" t="s">
        <v>11272</v>
      </c>
      <c r="K659" t="s">
        <v>74</v>
      </c>
      <c r="L659" t="s">
        <v>74</v>
      </c>
      <c r="M659" t="s">
        <v>78</v>
      </c>
      <c r="N659" t="s">
        <v>79</v>
      </c>
      <c r="O659" t="s">
        <v>74</v>
      </c>
      <c r="P659" t="s">
        <v>74</v>
      </c>
      <c r="Q659" t="s">
        <v>74</v>
      </c>
      <c r="R659" t="s">
        <v>74</v>
      </c>
      <c r="S659" t="s">
        <v>74</v>
      </c>
      <c r="T659" t="s">
        <v>12817</v>
      </c>
      <c r="U659" t="s">
        <v>12818</v>
      </c>
      <c r="V659" t="s">
        <v>12819</v>
      </c>
      <c r="W659" t="s">
        <v>12820</v>
      </c>
      <c r="X659" t="s">
        <v>12821</v>
      </c>
      <c r="Y659" t="s">
        <v>12822</v>
      </c>
      <c r="Z659" t="s">
        <v>12823</v>
      </c>
      <c r="AA659" t="s">
        <v>74</v>
      </c>
      <c r="AB659" t="s">
        <v>12824</v>
      </c>
      <c r="AC659" t="s">
        <v>12825</v>
      </c>
      <c r="AD659" t="s">
        <v>12826</v>
      </c>
      <c r="AE659" t="s">
        <v>12827</v>
      </c>
      <c r="AF659" t="s">
        <v>74</v>
      </c>
      <c r="AG659">
        <v>55</v>
      </c>
      <c r="AH659">
        <v>12</v>
      </c>
      <c r="AI659">
        <v>13</v>
      </c>
      <c r="AJ659">
        <v>0</v>
      </c>
      <c r="AK659">
        <v>12</v>
      </c>
      <c r="AL659" t="s">
        <v>4136</v>
      </c>
      <c r="AM659" t="s">
        <v>4137</v>
      </c>
      <c r="AN659" t="s">
        <v>4138</v>
      </c>
      <c r="AO659" t="s">
        <v>11282</v>
      </c>
      <c r="AP659" t="s">
        <v>11283</v>
      </c>
      <c r="AQ659" t="s">
        <v>74</v>
      </c>
      <c r="AR659" t="s">
        <v>11284</v>
      </c>
      <c r="AS659" t="s">
        <v>11285</v>
      </c>
      <c r="AT659" t="s">
        <v>9222</v>
      </c>
      <c r="AU659">
        <v>2018</v>
      </c>
      <c r="AV659">
        <v>31</v>
      </c>
      <c r="AW659">
        <v>23</v>
      </c>
      <c r="AX659" t="s">
        <v>74</v>
      </c>
      <c r="AY659" t="s">
        <v>74</v>
      </c>
      <c r="AZ659" t="s">
        <v>74</v>
      </c>
      <c r="BA659" t="s">
        <v>74</v>
      </c>
      <c r="BB659">
        <v>9697</v>
      </c>
      <c r="BC659">
        <v>9718</v>
      </c>
      <c r="BD659" t="s">
        <v>74</v>
      </c>
      <c r="BE659" t="s">
        <v>12828</v>
      </c>
      <c r="BF659" t="str">
        <f>HYPERLINK("http://dx.doi.org/10.1175/JCLI-D-17-0845.1","http://dx.doi.org/10.1175/JCLI-D-17-0845.1")</f>
        <v>http://dx.doi.org/10.1175/JCLI-D-17-0845.1</v>
      </c>
      <c r="BG659" t="s">
        <v>74</v>
      </c>
      <c r="BH659" t="s">
        <v>74</v>
      </c>
      <c r="BI659">
        <v>22</v>
      </c>
      <c r="BJ659" t="s">
        <v>3037</v>
      </c>
      <c r="BK659" t="s">
        <v>101</v>
      </c>
      <c r="BL659" t="s">
        <v>3037</v>
      </c>
      <c r="BM659" t="s">
        <v>12812</v>
      </c>
      <c r="BN659" t="s">
        <v>74</v>
      </c>
      <c r="BO659" t="s">
        <v>74</v>
      </c>
      <c r="BP659" t="s">
        <v>74</v>
      </c>
      <c r="BQ659" t="s">
        <v>74</v>
      </c>
      <c r="BR659" t="s">
        <v>104</v>
      </c>
      <c r="BS659" t="s">
        <v>12829</v>
      </c>
      <c r="BT659" t="str">
        <f>HYPERLINK("https%3A%2F%2Fwww.webofscience.com%2Fwos%2Fwoscc%2Ffull-record%2FWOS:000450055800004","View Full Record in Web of Science")</f>
        <v>View Full Record in Web of Science</v>
      </c>
    </row>
    <row r="660" spans="1:72" x14ac:dyDescent="0.15">
      <c r="A660" t="s">
        <v>72</v>
      </c>
      <c r="B660" t="s">
        <v>12830</v>
      </c>
      <c r="C660" t="s">
        <v>74</v>
      </c>
      <c r="D660" t="s">
        <v>74</v>
      </c>
      <c r="E660" t="s">
        <v>74</v>
      </c>
      <c r="F660" t="s">
        <v>12831</v>
      </c>
      <c r="G660" t="s">
        <v>74</v>
      </c>
      <c r="H660" t="s">
        <v>74</v>
      </c>
      <c r="I660" t="s">
        <v>12832</v>
      </c>
      <c r="J660" t="s">
        <v>10815</v>
      </c>
      <c r="K660" t="s">
        <v>74</v>
      </c>
      <c r="L660" t="s">
        <v>74</v>
      </c>
      <c r="M660" t="s">
        <v>78</v>
      </c>
      <c r="N660" t="s">
        <v>79</v>
      </c>
      <c r="O660" t="s">
        <v>74</v>
      </c>
      <c r="P660" t="s">
        <v>74</v>
      </c>
      <c r="Q660" t="s">
        <v>74</v>
      </c>
      <c r="R660" t="s">
        <v>74</v>
      </c>
      <c r="S660" t="s">
        <v>74</v>
      </c>
      <c r="T660" t="s">
        <v>12833</v>
      </c>
      <c r="U660" t="s">
        <v>12834</v>
      </c>
      <c r="V660" t="s">
        <v>12835</v>
      </c>
      <c r="W660" t="s">
        <v>12836</v>
      </c>
      <c r="X660" t="s">
        <v>12837</v>
      </c>
      <c r="Y660" t="s">
        <v>12838</v>
      </c>
      <c r="Z660" t="s">
        <v>12839</v>
      </c>
      <c r="AA660" t="s">
        <v>74</v>
      </c>
      <c r="AB660" t="s">
        <v>12840</v>
      </c>
      <c r="AC660" t="s">
        <v>12841</v>
      </c>
      <c r="AD660" t="s">
        <v>12841</v>
      </c>
      <c r="AE660" t="s">
        <v>12842</v>
      </c>
      <c r="AF660" t="s">
        <v>74</v>
      </c>
      <c r="AG660">
        <v>86</v>
      </c>
      <c r="AH660">
        <v>24</v>
      </c>
      <c r="AI660">
        <v>25</v>
      </c>
      <c r="AJ660">
        <v>1</v>
      </c>
      <c r="AK660">
        <v>23</v>
      </c>
      <c r="AL660" t="s">
        <v>3670</v>
      </c>
      <c r="AM660" t="s">
        <v>3671</v>
      </c>
      <c r="AN660" t="s">
        <v>3672</v>
      </c>
      <c r="AO660" t="s">
        <v>10825</v>
      </c>
      <c r="AP660" t="s">
        <v>10826</v>
      </c>
      <c r="AQ660" t="s">
        <v>74</v>
      </c>
      <c r="AR660" t="s">
        <v>10827</v>
      </c>
      <c r="AS660" t="s">
        <v>10828</v>
      </c>
      <c r="AT660" t="s">
        <v>9222</v>
      </c>
      <c r="AU660">
        <v>2018</v>
      </c>
      <c r="AV660">
        <v>30</v>
      </c>
      <c r="AW660">
        <v>6</v>
      </c>
      <c r="AX660" t="s">
        <v>74</v>
      </c>
      <c r="AY660" t="s">
        <v>74</v>
      </c>
      <c r="AZ660" t="s">
        <v>74</v>
      </c>
      <c r="BA660" t="s">
        <v>74</v>
      </c>
      <c r="BB660">
        <v>1118</v>
      </c>
      <c r="BC660">
        <v>1140</v>
      </c>
      <c r="BD660" t="s">
        <v>74</v>
      </c>
      <c r="BE660" t="s">
        <v>12843</v>
      </c>
      <c r="BF660" t="str">
        <f>HYPERLINK("http://dx.doi.org/10.1111/bre.12294","http://dx.doi.org/10.1111/bre.12294")</f>
        <v>http://dx.doi.org/10.1111/bre.12294</v>
      </c>
      <c r="BG660" t="s">
        <v>74</v>
      </c>
      <c r="BH660" t="s">
        <v>74</v>
      </c>
      <c r="BI660">
        <v>23</v>
      </c>
      <c r="BJ660" t="s">
        <v>884</v>
      </c>
      <c r="BK660" t="s">
        <v>101</v>
      </c>
      <c r="BL660" t="s">
        <v>528</v>
      </c>
      <c r="BM660" t="s">
        <v>10830</v>
      </c>
      <c r="BN660" t="s">
        <v>74</v>
      </c>
      <c r="BO660" t="s">
        <v>1089</v>
      </c>
      <c r="BP660" t="s">
        <v>74</v>
      </c>
      <c r="BQ660" t="s">
        <v>74</v>
      </c>
      <c r="BR660" t="s">
        <v>104</v>
      </c>
      <c r="BS660" t="s">
        <v>12844</v>
      </c>
      <c r="BT660" t="str">
        <f>HYPERLINK("https%3A%2F%2Fwww.webofscience.com%2Fwos%2Fwoscc%2Ffull-record%2FWOS:000449713500003","View Full Record in Web of Science")</f>
        <v>View Full Record in Web of Science</v>
      </c>
    </row>
    <row r="661" spans="1:72" x14ac:dyDescent="0.15">
      <c r="A661" t="s">
        <v>72</v>
      </c>
      <c r="B661" t="s">
        <v>12845</v>
      </c>
      <c r="C661" t="s">
        <v>74</v>
      </c>
      <c r="D661" t="s">
        <v>74</v>
      </c>
      <c r="E661" t="s">
        <v>74</v>
      </c>
      <c r="F661" t="s">
        <v>12846</v>
      </c>
      <c r="G661" t="s">
        <v>74</v>
      </c>
      <c r="H661" t="s">
        <v>74</v>
      </c>
      <c r="I661" t="s">
        <v>12847</v>
      </c>
      <c r="J661" t="s">
        <v>12848</v>
      </c>
      <c r="K661" t="s">
        <v>74</v>
      </c>
      <c r="L661" t="s">
        <v>74</v>
      </c>
      <c r="M661" t="s">
        <v>78</v>
      </c>
      <c r="N661" t="s">
        <v>79</v>
      </c>
      <c r="O661" t="s">
        <v>74</v>
      </c>
      <c r="P661" t="s">
        <v>74</v>
      </c>
      <c r="Q661" t="s">
        <v>74</v>
      </c>
      <c r="R661" t="s">
        <v>74</v>
      </c>
      <c r="S661" t="s">
        <v>74</v>
      </c>
      <c r="T661" t="s">
        <v>12849</v>
      </c>
      <c r="U661" t="s">
        <v>12850</v>
      </c>
      <c r="V661" t="s">
        <v>12851</v>
      </c>
      <c r="W661" t="s">
        <v>12852</v>
      </c>
      <c r="X661" t="s">
        <v>12853</v>
      </c>
      <c r="Y661" t="s">
        <v>12854</v>
      </c>
      <c r="Z661" t="s">
        <v>12855</v>
      </c>
      <c r="AA661" t="s">
        <v>12856</v>
      </c>
      <c r="AB661" t="s">
        <v>12857</v>
      </c>
      <c r="AC661" t="s">
        <v>12858</v>
      </c>
      <c r="AD661" t="s">
        <v>12859</v>
      </c>
      <c r="AE661" t="s">
        <v>12860</v>
      </c>
      <c r="AF661" t="s">
        <v>74</v>
      </c>
      <c r="AG661">
        <v>14</v>
      </c>
      <c r="AH661">
        <v>2</v>
      </c>
      <c r="AI661">
        <v>2</v>
      </c>
      <c r="AJ661">
        <v>1</v>
      </c>
      <c r="AK661">
        <v>12</v>
      </c>
      <c r="AL661" t="s">
        <v>12861</v>
      </c>
      <c r="AM661" t="s">
        <v>12862</v>
      </c>
      <c r="AN661" t="s">
        <v>12863</v>
      </c>
      <c r="AO661" t="s">
        <v>12864</v>
      </c>
      <c r="AP661" t="s">
        <v>12865</v>
      </c>
      <c r="AQ661" t="s">
        <v>74</v>
      </c>
      <c r="AR661" t="s">
        <v>12866</v>
      </c>
      <c r="AS661" t="s">
        <v>12867</v>
      </c>
      <c r="AT661" t="s">
        <v>9222</v>
      </c>
      <c r="AU661">
        <v>2018</v>
      </c>
      <c r="AV661">
        <v>17</v>
      </c>
      <c r="AW661">
        <v>6</v>
      </c>
      <c r="AX661" t="s">
        <v>74</v>
      </c>
      <c r="AY661" t="s">
        <v>74</v>
      </c>
      <c r="AZ661" t="s">
        <v>74</v>
      </c>
      <c r="BA661" t="s">
        <v>74</v>
      </c>
      <c r="BB661">
        <v>1487</v>
      </c>
      <c r="BC661">
        <v>1491</v>
      </c>
      <c r="BD661" t="s">
        <v>74</v>
      </c>
      <c r="BE661" t="s">
        <v>12868</v>
      </c>
      <c r="BF661" t="str">
        <f>HYPERLINK("http://dx.doi.org/10.1007/s11802-018-3593-8","http://dx.doi.org/10.1007/s11802-018-3593-8")</f>
        <v>http://dx.doi.org/10.1007/s11802-018-3593-8</v>
      </c>
      <c r="BG661" t="s">
        <v>74</v>
      </c>
      <c r="BH661" t="s">
        <v>74</v>
      </c>
      <c r="BI661">
        <v>5</v>
      </c>
      <c r="BJ661" t="s">
        <v>773</v>
      </c>
      <c r="BK661" t="s">
        <v>101</v>
      </c>
      <c r="BL661" t="s">
        <v>773</v>
      </c>
      <c r="BM661" t="s">
        <v>12869</v>
      </c>
      <c r="BN661" t="s">
        <v>74</v>
      </c>
      <c r="BO661" t="s">
        <v>74</v>
      </c>
      <c r="BP661" t="s">
        <v>74</v>
      </c>
      <c r="BQ661" t="s">
        <v>74</v>
      </c>
      <c r="BR661" t="s">
        <v>104</v>
      </c>
      <c r="BS661" t="s">
        <v>12870</v>
      </c>
      <c r="BT661" t="str">
        <f>HYPERLINK("https%3A%2F%2Fwww.webofscience.com%2Fwos%2Fwoscc%2Ffull-record%2FWOS:000449886900027","View Full Record in Web of Science")</f>
        <v>View Full Record in Web of Science</v>
      </c>
    </row>
    <row r="662" spans="1:72" x14ac:dyDescent="0.15">
      <c r="A662" t="s">
        <v>72</v>
      </c>
      <c r="B662" t="s">
        <v>12871</v>
      </c>
      <c r="C662" t="s">
        <v>74</v>
      </c>
      <c r="D662" t="s">
        <v>74</v>
      </c>
      <c r="E662" t="s">
        <v>74</v>
      </c>
      <c r="F662" t="s">
        <v>12872</v>
      </c>
      <c r="G662" t="s">
        <v>74</v>
      </c>
      <c r="H662" t="s">
        <v>74</v>
      </c>
      <c r="I662" t="s">
        <v>12873</v>
      </c>
      <c r="J662" t="s">
        <v>7392</v>
      </c>
      <c r="K662" t="s">
        <v>74</v>
      </c>
      <c r="L662" t="s">
        <v>74</v>
      </c>
      <c r="M662" t="s">
        <v>78</v>
      </c>
      <c r="N662" t="s">
        <v>79</v>
      </c>
      <c r="O662" t="s">
        <v>74</v>
      </c>
      <c r="P662" t="s">
        <v>74</v>
      </c>
      <c r="Q662" t="s">
        <v>74</v>
      </c>
      <c r="R662" t="s">
        <v>74</v>
      </c>
      <c r="S662" t="s">
        <v>74</v>
      </c>
      <c r="T662" t="s">
        <v>74</v>
      </c>
      <c r="U662" t="s">
        <v>12874</v>
      </c>
      <c r="V662" t="s">
        <v>74</v>
      </c>
      <c r="W662" t="s">
        <v>12875</v>
      </c>
      <c r="X662" t="s">
        <v>12876</v>
      </c>
      <c r="Y662" t="s">
        <v>12877</v>
      </c>
      <c r="Z662" t="s">
        <v>12878</v>
      </c>
      <c r="AA662" t="s">
        <v>12879</v>
      </c>
      <c r="AB662" t="s">
        <v>12880</v>
      </c>
      <c r="AC662" t="s">
        <v>12881</v>
      </c>
      <c r="AD662" t="s">
        <v>12882</v>
      </c>
      <c r="AE662" t="s">
        <v>12883</v>
      </c>
      <c r="AF662" t="s">
        <v>74</v>
      </c>
      <c r="AG662">
        <v>21</v>
      </c>
      <c r="AH662">
        <v>6</v>
      </c>
      <c r="AI662">
        <v>6</v>
      </c>
      <c r="AJ662">
        <v>1</v>
      </c>
      <c r="AK662">
        <v>16</v>
      </c>
      <c r="AL662" t="s">
        <v>3290</v>
      </c>
      <c r="AM662" t="s">
        <v>2520</v>
      </c>
      <c r="AN662" t="s">
        <v>3291</v>
      </c>
      <c r="AO662" t="s">
        <v>7405</v>
      </c>
      <c r="AP662" t="s">
        <v>7406</v>
      </c>
      <c r="AQ662" t="s">
        <v>74</v>
      </c>
      <c r="AR662" t="s">
        <v>7407</v>
      </c>
      <c r="AS662" t="s">
        <v>7408</v>
      </c>
      <c r="AT662" t="s">
        <v>10758</v>
      </c>
      <c r="AU662">
        <v>2018</v>
      </c>
      <c r="AV662">
        <v>503</v>
      </c>
      <c r="AW662" t="s">
        <v>74</v>
      </c>
      <c r="AX662" t="s">
        <v>74</v>
      </c>
      <c r="AY662" t="s">
        <v>74</v>
      </c>
      <c r="AZ662" t="s">
        <v>74</v>
      </c>
      <c r="BA662" t="s">
        <v>74</v>
      </c>
      <c r="BB662">
        <v>248</v>
      </c>
      <c r="BC662">
        <v>251</v>
      </c>
      <c r="BD662" t="s">
        <v>74</v>
      </c>
      <c r="BE662" t="s">
        <v>12884</v>
      </c>
      <c r="BF662" t="str">
        <f>HYPERLINK("http://dx.doi.org/10.1016/j.epsl.2018.08.033","http://dx.doi.org/10.1016/j.epsl.2018.08.033")</f>
        <v>http://dx.doi.org/10.1016/j.epsl.2018.08.033</v>
      </c>
      <c r="BG662" t="s">
        <v>74</v>
      </c>
      <c r="BH662" t="s">
        <v>74</v>
      </c>
      <c r="BI662">
        <v>4</v>
      </c>
      <c r="BJ662" t="s">
        <v>746</v>
      </c>
      <c r="BK662" t="s">
        <v>101</v>
      </c>
      <c r="BL662" t="s">
        <v>746</v>
      </c>
      <c r="BM662" t="s">
        <v>10898</v>
      </c>
      <c r="BN662" t="s">
        <v>74</v>
      </c>
      <c r="BO662" t="s">
        <v>74</v>
      </c>
      <c r="BP662" t="s">
        <v>74</v>
      </c>
      <c r="BQ662" t="s">
        <v>74</v>
      </c>
      <c r="BR662" t="s">
        <v>104</v>
      </c>
      <c r="BS662" t="s">
        <v>12885</v>
      </c>
      <c r="BT662" t="str">
        <f>HYPERLINK("https%3A%2F%2Fwww.webofscience.com%2Fwos%2Fwoscc%2Ffull-record%2FWOS:000449246100023","View Full Record in Web of Science")</f>
        <v>View Full Record in Web of Science</v>
      </c>
    </row>
    <row r="663" spans="1:72" x14ac:dyDescent="0.15">
      <c r="A663" t="s">
        <v>72</v>
      </c>
      <c r="B663" t="s">
        <v>12886</v>
      </c>
      <c r="C663" t="s">
        <v>74</v>
      </c>
      <c r="D663" t="s">
        <v>74</v>
      </c>
      <c r="E663" t="s">
        <v>74</v>
      </c>
      <c r="F663" t="s">
        <v>12887</v>
      </c>
      <c r="G663" t="s">
        <v>74</v>
      </c>
      <c r="H663" t="s">
        <v>74</v>
      </c>
      <c r="I663" t="s">
        <v>12888</v>
      </c>
      <c r="J663" t="s">
        <v>7578</v>
      </c>
      <c r="K663" t="s">
        <v>74</v>
      </c>
      <c r="L663" t="s">
        <v>74</v>
      </c>
      <c r="M663" t="s">
        <v>78</v>
      </c>
      <c r="N663" t="s">
        <v>79</v>
      </c>
      <c r="O663" t="s">
        <v>74</v>
      </c>
      <c r="P663" t="s">
        <v>74</v>
      </c>
      <c r="Q663" t="s">
        <v>74</v>
      </c>
      <c r="R663" t="s">
        <v>74</v>
      </c>
      <c r="S663" t="s">
        <v>74</v>
      </c>
      <c r="T663" t="s">
        <v>12889</v>
      </c>
      <c r="U663" t="s">
        <v>12890</v>
      </c>
      <c r="V663" t="s">
        <v>12891</v>
      </c>
      <c r="W663" t="s">
        <v>12892</v>
      </c>
      <c r="X663" t="s">
        <v>12893</v>
      </c>
      <c r="Y663" t="s">
        <v>12894</v>
      </c>
      <c r="Z663" t="s">
        <v>12895</v>
      </c>
      <c r="AA663" t="s">
        <v>74</v>
      </c>
      <c r="AB663" t="s">
        <v>12896</v>
      </c>
      <c r="AC663" t="s">
        <v>12897</v>
      </c>
      <c r="AD663" t="s">
        <v>12898</v>
      </c>
      <c r="AE663" t="s">
        <v>12899</v>
      </c>
      <c r="AF663" t="s">
        <v>74</v>
      </c>
      <c r="AG663">
        <v>78</v>
      </c>
      <c r="AH663">
        <v>9</v>
      </c>
      <c r="AI663">
        <v>9</v>
      </c>
      <c r="AJ663">
        <v>2</v>
      </c>
      <c r="AK663">
        <v>25</v>
      </c>
      <c r="AL663" t="s">
        <v>3352</v>
      </c>
      <c r="AM663" t="s">
        <v>3353</v>
      </c>
      <c r="AN663" t="s">
        <v>3354</v>
      </c>
      <c r="AO663" t="s">
        <v>7591</v>
      </c>
      <c r="AP663" t="s">
        <v>7592</v>
      </c>
      <c r="AQ663" t="s">
        <v>74</v>
      </c>
      <c r="AR663" t="s">
        <v>7593</v>
      </c>
      <c r="AS663" t="s">
        <v>7594</v>
      </c>
      <c r="AT663" t="s">
        <v>10758</v>
      </c>
      <c r="AU663">
        <v>2018</v>
      </c>
      <c r="AV663">
        <v>242</v>
      </c>
      <c r="AW663" t="s">
        <v>74</v>
      </c>
      <c r="AX663" t="s">
        <v>74</v>
      </c>
      <c r="AY663" t="s">
        <v>74</v>
      </c>
      <c r="AZ663" t="s">
        <v>74</v>
      </c>
      <c r="BA663" t="s">
        <v>74</v>
      </c>
      <c r="BB663">
        <v>34</v>
      </c>
      <c r="BC663">
        <v>50</v>
      </c>
      <c r="BD663" t="s">
        <v>74</v>
      </c>
      <c r="BE663" t="s">
        <v>12900</v>
      </c>
      <c r="BF663" t="str">
        <f>HYPERLINK("http://dx.doi.org/10.1016/j.gca.2018.08.011","http://dx.doi.org/10.1016/j.gca.2018.08.011")</f>
        <v>http://dx.doi.org/10.1016/j.gca.2018.08.011</v>
      </c>
      <c r="BG663" t="s">
        <v>74</v>
      </c>
      <c r="BH663" t="s">
        <v>74</v>
      </c>
      <c r="BI663">
        <v>17</v>
      </c>
      <c r="BJ663" t="s">
        <v>746</v>
      </c>
      <c r="BK663" t="s">
        <v>101</v>
      </c>
      <c r="BL663" t="s">
        <v>746</v>
      </c>
      <c r="BM663" t="s">
        <v>11017</v>
      </c>
      <c r="BN663" t="s">
        <v>74</v>
      </c>
      <c r="BO663" t="s">
        <v>74</v>
      </c>
      <c r="BP663" t="s">
        <v>74</v>
      </c>
      <c r="BQ663" t="s">
        <v>74</v>
      </c>
      <c r="BR663" t="s">
        <v>104</v>
      </c>
      <c r="BS663" t="s">
        <v>12901</v>
      </c>
      <c r="BT663" t="str">
        <f>HYPERLINK("https%3A%2F%2Fwww.webofscience.com%2Fwos%2Fwoscc%2Ffull-record%2FWOS:000446475700003","View Full Record in Web of Science")</f>
        <v>View Full Record in Web of Science</v>
      </c>
    </row>
    <row r="664" spans="1:72" x14ac:dyDescent="0.15">
      <c r="A664" t="s">
        <v>72</v>
      </c>
      <c r="B664" t="s">
        <v>12902</v>
      </c>
      <c r="C664" t="s">
        <v>74</v>
      </c>
      <c r="D664" t="s">
        <v>74</v>
      </c>
      <c r="E664" t="s">
        <v>74</v>
      </c>
      <c r="F664" t="s">
        <v>12903</v>
      </c>
      <c r="G664" t="s">
        <v>74</v>
      </c>
      <c r="H664" t="s">
        <v>74</v>
      </c>
      <c r="I664" t="s">
        <v>12904</v>
      </c>
      <c r="J664" t="s">
        <v>7578</v>
      </c>
      <c r="K664" t="s">
        <v>74</v>
      </c>
      <c r="L664" t="s">
        <v>74</v>
      </c>
      <c r="M664" t="s">
        <v>78</v>
      </c>
      <c r="N664" t="s">
        <v>79</v>
      </c>
      <c r="O664" t="s">
        <v>74</v>
      </c>
      <c r="P664" t="s">
        <v>74</v>
      </c>
      <c r="Q664" t="s">
        <v>74</v>
      </c>
      <c r="R664" t="s">
        <v>74</v>
      </c>
      <c r="S664" t="s">
        <v>74</v>
      </c>
      <c r="T664" t="s">
        <v>12905</v>
      </c>
      <c r="U664" t="s">
        <v>12906</v>
      </c>
      <c r="V664" t="s">
        <v>12907</v>
      </c>
      <c r="W664" t="s">
        <v>12908</v>
      </c>
      <c r="X664" t="s">
        <v>12909</v>
      </c>
      <c r="Y664" t="s">
        <v>12910</v>
      </c>
      <c r="Z664" t="s">
        <v>12911</v>
      </c>
      <c r="AA664" t="s">
        <v>12912</v>
      </c>
      <c r="AB664" t="s">
        <v>12913</v>
      </c>
      <c r="AC664" t="s">
        <v>12914</v>
      </c>
      <c r="AD664" t="s">
        <v>12915</v>
      </c>
      <c r="AE664" t="s">
        <v>12916</v>
      </c>
      <c r="AF664" t="s">
        <v>74</v>
      </c>
      <c r="AG664">
        <v>191</v>
      </c>
      <c r="AH664">
        <v>14</v>
      </c>
      <c r="AI664">
        <v>16</v>
      </c>
      <c r="AJ664">
        <v>0</v>
      </c>
      <c r="AK664">
        <v>52</v>
      </c>
      <c r="AL664" t="s">
        <v>3352</v>
      </c>
      <c r="AM664" t="s">
        <v>3353</v>
      </c>
      <c r="AN664" t="s">
        <v>3354</v>
      </c>
      <c r="AO664" t="s">
        <v>7591</v>
      </c>
      <c r="AP664" t="s">
        <v>7592</v>
      </c>
      <c r="AQ664" t="s">
        <v>74</v>
      </c>
      <c r="AR664" t="s">
        <v>7593</v>
      </c>
      <c r="AS664" t="s">
        <v>7594</v>
      </c>
      <c r="AT664" t="s">
        <v>10758</v>
      </c>
      <c r="AU664">
        <v>2018</v>
      </c>
      <c r="AV664">
        <v>242</v>
      </c>
      <c r="AW664" t="s">
        <v>74</v>
      </c>
      <c r="AX664" t="s">
        <v>74</v>
      </c>
      <c r="AY664" t="s">
        <v>74</v>
      </c>
      <c r="AZ664" t="s">
        <v>74</v>
      </c>
      <c r="BA664" t="s">
        <v>74</v>
      </c>
      <c r="BB664">
        <v>191</v>
      </c>
      <c r="BC664">
        <v>212</v>
      </c>
      <c r="BD664" t="s">
        <v>74</v>
      </c>
      <c r="BE664" t="s">
        <v>12917</v>
      </c>
      <c r="BF664" t="str">
        <f>HYPERLINK("http://dx.doi.org/10.1016/j.gca.2018.09.015","http://dx.doi.org/10.1016/j.gca.2018.09.015")</f>
        <v>http://dx.doi.org/10.1016/j.gca.2018.09.015</v>
      </c>
      <c r="BG664" t="s">
        <v>74</v>
      </c>
      <c r="BH664" t="s">
        <v>74</v>
      </c>
      <c r="BI664">
        <v>22</v>
      </c>
      <c r="BJ664" t="s">
        <v>746</v>
      </c>
      <c r="BK664" t="s">
        <v>101</v>
      </c>
      <c r="BL664" t="s">
        <v>746</v>
      </c>
      <c r="BM664" t="s">
        <v>11017</v>
      </c>
      <c r="BN664" t="s">
        <v>74</v>
      </c>
      <c r="BO664" t="s">
        <v>4271</v>
      </c>
      <c r="BP664" t="s">
        <v>74</v>
      </c>
      <c r="BQ664" t="s">
        <v>74</v>
      </c>
      <c r="BR664" t="s">
        <v>104</v>
      </c>
      <c r="BS664" t="s">
        <v>12918</v>
      </c>
      <c r="BT664" t="str">
        <f>HYPERLINK("https%3A%2F%2Fwww.webofscience.com%2Fwos%2Fwoscc%2Ffull-record%2FWOS:000446475700011","View Full Record in Web of Science")</f>
        <v>View Full Record in Web of Science</v>
      </c>
    </row>
    <row r="665" spans="1:72" x14ac:dyDescent="0.15">
      <c r="A665" t="s">
        <v>72</v>
      </c>
      <c r="B665" t="s">
        <v>12919</v>
      </c>
      <c r="C665" t="s">
        <v>74</v>
      </c>
      <c r="D665" t="s">
        <v>74</v>
      </c>
      <c r="E665" t="s">
        <v>74</v>
      </c>
      <c r="F665" t="s">
        <v>12920</v>
      </c>
      <c r="G665" t="s">
        <v>74</v>
      </c>
      <c r="H665" t="s">
        <v>74</v>
      </c>
      <c r="I665" t="s">
        <v>12921</v>
      </c>
      <c r="J665" t="s">
        <v>6003</v>
      </c>
      <c r="K665" t="s">
        <v>74</v>
      </c>
      <c r="L665" t="s">
        <v>74</v>
      </c>
      <c r="M665" t="s">
        <v>78</v>
      </c>
      <c r="N665" t="s">
        <v>79</v>
      </c>
      <c r="O665" t="s">
        <v>74</v>
      </c>
      <c r="P665" t="s">
        <v>74</v>
      </c>
      <c r="Q665" t="s">
        <v>74</v>
      </c>
      <c r="R665" t="s">
        <v>74</v>
      </c>
      <c r="S665" t="s">
        <v>74</v>
      </c>
      <c r="T665" t="s">
        <v>12922</v>
      </c>
      <c r="U665" t="s">
        <v>12923</v>
      </c>
      <c r="V665" t="s">
        <v>12924</v>
      </c>
      <c r="W665" t="s">
        <v>12925</v>
      </c>
      <c r="X665" t="s">
        <v>12926</v>
      </c>
      <c r="Y665" t="s">
        <v>12927</v>
      </c>
      <c r="Z665" t="s">
        <v>12928</v>
      </c>
      <c r="AA665" t="s">
        <v>12929</v>
      </c>
      <c r="AB665" t="s">
        <v>12930</v>
      </c>
      <c r="AC665" t="s">
        <v>12931</v>
      </c>
      <c r="AD665" t="s">
        <v>7358</v>
      </c>
      <c r="AE665" t="s">
        <v>12932</v>
      </c>
      <c r="AF665" t="s">
        <v>74</v>
      </c>
      <c r="AG665">
        <v>97</v>
      </c>
      <c r="AH665">
        <v>41</v>
      </c>
      <c r="AI665">
        <v>46</v>
      </c>
      <c r="AJ665">
        <v>3</v>
      </c>
      <c r="AK665">
        <v>76</v>
      </c>
      <c r="AL665" t="s">
        <v>6016</v>
      </c>
      <c r="AM665" t="s">
        <v>6017</v>
      </c>
      <c r="AN665" t="s">
        <v>6018</v>
      </c>
      <c r="AO665" t="s">
        <v>6019</v>
      </c>
      <c r="AP665" t="s">
        <v>6020</v>
      </c>
      <c r="AQ665" t="s">
        <v>74</v>
      </c>
      <c r="AR665" t="s">
        <v>6021</v>
      </c>
      <c r="AS665" t="s">
        <v>6022</v>
      </c>
      <c r="AT665" t="s">
        <v>9222</v>
      </c>
      <c r="AU665">
        <v>2018</v>
      </c>
      <c r="AV665">
        <v>129</v>
      </c>
      <c r="AW665" t="s">
        <v>74</v>
      </c>
      <c r="AX665" t="s">
        <v>74</v>
      </c>
      <c r="AY665" t="s">
        <v>74</v>
      </c>
      <c r="AZ665" t="s">
        <v>74</v>
      </c>
      <c r="BA665" t="s">
        <v>74</v>
      </c>
      <c r="BB665">
        <v>258</v>
      </c>
      <c r="BC665">
        <v>267</v>
      </c>
      <c r="BD665" t="s">
        <v>74</v>
      </c>
      <c r="BE665" t="s">
        <v>12933</v>
      </c>
      <c r="BF665" t="str">
        <f>HYPERLINK("http://dx.doi.org/10.1016/j.ympev.2018.08.021","http://dx.doi.org/10.1016/j.ympev.2018.08.021")</f>
        <v>http://dx.doi.org/10.1016/j.ympev.2018.08.021</v>
      </c>
      <c r="BG665" t="s">
        <v>74</v>
      </c>
      <c r="BH665" t="s">
        <v>74</v>
      </c>
      <c r="BI665">
        <v>10</v>
      </c>
      <c r="BJ665" t="s">
        <v>4242</v>
      </c>
      <c r="BK665" t="s">
        <v>101</v>
      </c>
      <c r="BL665" t="s">
        <v>4242</v>
      </c>
      <c r="BM665" t="s">
        <v>12606</v>
      </c>
      <c r="BN665">
        <v>30195477</v>
      </c>
      <c r="BO665" t="s">
        <v>74</v>
      </c>
      <c r="BP665" t="s">
        <v>74</v>
      </c>
      <c r="BQ665" t="s">
        <v>74</v>
      </c>
      <c r="BR665" t="s">
        <v>104</v>
      </c>
      <c r="BS665" t="s">
        <v>12934</v>
      </c>
      <c r="BT665" t="str">
        <f>HYPERLINK("https%3A%2F%2Fwww.webofscience.com%2Fwos%2Fwoscc%2Ffull-record%2FWOS:000446023100023","View Full Record in Web of Science")</f>
        <v>View Full Record in Web of Science</v>
      </c>
    </row>
    <row r="666" spans="1:72" x14ac:dyDescent="0.15">
      <c r="A666" t="s">
        <v>72</v>
      </c>
      <c r="B666" t="s">
        <v>12935</v>
      </c>
      <c r="C666" t="s">
        <v>74</v>
      </c>
      <c r="D666" t="s">
        <v>74</v>
      </c>
      <c r="E666" t="s">
        <v>74</v>
      </c>
      <c r="F666" t="s">
        <v>12936</v>
      </c>
      <c r="G666" t="s">
        <v>74</v>
      </c>
      <c r="H666" t="s">
        <v>74</v>
      </c>
      <c r="I666" t="s">
        <v>12937</v>
      </c>
      <c r="J666" t="s">
        <v>12938</v>
      </c>
      <c r="K666" t="s">
        <v>74</v>
      </c>
      <c r="L666" t="s">
        <v>74</v>
      </c>
      <c r="M666" t="s">
        <v>78</v>
      </c>
      <c r="N666" t="s">
        <v>79</v>
      </c>
      <c r="O666" t="s">
        <v>74</v>
      </c>
      <c r="P666" t="s">
        <v>74</v>
      </c>
      <c r="Q666" t="s">
        <v>74</v>
      </c>
      <c r="R666" t="s">
        <v>74</v>
      </c>
      <c r="S666" t="s">
        <v>74</v>
      </c>
      <c r="T666" t="s">
        <v>12939</v>
      </c>
      <c r="U666" t="s">
        <v>12940</v>
      </c>
      <c r="V666" t="s">
        <v>12941</v>
      </c>
      <c r="W666" t="s">
        <v>12942</v>
      </c>
      <c r="X666" t="s">
        <v>12943</v>
      </c>
      <c r="Y666" t="s">
        <v>12944</v>
      </c>
      <c r="Z666" t="s">
        <v>12945</v>
      </c>
      <c r="AA666" t="s">
        <v>12946</v>
      </c>
      <c r="AB666" t="s">
        <v>12947</v>
      </c>
      <c r="AC666" t="s">
        <v>12948</v>
      </c>
      <c r="AD666" t="s">
        <v>12949</v>
      </c>
      <c r="AE666" t="s">
        <v>12950</v>
      </c>
      <c r="AF666" t="s">
        <v>74</v>
      </c>
      <c r="AG666">
        <v>52</v>
      </c>
      <c r="AH666">
        <v>5</v>
      </c>
      <c r="AI666">
        <v>6</v>
      </c>
      <c r="AJ666">
        <v>0</v>
      </c>
      <c r="AK666">
        <v>57</v>
      </c>
      <c r="AL666" t="s">
        <v>6139</v>
      </c>
      <c r="AM666" t="s">
        <v>3353</v>
      </c>
      <c r="AN666" t="s">
        <v>6140</v>
      </c>
      <c r="AO666" t="s">
        <v>12951</v>
      </c>
      <c r="AP666" t="s">
        <v>12952</v>
      </c>
      <c r="AQ666" t="s">
        <v>74</v>
      </c>
      <c r="AR666" t="s">
        <v>12953</v>
      </c>
      <c r="AS666" t="s">
        <v>12954</v>
      </c>
      <c r="AT666" t="s">
        <v>9222</v>
      </c>
      <c r="AU666">
        <v>2018</v>
      </c>
      <c r="AV666">
        <v>238</v>
      </c>
      <c r="AW666" t="s">
        <v>74</v>
      </c>
      <c r="AX666" t="s">
        <v>74</v>
      </c>
      <c r="AY666" t="s">
        <v>74</v>
      </c>
      <c r="AZ666" t="s">
        <v>74</v>
      </c>
      <c r="BA666" t="s">
        <v>74</v>
      </c>
      <c r="BB666">
        <v>22</v>
      </c>
      <c r="BC666">
        <v>29</v>
      </c>
      <c r="BD666" t="s">
        <v>74</v>
      </c>
      <c r="BE666" t="s">
        <v>12955</v>
      </c>
      <c r="BF666" t="str">
        <f>HYPERLINK("http://dx.doi.org/10.1016/j.jfoodeng.2018.05.033","http://dx.doi.org/10.1016/j.jfoodeng.2018.05.033")</f>
        <v>http://dx.doi.org/10.1016/j.jfoodeng.2018.05.033</v>
      </c>
      <c r="BG666" t="s">
        <v>74</v>
      </c>
      <c r="BH666" t="s">
        <v>74</v>
      </c>
      <c r="BI666">
        <v>8</v>
      </c>
      <c r="BJ666" t="s">
        <v>12956</v>
      </c>
      <c r="BK666" t="s">
        <v>101</v>
      </c>
      <c r="BL666" t="s">
        <v>12957</v>
      </c>
      <c r="BM666" t="s">
        <v>12958</v>
      </c>
      <c r="BN666" t="s">
        <v>74</v>
      </c>
      <c r="BO666" t="s">
        <v>74</v>
      </c>
      <c r="BP666" t="s">
        <v>74</v>
      </c>
      <c r="BQ666" t="s">
        <v>74</v>
      </c>
      <c r="BR666" t="s">
        <v>104</v>
      </c>
      <c r="BS666" t="s">
        <v>12959</v>
      </c>
      <c r="BT666" t="str">
        <f>HYPERLINK("https%3A%2F%2Fwww.webofscience.com%2Fwos%2Fwoscc%2Ffull-record%2FWOS:000442711100003","View Full Record in Web of Science")</f>
        <v>View Full Record in Web of Science</v>
      </c>
    </row>
    <row r="667" spans="1:72" x14ac:dyDescent="0.15">
      <c r="A667" t="s">
        <v>72</v>
      </c>
      <c r="B667" t="s">
        <v>12960</v>
      </c>
      <c r="C667" t="s">
        <v>74</v>
      </c>
      <c r="D667" t="s">
        <v>74</v>
      </c>
      <c r="E667" t="s">
        <v>74</v>
      </c>
      <c r="F667" t="s">
        <v>12961</v>
      </c>
      <c r="G667" t="s">
        <v>74</v>
      </c>
      <c r="H667" t="s">
        <v>74</v>
      </c>
      <c r="I667" t="s">
        <v>12962</v>
      </c>
      <c r="J667" t="s">
        <v>9044</v>
      </c>
      <c r="K667" t="s">
        <v>74</v>
      </c>
      <c r="L667" t="s">
        <v>74</v>
      </c>
      <c r="M667" t="s">
        <v>78</v>
      </c>
      <c r="N667" t="s">
        <v>79</v>
      </c>
      <c r="O667" t="s">
        <v>74</v>
      </c>
      <c r="P667" t="s">
        <v>74</v>
      </c>
      <c r="Q667" t="s">
        <v>74</v>
      </c>
      <c r="R667" t="s">
        <v>74</v>
      </c>
      <c r="S667" t="s">
        <v>74</v>
      </c>
      <c r="T667" t="s">
        <v>12963</v>
      </c>
      <c r="U667" t="s">
        <v>12964</v>
      </c>
      <c r="V667" t="s">
        <v>12965</v>
      </c>
      <c r="W667" t="s">
        <v>12966</v>
      </c>
      <c r="X667" t="s">
        <v>12967</v>
      </c>
      <c r="Y667" t="s">
        <v>12968</v>
      </c>
      <c r="Z667" t="s">
        <v>12969</v>
      </c>
      <c r="AA667" t="s">
        <v>12970</v>
      </c>
      <c r="AB667" t="s">
        <v>12971</v>
      </c>
      <c r="AC667" t="s">
        <v>12972</v>
      </c>
      <c r="AD667" t="s">
        <v>12973</v>
      </c>
      <c r="AE667" t="s">
        <v>12974</v>
      </c>
      <c r="AF667" t="s">
        <v>74</v>
      </c>
      <c r="AG667">
        <v>52</v>
      </c>
      <c r="AH667">
        <v>17</v>
      </c>
      <c r="AI667">
        <v>17</v>
      </c>
      <c r="AJ667">
        <v>0</v>
      </c>
      <c r="AK667">
        <v>5</v>
      </c>
      <c r="AL667" t="s">
        <v>7949</v>
      </c>
      <c r="AM667" t="s">
        <v>7950</v>
      </c>
      <c r="AN667" t="s">
        <v>7951</v>
      </c>
      <c r="AO667" t="s">
        <v>74</v>
      </c>
      <c r="AP667" t="s">
        <v>9057</v>
      </c>
      <c r="AQ667" t="s">
        <v>74</v>
      </c>
      <c r="AR667" t="s">
        <v>9058</v>
      </c>
      <c r="AS667" t="s">
        <v>9059</v>
      </c>
      <c r="AT667" t="s">
        <v>12975</v>
      </c>
      <c r="AU667">
        <v>2018</v>
      </c>
      <c r="AV667">
        <v>6</v>
      </c>
      <c r="AW667" t="s">
        <v>74</v>
      </c>
      <c r="AX667" t="s">
        <v>74</v>
      </c>
      <c r="AY667" t="s">
        <v>74</v>
      </c>
      <c r="AZ667" t="s">
        <v>74</v>
      </c>
      <c r="BA667" t="s">
        <v>74</v>
      </c>
      <c r="BB667" t="s">
        <v>74</v>
      </c>
      <c r="BC667" t="s">
        <v>74</v>
      </c>
      <c r="BD667">
        <v>219</v>
      </c>
      <c r="BE667" t="s">
        <v>12976</v>
      </c>
      <c r="BF667" t="str">
        <f>HYPERLINK("http://dx.doi.org/10.3389/feart.2018.00219","http://dx.doi.org/10.3389/feart.2018.00219")</f>
        <v>http://dx.doi.org/10.3389/feart.2018.00219</v>
      </c>
      <c r="BG667" t="s">
        <v>74</v>
      </c>
      <c r="BH667" t="s">
        <v>74</v>
      </c>
      <c r="BI667">
        <v>17</v>
      </c>
      <c r="BJ667" t="s">
        <v>884</v>
      </c>
      <c r="BK667" t="s">
        <v>101</v>
      </c>
      <c r="BL667" t="s">
        <v>528</v>
      </c>
      <c r="BM667" t="s">
        <v>12977</v>
      </c>
      <c r="BN667" t="s">
        <v>74</v>
      </c>
      <c r="BO667" t="s">
        <v>1693</v>
      </c>
      <c r="BP667" t="s">
        <v>74</v>
      </c>
      <c r="BQ667" t="s">
        <v>74</v>
      </c>
      <c r="BR667" t="s">
        <v>104</v>
      </c>
      <c r="BS667" t="s">
        <v>12978</v>
      </c>
      <c r="BT667" t="str">
        <f>HYPERLINK("https%3A%2F%2Fwww.webofscience.com%2Fwos%2Fwoscc%2Ffull-record%2FWOS:000454098800001","View Full Record in Web of Science")</f>
        <v>View Full Record in Web of Science</v>
      </c>
    </row>
    <row r="668" spans="1:72" x14ac:dyDescent="0.15">
      <c r="A668" t="s">
        <v>72</v>
      </c>
      <c r="B668" t="s">
        <v>12979</v>
      </c>
      <c r="C668" t="s">
        <v>74</v>
      </c>
      <c r="D668" t="s">
        <v>74</v>
      </c>
      <c r="E668" t="s">
        <v>74</v>
      </c>
      <c r="F668" t="s">
        <v>12980</v>
      </c>
      <c r="G668" t="s">
        <v>74</v>
      </c>
      <c r="H668" t="s">
        <v>74</v>
      </c>
      <c r="I668" t="s">
        <v>12981</v>
      </c>
      <c r="J668" t="s">
        <v>12982</v>
      </c>
      <c r="K668" t="s">
        <v>74</v>
      </c>
      <c r="L668" t="s">
        <v>74</v>
      </c>
      <c r="M668" t="s">
        <v>78</v>
      </c>
      <c r="N668" t="s">
        <v>79</v>
      </c>
      <c r="O668" t="s">
        <v>74</v>
      </c>
      <c r="P668" t="s">
        <v>74</v>
      </c>
      <c r="Q668" t="s">
        <v>74</v>
      </c>
      <c r="R668" t="s">
        <v>74</v>
      </c>
      <c r="S668" t="s">
        <v>74</v>
      </c>
      <c r="T668" t="s">
        <v>74</v>
      </c>
      <c r="U668" t="s">
        <v>12983</v>
      </c>
      <c r="V668" t="s">
        <v>12984</v>
      </c>
      <c r="W668" t="s">
        <v>12985</v>
      </c>
      <c r="X668" t="s">
        <v>12986</v>
      </c>
      <c r="Y668" t="s">
        <v>12987</v>
      </c>
      <c r="Z668" t="s">
        <v>12988</v>
      </c>
      <c r="AA668" t="s">
        <v>12989</v>
      </c>
      <c r="AB668" t="s">
        <v>12990</v>
      </c>
      <c r="AC668" t="s">
        <v>12991</v>
      </c>
      <c r="AD668" t="s">
        <v>12992</v>
      </c>
      <c r="AE668" t="s">
        <v>12993</v>
      </c>
      <c r="AF668" t="s">
        <v>74</v>
      </c>
      <c r="AG668">
        <v>91</v>
      </c>
      <c r="AH668">
        <v>24</v>
      </c>
      <c r="AI668">
        <v>30</v>
      </c>
      <c r="AJ668">
        <v>1</v>
      </c>
      <c r="AK668">
        <v>15</v>
      </c>
      <c r="AL668" t="s">
        <v>7866</v>
      </c>
      <c r="AM668" t="s">
        <v>7867</v>
      </c>
      <c r="AN668" t="s">
        <v>7868</v>
      </c>
      <c r="AO668" t="s">
        <v>12994</v>
      </c>
      <c r="AP668" t="s">
        <v>12995</v>
      </c>
      <c r="AQ668" t="s">
        <v>74</v>
      </c>
      <c r="AR668" t="s">
        <v>12982</v>
      </c>
      <c r="AS668" t="s">
        <v>12996</v>
      </c>
      <c r="AT668" t="s">
        <v>12975</v>
      </c>
      <c r="AU668">
        <v>2018</v>
      </c>
      <c r="AV668">
        <v>15</v>
      </c>
      <c r="AW668">
        <v>23</v>
      </c>
      <c r="AX668" t="s">
        <v>74</v>
      </c>
      <c r="AY668" t="s">
        <v>74</v>
      </c>
      <c r="AZ668" t="s">
        <v>74</v>
      </c>
      <c r="BA668" t="s">
        <v>74</v>
      </c>
      <c r="BB668">
        <v>7155</v>
      </c>
      <c r="BC668">
        <v>7175</v>
      </c>
      <c r="BD668" t="s">
        <v>74</v>
      </c>
      <c r="BE668" t="s">
        <v>12997</v>
      </c>
      <c r="BF668" t="str">
        <f>HYPERLINK("http://dx.doi.org/10.5194/bg-15-7155-2018","http://dx.doi.org/10.5194/bg-15-7155-2018")</f>
        <v>http://dx.doi.org/10.5194/bg-15-7155-2018</v>
      </c>
      <c r="BG668" t="s">
        <v>74</v>
      </c>
      <c r="BH668" t="s">
        <v>74</v>
      </c>
      <c r="BI668">
        <v>21</v>
      </c>
      <c r="BJ668" t="s">
        <v>451</v>
      </c>
      <c r="BK668" t="s">
        <v>101</v>
      </c>
      <c r="BL668" t="s">
        <v>452</v>
      </c>
      <c r="BM668" t="s">
        <v>12998</v>
      </c>
      <c r="BN668" t="s">
        <v>74</v>
      </c>
      <c r="BO668" t="s">
        <v>1693</v>
      </c>
      <c r="BP668" t="s">
        <v>74</v>
      </c>
      <c r="BQ668" t="s">
        <v>74</v>
      </c>
      <c r="BR668" t="s">
        <v>104</v>
      </c>
      <c r="BS668" t="s">
        <v>12999</v>
      </c>
      <c r="BT668" t="str">
        <f>HYPERLINK("https%3A%2F%2Fwww.webofscience.com%2Fwos%2Fwoscc%2Ffull-record%2FWOS:000451732700003","View Full Record in Web of Science")</f>
        <v>View Full Record in Web of Science</v>
      </c>
    </row>
    <row r="669" spans="1:72" x14ac:dyDescent="0.15">
      <c r="A669" t="s">
        <v>72</v>
      </c>
      <c r="B669" t="s">
        <v>13000</v>
      </c>
      <c r="C669" t="s">
        <v>74</v>
      </c>
      <c r="D669" t="s">
        <v>74</v>
      </c>
      <c r="E669" t="s">
        <v>74</v>
      </c>
      <c r="F669" t="s">
        <v>13001</v>
      </c>
      <c r="G669" t="s">
        <v>74</v>
      </c>
      <c r="H669" t="s">
        <v>74</v>
      </c>
      <c r="I669" t="s">
        <v>13002</v>
      </c>
      <c r="J669" t="s">
        <v>7857</v>
      </c>
      <c r="K669" t="s">
        <v>74</v>
      </c>
      <c r="L669" t="s">
        <v>74</v>
      </c>
      <c r="M669" t="s">
        <v>78</v>
      </c>
      <c r="N669" t="s">
        <v>79</v>
      </c>
      <c r="O669" t="s">
        <v>74</v>
      </c>
      <c r="P669" t="s">
        <v>74</v>
      </c>
      <c r="Q669" t="s">
        <v>74</v>
      </c>
      <c r="R669" t="s">
        <v>74</v>
      </c>
      <c r="S669" t="s">
        <v>74</v>
      </c>
      <c r="T669" t="s">
        <v>74</v>
      </c>
      <c r="U669" t="s">
        <v>13003</v>
      </c>
      <c r="V669" t="s">
        <v>13004</v>
      </c>
      <c r="W669" t="s">
        <v>13005</v>
      </c>
      <c r="X669" t="s">
        <v>4750</v>
      </c>
      <c r="Y669" t="s">
        <v>13006</v>
      </c>
      <c r="Z669" t="s">
        <v>13007</v>
      </c>
      <c r="AA669" t="s">
        <v>13008</v>
      </c>
      <c r="AB669" t="s">
        <v>13009</v>
      </c>
      <c r="AC669" t="s">
        <v>13010</v>
      </c>
      <c r="AD669" t="s">
        <v>13011</v>
      </c>
      <c r="AE669" t="s">
        <v>13012</v>
      </c>
      <c r="AF669" t="s">
        <v>74</v>
      </c>
      <c r="AG669">
        <v>89</v>
      </c>
      <c r="AH669">
        <v>32</v>
      </c>
      <c r="AI669">
        <v>34</v>
      </c>
      <c r="AJ669">
        <v>0</v>
      </c>
      <c r="AK669">
        <v>6</v>
      </c>
      <c r="AL669" t="s">
        <v>7866</v>
      </c>
      <c r="AM669" t="s">
        <v>7867</v>
      </c>
      <c r="AN669" t="s">
        <v>7868</v>
      </c>
      <c r="AO669" t="s">
        <v>7869</v>
      </c>
      <c r="AP669" t="s">
        <v>7870</v>
      </c>
      <c r="AQ669" t="s">
        <v>74</v>
      </c>
      <c r="AR669" t="s">
        <v>7871</v>
      </c>
      <c r="AS669" t="s">
        <v>7872</v>
      </c>
      <c r="AT669" t="s">
        <v>12975</v>
      </c>
      <c r="AU669">
        <v>2018</v>
      </c>
      <c r="AV669">
        <v>14</v>
      </c>
      <c r="AW669">
        <v>12</v>
      </c>
      <c r="AX669" t="s">
        <v>74</v>
      </c>
      <c r="AY669" t="s">
        <v>74</v>
      </c>
      <c r="AZ669" t="s">
        <v>74</v>
      </c>
      <c r="BA669" t="s">
        <v>74</v>
      </c>
      <c r="BB669">
        <v>1851</v>
      </c>
      <c r="BC669">
        <v>1868</v>
      </c>
      <c r="BD669" t="s">
        <v>74</v>
      </c>
      <c r="BE669" t="s">
        <v>13013</v>
      </c>
      <c r="BF669" t="str">
        <f>HYPERLINK("http://dx.doi.org/10.5194/cp-14-1851-2018","http://dx.doi.org/10.5194/cp-14-1851-2018")</f>
        <v>http://dx.doi.org/10.5194/cp-14-1851-2018</v>
      </c>
      <c r="BG669" t="s">
        <v>74</v>
      </c>
      <c r="BH669" t="s">
        <v>74</v>
      </c>
      <c r="BI669">
        <v>18</v>
      </c>
      <c r="BJ669" t="s">
        <v>7874</v>
      </c>
      <c r="BK669" t="s">
        <v>101</v>
      </c>
      <c r="BL669" t="s">
        <v>7875</v>
      </c>
      <c r="BM669" t="s">
        <v>13014</v>
      </c>
      <c r="BN669" t="s">
        <v>74</v>
      </c>
      <c r="BO669" t="s">
        <v>949</v>
      </c>
      <c r="BP669" t="s">
        <v>74</v>
      </c>
      <c r="BQ669" t="s">
        <v>74</v>
      </c>
      <c r="BR669" t="s">
        <v>104</v>
      </c>
      <c r="BS669" t="s">
        <v>13015</v>
      </c>
      <c r="BT669" t="str">
        <f>HYPERLINK("https%3A%2F%2Fwww.webofscience.com%2Fwos%2Fwoscc%2Ffull-record%2FWOS:000451733900001","View Full Record in Web of Science")</f>
        <v>View Full Record in Web of Science</v>
      </c>
    </row>
    <row r="670" spans="1:72" x14ac:dyDescent="0.15">
      <c r="A670" t="s">
        <v>72</v>
      </c>
      <c r="B670" t="s">
        <v>13016</v>
      </c>
      <c r="C670" t="s">
        <v>74</v>
      </c>
      <c r="D670" t="s">
        <v>74</v>
      </c>
      <c r="E670" t="s">
        <v>74</v>
      </c>
      <c r="F670" t="s">
        <v>13017</v>
      </c>
      <c r="G670" t="s">
        <v>74</v>
      </c>
      <c r="H670" t="s">
        <v>74</v>
      </c>
      <c r="I670" t="s">
        <v>13018</v>
      </c>
      <c r="J670" t="s">
        <v>8100</v>
      </c>
      <c r="K670" t="s">
        <v>74</v>
      </c>
      <c r="L670" t="s">
        <v>74</v>
      </c>
      <c r="M670" t="s">
        <v>78</v>
      </c>
      <c r="N670" t="s">
        <v>79</v>
      </c>
      <c r="O670" t="s">
        <v>74</v>
      </c>
      <c r="P670" t="s">
        <v>74</v>
      </c>
      <c r="Q670" t="s">
        <v>74</v>
      </c>
      <c r="R670" t="s">
        <v>74</v>
      </c>
      <c r="S670" t="s">
        <v>74</v>
      </c>
      <c r="T670" t="s">
        <v>74</v>
      </c>
      <c r="U670" t="s">
        <v>13019</v>
      </c>
      <c r="V670" t="s">
        <v>13020</v>
      </c>
      <c r="W670" t="s">
        <v>13021</v>
      </c>
      <c r="X670" t="s">
        <v>13022</v>
      </c>
      <c r="Y670" t="s">
        <v>13023</v>
      </c>
      <c r="Z670" t="s">
        <v>13024</v>
      </c>
      <c r="AA670" t="s">
        <v>13025</v>
      </c>
      <c r="AB670" t="s">
        <v>13026</v>
      </c>
      <c r="AC670" t="s">
        <v>13027</v>
      </c>
      <c r="AD670" t="s">
        <v>13028</v>
      </c>
      <c r="AE670" t="s">
        <v>13029</v>
      </c>
      <c r="AF670" t="s">
        <v>74</v>
      </c>
      <c r="AG670">
        <v>55</v>
      </c>
      <c r="AH670">
        <v>31</v>
      </c>
      <c r="AI670">
        <v>35</v>
      </c>
      <c r="AJ670">
        <v>1</v>
      </c>
      <c r="AK670">
        <v>12</v>
      </c>
      <c r="AL670" t="s">
        <v>7866</v>
      </c>
      <c r="AM670" t="s">
        <v>7867</v>
      </c>
      <c r="AN670" t="s">
        <v>7868</v>
      </c>
      <c r="AO670" t="s">
        <v>8112</v>
      </c>
      <c r="AP670" t="s">
        <v>8113</v>
      </c>
      <c r="AQ670" t="s">
        <v>74</v>
      </c>
      <c r="AR670" t="s">
        <v>8100</v>
      </c>
      <c r="AS670" t="s">
        <v>8114</v>
      </c>
      <c r="AT670" t="s">
        <v>12975</v>
      </c>
      <c r="AU670">
        <v>2018</v>
      </c>
      <c r="AV670">
        <v>12</v>
      </c>
      <c r="AW670">
        <v>12</v>
      </c>
      <c r="AX670" t="s">
        <v>74</v>
      </c>
      <c r="AY670" t="s">
        <v>74</v>
      </c>
      <c r="AZ670" t="s">
        <v>74</v>
      </c>
      <c r="BA670" t="s">
        <v>74</v>
      </c>
      <c r="BB670">
        <v>3775</v>
      </c>
      <c r="BC670">
        <v>3789</v>
      </c>
      <c r="BD670" t="s">
        <v>74</v>
      </c>
      <c r="BE670" t="s">
        <v>13030</v>
      </c>
      <c r="BF670" t="str">
        <f>HYPERLINK("http://dx.doi.org/10.5194/tc-12-3775-2018","http://dx.doi.org/10.5194/tc-12-3775-2018")</f>
        <v>http://dx.doi.org/10.5194/tc-12-3775-2018</v>
      </c>
      <c r="BG670" t="s">
        <v>74</v>
      </c>
      <c r="BH670" t="s">
        <v>74</v>
      </c>
      <c r="BI670">
        <v>15</v>
      </c>
      <c r="BJ670" t="s">
        <v>1480</v>
      </c>
      <c r="BK670" t="s">
        <v>101</v>
      </c>
      <c r="BL670" t="s">
        <v>1481</v>
      </c>
      <c r="BM670" t="s">
        <v>13031</v>
      </c>
      <c r="BN670" t="s">
        <v>74</v>
      </c>
      <c r="BO670" t="s">
        <v>13032</v>
      </c>
      <c r="BP670" t="s">
        <v>74</v>
      </c>
      <c r="BQ670" t="s">
        <v>74</v>
      </c>
      <c r="BR670" t="s">
        <v>104</v>
      </c>
      <c r="BS670" t="s">
        <v>13033</v>
      </c>
      <c r="BT670" t="str">
        <f>HYPERLINK("https%3A%2F%2Fwww.webofscience.com%2Fwos%2Fwoscc%2Ffull-record%2FWOS:000452509500003","View Full Record in Web of Science")</f>
        <v>View Full Record in Web of Science</v>
      </c>
    </row>
    <row r="671" spans="1:72" x14ac:dyDescent="0.15">
      <c r="A671" t="s">
        <v>72</v>
      </c>
      <c r="B671" t="s">
        <v>13034</v>
      </c>
      <c r="C671" t="s">
        <v>74</v>
      </c>
      <c r="D671" t="s">
        <v>74</v>
      </c>
      <c r="E671" t="s">
        <v>74</v>
      </c>
      <c r="F671" t="s">
        <v>13035</v>
      </c>
      <c r="G671" t="s">
        <v>74</v>
      </c>
      <c r="H671" t="s">
        <v>74</v>
      </c>
      <c r="I671" t="s">
        <v>13036</v>
      </c>
      <c r="J671" t="s">
        <v>8034</v>
      </c>
      <c r="K671" t="s">
        <v>74</v>
      </c>
      <c r="L671" t="s">
        <v>74</v>
      </c>
      <c r="M671" t="s">
        <v>78</v>
      </c>
      <c r="N671" t="s">
        <v>79</v>
      </c>
      <c r="O671" t="s">
        <v>74</v>
      </c>
      <c r="P671" t="s">
        <v>74</v>
      </c>
      <c r="Q671" t="s">
        <v>74</v>
      </c>
      <c r="R671" t="s">
        <v>74</v>
      </c>
      <c r="S671" t="s">
        <v>74</v>
      </c>
      <c r="T671" t="s">
        <v>74</v>
      </c>
      <c r="U671" t="s">
        <v>13037</v>
      </c>
      <c r="V671" t="s">
        <v>13038</v>
      </c>
      <c r="W671" t="s">
        <v>13039</v>
      </c>
      <c r="X671" t="s">
        <v>13040</v>
      </c>
      <c r="Y671" t="s">
        <v>13041</v>
      </c>
      <c r="Z671" t="s">
        <v>13042</v>
      </c>
      <c r="AA671" t="s">
        <v>13043</v>
      </c>
      <c r="AB671" t="s">
        <v>13044</v>
      </c>
      <c r="AC671" t="s">
        <v>13045</v>
      </c>
      <c r="AD671" t="s">
        <v>13046</v>
      </c>
      <c r="AE671" t="s">
        <v>13047</v>
      </c>
      <c r="AF671" t="s">
        <v>74</v>
      </c>
      <c r="AG671">
        <v>89</v>
      </c>
      <c r="AH671">
        <v>27</v>
      </c>
      <c r="AI671">
        <v>29</v>
      </c>
      <c r="AJ671">
        <v>0</v>
      </c>
      <c r="AK671">
        <v>16</v>
      </c>
      <c r="AL671" t="s">
        <v>8045</v>
      </c>
      <c r="AM671" t="s">
        <v>6186</v>
      </c>
      <c r="AN671" t="s">
        <v>6187</v>
      </c>
      <c r="AO671" t="s">
        <v>8046</v>
      </c>
      <c r="AP671" t="s">
        <v>74</v>
      </c>
      <c r="AQ671" t="s">
        <v>74</v>
      </c>
      <c r="AR671" t="s">
        <v>8047</v>
      </c>
      <c r="AS671" t="s">
        <v>8048</v>
      </c>
      <c r="AT671" t="s">
        <v>12975</v>
      </c>
      <c r="AU671">
        <v>2018</v>
      </c>
      <c r="AV671">
        <v>8</v>
      </c>
      <c r="AW671" t="s">
        <v>74</v>
      </c>
      <c r="AX671" t="s">
        <v>74</v>
      </c>
      <c r="AY671" t="s">
        <v>74</v>
      </c>
      <c r="AZ671" t="s">
        <v>74</v>
      </c>
      <c r="BA671" t="s">
        <v>74</v>
      </c>
      <c r="BB671" t="s">
        <v>74</v>
      </c>
      <c r="BC671" t="s">
        <v>74</v>
      </c>
      <c r="BD671">
        <v>17481</v>
      </c>
      <c r="BE671" t="s">
        <v>13048</v>
      </c>
      <c r="BF671" t="str">
        <f>HYPERLINK("http://dx.doi.org/10.1038/s41598-018-35975-3","http://dx.doi.org/10.1038/s41598-018-35975-3")</f>
        <v>http://dx.doi.org/10.1038/s41598-018-35975-3</v>
      </c>
      <c r="BG671" t="s">
        <v>74</v>
      </c>
      <c r="BH671" t="s">
        <v>74</v>
      </c>
      <c r="BI671">
        <v>16</v>
      </c>
      <c r="BJ671" t="s">
        <v>855</v>
      </c>
      <c r="BK671" t="s">
        <v>101</v>
      </c>
      <c r="BL671" t="s">
        <v>856</v>
      </c>
      <c r="BM671" t="s">
        <v>13049</v>
      </c>
      <c r="BN671">
        <v>30504851</v>
      </c>
      <c r="BO671" t="s">
        <v>10404</v>
      </c>
      <c r="BP671" t="s">
        <v>74</v>
      </c>
      <c r="BQ671" t="s">
        <v>74</v>
      </c>
      <c r="BR671" t="s">
        <v>104</v>
      </c>
      <c r="BS671" t="s">
        <v>13050</v>
      </c>
      <c r="BT671" t="str">
        <f>HYPERLINK("https%3A%2F%2Fwww.webofscience.com%2Fwos%2Fwoscc%2Ffull-record%2FWOS:000451748700003","View Full Record in Web of Science")</f>
        <v>View Full Record in Web of Science</v>
      </c>
    </row>
    <row r="672" spans="1:72" x14ac:dyDescent="0.15">
      <c r="A672" t="s">
        <v>72</v>
      </c>
      <c r="B672" t="s">
        <v>13051</v>
      </c>
      <c r="C672" t="s">
        <v>74</v>
      </c>
      <c r="D672" t="s">
        <v>74</v>
      </c>
      <c r="E672" t="s">
        <v>74</v>
      </c>
      <c r="F672" t="s">
        <v>13052</v>
      </c>
      <c r="G672" t="s">
        <v>74</v>
      </c>
      <c r="H672" t="s">
        <v>74</v>
      </c>
      <c r="I672" t="s">
        <v>13053</v>
      </c>
      <c r="J672" t="s">
        <v>13054</v>
      </c>
      <c r="K672" t="s">
        <v>74</v>
      </c>
      <c r="L672" t="s">
        <v>74</v>
      </c>
      <c r="M672" t="s">
        <v>78</v>
      </c>
      <c r="N672" t="s">
        <v>79</v>
      </c>
      <c r="O672" t="s">
        <v>74</v>
      </c>
      <c r="P672" t="s">
        <v>74</v>
      </c>
      <c r="Q672" t="s">
        <v>74</v>
      </c>
      <c r="R672" t="s">
        <v>74</v>
      </c>
      <c r="S672" t="s">
        <v>74</v>
      </c>
      <c r="T672" t="s">
        <v>74</v>
      </c>
      <c r="U672" t="s">
        <v>13055</v>
      </c>
      <c r="V672" t="s">
        <v>13056</v>
      </c>
      <c r="W672" t="s">
        <v>13057</v>
      </c>
      <c r="X672" t="s">
        <v>13058</v>
      </c>
      <c r="Y672" t="s">
        <v>13059</v>
      </c>
      <c r="Z672" t="s">
        <v>13060</v>
      </c>
      <c r="AA672" t="s">
        <v>13061</v>
      </c>
      <c r="AB672" t="s">
        <v>13062</v>
      </c>
      <c r="AC672" t="s">
        <v>13063</v>
      </c>
      <c r="AD672" t="s">
        <v>13064</v>
      </c>
      <c r="AE672" t="s">
        <v>13065</v>
      </c>
      <c r="AF672" t="s">
        <v>74</v>
      </c>
      <c r="AG672">
        <v>22</v>
      </c>
      <c r="AH672">
        <v>7</v>
      </c>
      <c r="AI672">
        <v>8</v>
      </c>
      <c r="AJ672">
        <v>0</v>
      </c>
      <c r="AK672">
        <v>4</v>
      </c>
      <c r="AL672" t="s">
        <v>7866</v>
      </c>
      <c r="AM672" t="s">
        <v>7867</v>
      </c>
      <c r="AN672" t="s">
        <v>7868</v>
      </c>
      <c r="AO672" t="s">
        <v>13066</v>
      </c>
      <c r="AP672" t="s">
        <v>13067</v>
      </c>
      <c r="AQ672" t="s">
        <v>74</v>
      </c>
      <c r="AR672" t="s">
        <v>13068</v>
      </c>
      <c r="AS672" t="s">
        <v>743</v>
      </c>
      <c r="AT672" t="s">
        <v>12975</v>
      </c>
      <c r="AU672">
        <v>2018</v>
      </c>
      <c r="AV672">
        <v>36</v>
      </c>
      <c r="AW672">
        <v>6</v>
      </c>
      <c r="AX672" t="s">
        <v>74</v>
      </c>
      <c r="AY672" t="s">
        <v>74</v>
      </c>
      <c r="AZ672" t="s">
        <v>74</v>
      </c>
      <c r="BA672" t="s">
        <v>74</v>
      </c>
      <c r="BB672">
        <v>1597</v>
      </c>
      <c r="BC672">
        <v>1605</v>
      </c>
      <c r="BD672" t="s">
        <v>74</v>
      </c>
      <c r="BE672" t="s">
        <v>13069</v>
      </c>
      <c r="BF672" t="str">
        <f>HYPERLINK("http://dx.doi.org/10.5194/angeo-36-1597-2018","http://dx.doi.org/10.5194/angeo-36-1597-2018")</f>
        <v>http://dx.doi.org/10.5194/angeo-36-1597-2018</v>
      </c>
      <c r="BG672" t="s">
        <v>74</v>
      </c>
      <c r="BH672" t="s">
        <v>74</v>
      </c>
      <c r="BI672">
        <v>9</v>
      </c>
      <c r="BJ672" t="s">
        <v>13070</v>
      </c>
      <c r="BK672" t="s">
        <v>101</v>
      </c>
      <c r="BL672" t="s">
        <v>13071</v>
      </c>
      <c r="BM672" t="s">
        <v>13072</v>
      </c>
      <c r="BN672" t="s">
        <v>74</v>
      </c>
      <c r="BO672" t="s">
        <v>949</v>
      </c>
      <c r="BP672" t="s">
        <v>74</v>
      </c>
      <c r="BQ672" t="s">
        <v>74</v>
      </c>
      <c r="BR672" t="s">
        <v>104</v>
      </c>
      <c r="BS672" t="s">
        <v>13073</v>
      </c>
      <c r="BT672" t="str">
        <f>HYPERLINK("https%3A%2F%2Fwww.webofscience.com%2Fwos%2Fwoscc%2Ffull-record%2FWOS:000451730900001","View Full Record in Web of Science")</f>
        <v>View Full Record in Web of Science</v>
      </c>
    </row>
    <row r="673" spans="1:72" x14ac:dyDescent="0.15">
      <c r="A673" t="s">
        <v>72</v>
      </c>
      <c r="B673" t="s">
        <v>13074</v>
      </c>
      <c r="C673" t="s">
        <v>74</v>
      </c>
      <c r="D673" t="s">
        <v>74</v>
      </c>
      <c r="E673" t="s">
        <v>74</v>
      </c>
      <c r="F673" t="s">
        <v>13075</v>
      </c>
      <c r="G673" t="s">
        <v>74</v>
      </c>
      <c r="H673" t="s">
        <v>74</v>
      </c>
      <c r="I673" t="s">
        <v>13076</v>
      </c>
      <c r="J673" t="s">
        <v>13077</v>
      </c>
      <c r="K673" t="s">
        <v>74</v>
      </c>
      <c r="L673" t="s">
        <v>74</v>
      </c>
      <c r="M673" t="s">
        <v>78</v>
      </c>
      <c r="N673" t="s">
        <v>79</v>
      </c>
      <c r="O673" t="s">
        <v>74</v>
      </c>
      <c r="P673" t="s">
        <v>74</v>
      </c>
      <c r="Q673" t="s">
        <v>74</v>
      </c>
      <c r="R673" t="s">
        <v>74</v>
      </c>
      <c r="S673" t="s">
        <v>74</v>
      </c>
      <c r="T673" t="s">
        <v>13078</v>
      </c>
      <c r="U673" t="s">
        <v>13079</v>
      </c>
      <c r="V673" t="s">
        <v>13080</v>
      </c>
      <c r="W673" t="s">
        <v>13081</v>
      </c>
      <c r="X673" t="s">
        <v>13082</v>
      </c>
      <c r="Y673" t="s">
        <v>13083</v>
      </c>
      <c r="Z673" t="s">
        <v>13084</v>
      </c>
      <c r="AA673" t="s">
        <v>74</v>
      </c>
      <c r="AB673" t="s">
        <v>13085</v>
      </c>
      <c r="AC673" t="s">
        <v>13086</v>
      </c>
      <c r="AD673" t="s">
        <v>13087</v>
      </c>
      <c r="AE673" t="s">
        <v>13088</v>
      </c>
      <c r="AF673" t="s">
        <v>74</v>
      </c>
      <c r="AG673">
        <v>198</v>
      </c>
      <c r="AH673">
        <v>8</v>
      </c>
      <c r="AI673">
        <v>8</v>
      </c>
      <c r="AJ673">
        <v>0</v>
      </c>
      <c r="AK673">
        <v>8</v>
      </c>
      <c r="AL673" t="s">
        <v>3352</v>
      </c>
      <c r="AM673" t="s">
        <v>3353</v>
      </c>
      <c r="AN673" t="s">
        <v>3354</v>
      </c>
      <c r="AO673" t="s">
        <v>13089</v>
      </c>
      <c r="AP673" t="s">
        <v>13090</v>
      </c>
      <c r="AQ673" t="s">
        <v>74</v>
      </c>
      <c r="AR673" t="s">
        <v>13091</v>
      </c>
      <c r="AS673" t="s">
        <v>13092</v>
      </c>
      <c r="AT673" t="s">
        <v>12975</v>
      </c>
      <c r="AU673">
        <v>2018</v>
      </c>
      <c r="AV673">
        <v>495</v>
      </c>
      <c r="AW673" t="s">
        <v>74</v>
      </c>
      <c r="AX673" t="s">
        <v>74</v>
      </c>
      <c r="AY673" t="s">
        <v>74</v>
      </c>
      <c r="AZ673" t="s">
        <v>74</v>
      </c>
      <c r="BA673" t="s">
        <v>74</v>
      </c>
      <c r="BB673">
        <v>153</v>
      </c>
      <c r="BC673">
        <v>168</v>
      </c>
      <c r="BD673" t="s">
        <v>74</v>
      </c>
      <c r="BE673" t="s">
        <v>13093</v>
      </c>
      <c r="BF673" t="str">
        <f>HYPERLINK("http://dx.doi.org/10.1016/j.quaint.2018.04.017","http://dx.doi.org/10.1016/j.quaint.2018.04.017")</f>
        <v>http://dx.doi.org/10.1016/j.quaint.2018.04.017</v>
      </c>
      <c r="BG673" t="s">
        <v>74</v>
      </c>
      <c r="BH673" t="s">
        <v>74</v>
      </c>
      <c r="BI673">
        <v>16</v>
      </c>
      <c r="BJ673" t="s">
        <v>1480</v>
      </c>
      <c r="BK673" t="s">
        <v>3493</v>
      </c>
      <c r="BL673" t="s">
        <v>1481</v>
      </c>
      <c r="BM673" t="s">
        <v>13094</v>
      </c>
      <c r="BN673" t="s">
        <v>74</v>
      </c>
      <c r="BO673" t="s">
        <v>74</v>
      </c>
      <c r="BP673" t="s">
        <v>74</v>
      </c>
      <c r="BQ673" t="s">
        <v>74</v>
      </c>
      <c r="BR673" t="s">
        <v>104</v>
      </c>
      <c r="BS673" t="s">
        <v>13095</v>
      </c>
      <c r="BT673" t="str">
        <f>HYPERLINK("https%3A%2F%2Fwww.webofscience.com%2Fwos%2Fwoscc%2Ffull-record%2FWOS:000449555500013","View Full Record in Web of Science")</f>
        <v>View Full Record in Web of Science</v>
      </c>
    </row>
    <row r="674" spans="1:72" x14ac:dyDescent="0.15">
      <c r="A674" t="s">
        <v>72</v>
      </c>
      <c r="B674" t="s">
        <v>13096</v>
      </c>
      <c r="C674" t="s">
        <v>74</v>
      </c>
      <c r="D674" t="s">
        <v>74</v>
      </c>
      <c r="E674" t="s">
        <v>74</v>
      </c>
      <c r="F674" t="s">
        <v>13097</v>
      </c>
      <c r="G674" t="s">
        <v>74</v>
      </c>
      <c r="H674" t="s">
        <v>74</v>
      </c>
      <c r="I674" t="s">
        <v>13098</v>
      </c>
      <c r="J674" t="s">
        <v>12982</v>
      </c>
      <c r="K674" t="s">
        <v>74</v>
      </c>
      <c r="L674" t="s">
        <v>74</v>
      </c>
      <c r="M674" t="s">
        <v>78</v>
      </c>
      <c r="N674" t="s">
        <v>79</v>
      </c>
      <c r="O674" t="s">
        <v>74</v>
      </c>
      <c r="P674" t="s">
        <v>74</v>
      </c>
      <c r="Q674" t="s">
        <v>74</v>
      </c>
      <c r="R674" t="s">
        <v>74</v>
      </c>
      <c r="S674" t="s">
        <v>74</v>
      </c>
      <c r="T674" t="s">
        <v>74</v>
      </c>
      <c r="U674" t="s">
        <v>13099</v>
      </c>
      <c r="V674" t="s">
        <v>13100</v>
      </c>
      <c r="W674" t="s">
        <v>13101</v>
      </c>
      <c r="X674" t="s">
        <v>13102</v>
      </c>
      <c r="Y674" t="s">
        <v>13103</v>
      </c>
      <c r="Z674" t="s">
        <v>13104</v>
      </c>
      <c r="AA674" t="s">
        <v>13105</v>
      </c>
      <c r="AB674" t="s">
        <v>13106</v>
      </c>
      <c r="AC674" t="s">
        <v>13107</v>
      </c>
      <c r="AD674" t="s">
        <v>13108</v>
      </c>
      <c r="AE674" t="s">
        <v>13109</v>
      </c>
      <c r="AF674" t="s">
        <v>74</v>
      </c>
      <c r="AG674">
        <v>79</v>
      </c>
      <c r="AH674">
        <v>10</v>
      </c>
      <c r="AI674">
        <v>10</v>
      </c>
      <c r="AJ674">
        <v>0</v>
      </c>
      <c r="AK674">
        <v>11</v>
      </c>
      <c r="AL674" t="s">
        <v>7866</v>
      </c>
      <c r="AM674" t="s">
        <v>7867</v>
      </c>
      <c r="AN674" t="s">
        <v>7868</v>
      </c>
      <c r="AO674" t="s">
        <v>12994</v>
      </c>
      <c r="AP674" t="s">
        <v>12995</v>
      </c>
      <c r="AQ674" t="s">
        <v>74</v>
      </c>
      <c r="AR674" t="s">
        <v>12982</v>
      </c>
      <c r="AS674" t="s">
        <v>12996</v>
      </c>
      <c r="AT674" t="s">
        <v>13110</v>
      </c>
      <c r="AU674">
        <v>2018</v>
      </c>
      <c r="AV674">
        <v>15</v>
      </c>
      <c r="AW674">
        <v>23</v>
      </c>
      <c r="AX674" t="s">
        <v>74</v>
      </c>
      <c r="AY674" t="s">
        <v>74</v>
      </c>
      <c r="AZ674" t="s">
        <v>74</v>
      </c>
      <c r="BA674" t="s">
        <v>74</v>
      </c>
      <c r="BB674">
        <v>7097</v>
      </c>
      <c r="BC674">
        <v>7109</v>
      </c>
      <c r="BD674" t="s">
        <v>74</v>
      </c>
      <c r="BE674" t="s">
        <v>13111</v>
      </c>
      <c r="BF674" t="str">
        <f>HYPERLINK("http://dx.doi.org/10.5194/bg-15-7097-2018","http://dx.doi.org/10.5194/bg-15-7097-2018")</f>
        <v>http://dx.doi.org/10.5194/bg-15-7097-2018</v>
      </c>
      <c r="BG674" t="s">
        <v>74</v>
      </c>
      <c r="BH674" t="s">
        <v>74</v>
      </c>
      <c r="BI674">
        <v>13</v>
      </c>
      <c r="BJ674" t="s">
        <v>451</v>
      </c>
      <c r="BK674" t="s">
        <v>101</v>
      </c>
      <c r="BL674" t="s">
        <v>452</v>
      </c>
      <c r="BM674" t="s">
        <v>13112</v>
      </c>
      <c r="BN674" t="s">
        <v>74</v>
      </c>
      <c r="BO674" t="s">
        <v>10119</v>
      </c>
      <c r="BP674" t="s">
        <v>74</v>
      </c>
      <c r="BQ674" t="s">
        <v>74</v>
      </c>
      <c r="BR674" t="s">
        <v>104</v>
      </c>
      <c r="BS674" t="s">
        <v>13113</v>
      </c>
      <c r="BT674" t="str">
        <f>HYPERLINK("https%3A%2F%2Fwww.webofscience.com%2Fwos%2Fwoscc%2Ffull-record%2FWOS:000451532000001","View Full Record in Web of Science")</f>
        <v>View Full Record in Web of Science</v>
      </c>
    </row>
    <row r="675" spans="1:72" x14ac:dyDescent="0.15">
      <c r="A675" t="s">
        <v>72</v>
      </c>
      <c r="B675" t="s">
        <v>13114</v>
      </c>
      <c r="C675" t="s">
        <v>74</v>
      </c>
      <c r="D675" t="s">
        <v>74</v>
      </c>
      <c r="E675" t="s">
        <v>74</v>
      </c>
      <c r="F675" t="s">
        <v>13115</v>
      </c>
      <c r="G675" t="s">
        <v>74</v>
      </c>
      <c r="H675" t="s">
        <v>74</v>
      </c>
      <c r="I675" t="s">
        <v>13116</v>
      </c>
      <c r="J675" t="s">
        <v>8100</v>
      </c>
      <c r="K675" t="s">
        <v>74</v>
      </c>
      <c r="L675" t="s">
        <v>74</v>
      </c>
      <c r="M675" t="s">
        <v>78</v>
      </c>
      <c r="N675" t="s">
        <v>79</v>
      </c>
      <c r="O675" t="s">
        <v>74</v>
      </c>
      <c r="P675" t="s">
        <v>74</v>
      </c>
      <c r="Q675" t="s">
        <v>74</v>
      </c>
      <c r="R675" t="s">
        <v>74</v>
      </c>
      <c r="S675" t="s">
        <v>74</v>
      </c>
      <c r="T675" t="s">
        <v>74</v>
      </c>
      <c r="U675" t="s">
        <v>13117</v>
      </c>
      <c r="V675" t="s">
        <v>13118</v>
      </c>
      <c r="W675" t="s">
        <v>13119</v>
      </c>
      <c r="X675" t="s">
        <v>13120</v>
      </c>
      <c r="Y675" t="s">
        <v>13121</v>
      </c>
      <c r="Z675" t="s">
        <v>13122</v>
      </c>
      <c r="AA675" t="s">
        <v>13123</v>
      </c>
      <c r="AB675" t="s">
        <v>74</v>
      </c>
      <c r="AC675" t="s">
        <v>13124</v>
      </c>
      <c r="AD675" t="s">
        <v>13125</v>
      </c>
      <c r="AE675" t="s">
        <v>13126</v>
      </c>
      <c r="AF675" t="s">
        <v>74</v>
      </c>
      <c r="AG675">
        <v>61</v>
      </c>
      <c r="AH675">
        <v>54</v>
      </c>
      <c r="AI675">
        <v>58</v>
      </c>
      <c r="AJ675">
        <v>1</v>
      </c>
      <c r="AK675">
        <v>8</v>
      </c>
      <c r="AL675" t="s">
        <v>7866</v>
      </c>
      <c r="AM675" t="s">
        <v>7867</v>
      </c>
      <c r="AN675" t="s">
        <v>7868</v>
      </c>
      <c r="AO675" t="s">
        <v>8112</v>
      </c>
      <c r="AP675" t="s">
        <v>8113</v>
      </c>
      <c r="AQ675" t="s">
        <v>74</v>
      </c>
      <c r="AR675" t="s">
        <v>8100</v>
      </c>
      <c r="AS675" t="s">
        <v>8114</v>
      </c>
      <c r="AT675" t="s">
        <v>13110</v>
      </c>
      <c r="AU675">
        <v>2018</v>
      </c>
      <c r="AV675">
        <v>12</v>
      </c>
      <c r="AW675">
        <v>12</v>
      </c>
      <c r="AX675" t="s">
        <v>74</v>
      </c>
      <c r="AY675" t="s">
        <v>74</v>
      </c>
      <c r="AZ675" t="s">
        <v>74</v>
      </c>
      <c r="BA675" t="s">
        <v>74</v>
      </c>
      <c r="BB675">
        <v>3719</v>
      </c>
      <c r="BC675">
        <v>3734</v>
      </c>
      <c r="BD675" t="s">
        <v>74</v>
      </c>
      <c r="BE675" t="s">
        <v>13127</v>
      </c>
      <c r="BF675" t="str">
        <f>HYPERLINK("http://dx.doi.org/10.5194/tc-12-3719-2018","http://dx.doi.org/10.5194/tc-12-3719-2018")</f>
        <v>http://dx.doi.org/10.5194/tc-12-3719-2018</v>
      </c>
      <c r="BG675" t="s">
        <v>74</v>
      </c>
      <c r="BH675" t="s">
        <v>74</v>
      </c>
      <c r="BI675">
        <v>16</v>
      </c>
      <c r="BJ675" t="s">
        <v>1480</v>
      </c>
      <c r="BK675" t="s">
        <v>101</v>
      </c>
      <c r="BL675" t="s">
        <v>1481</v>
      </c>
      <c r="BM675" t="s">
        <v>13128</v>
      </c>
      <c r="BN675" t="s">
        <v>74</v>
      </c>
      <c r="BO675" t="s">
        <v>13129</v>
      </c>
      <c r="BP675" t="s">
        <v>74</v>
      </c>
      <c r="BQ675" t="s">
        <v>74</v>
      </c>
      <c r="BR675" t="s">
        <v>104</v>
      </c>
      <c r="BS675" t="s">
        <v>13130</v>
      </c>
      <c r="BT675" t="str">
        <f>HYPERLINK("https%3A%2F%2Fwww.webofscience.com%2Fwos%2Fwoscc%2Ffull-record%2FWOS:000451538300001","View Full Record in Web of Science")</f>
        <v>View Full Record in Web of Science</v>
      </c>
    </row>
    <row r="676" spans="1:72" x14ac:dyDescent="0.15">
      <c r="A676" t="s">
        <v>72</v>
      </c>
      <c r="B676" t="s">
        <v>13131</v>
      </c>
      <c r="C676" t="s">
        <v>74</v>
      </c>
      <c r="D676" t="s">
        <v>74</v>
      </c>
      <c r="E676" t="s">
        <v>74</v>
      </c>
      <c r="F676" t="s">
        <v>13132</v>
      </c>
      <c r="G676" t="s">
        <v>74</v>
      </c>
      <c r="H676" t="s">
        <v>74</v>
      </c>
      <c r="I676" t="s">
        <v>13133</v>
      </c>
      <c r="J676" t="s">
        <v>8920</v>
      </c>
      <c r="K676" t="s">
        <v>74</v>
      </c>
      <c r="L676" t="s">
        <v>74</v>
      </c>
      <c r="M676" t="s">
        <v>78</v>
      </c>
      <c r="N676" t="s">
        <v>79</v>
      </c>
      <c r="O676" t="s">
        <v>74</v>
      </c>
      <c r="P676" t="s">
        <v>74</v>
      </c>
      <c r="Q676" t="s">
        <v>74</v>
      </c>
      <c r="R676" t="s">
        <v>74</v>
      </c>
      <c r="S676" t="s">
        <v>74</v>
      </c>
      <c r="T676" t="s">
        <v>74</v>
      </c>
      <c r="U676" t="s">
        <v>13134</v>
      </c>
      <c r="V676" t="s">
        <v>13135</v>
      </c>
      <c r="W676" t="s">
        <v>13136</v>
      </c>
      <c r="X676" t="s">
        <v>13137</v>
      </c>
      <c r="Y676" t="s">
        <v>13138</v>
      </c>
      <c r="Z676" t="s">
        <v>13139</v>
      </c>
      <c r="AA676" t="s">
        <v>13140</v>
      </c>
      <c r="AB676" t="s">
        <v>13141</v>
      </c>
      <c r="AC676" t="s">
        <v>13142</v>
      </c>
      <c r="AD676" t="s">
        <v>13143</v>
      </c>
      <c r="AE676" t="s">
        <v>13144</v>
      </c>
      <c r="AF676" t="s">
        <v>74</v>
      </c>
      <c r="AG676">
        <v>70</v>
      </c>
      <c r="AH676">
        <v>92</v>
      </c>
      <c r="AI676">
        <v>99</v>
      </c>
      <c r="AJ676">
        <v>2</v>
      </c>
      <c r="AK676">
        <v>95</v>
      </c>
      <c r="AL676" t="s">
        <v>6164</v>
      </c>
      <c r="AM676" t="s">
        <v>3008</v>
      </c>
      <c r="AN676" t="s">
        <v>6165</v>
      </c>
      <c r="AO676" t="s">
        <v>8932</v>
      </c>
      <c r="AP676" t="s">
        <v>8933</v>
      </c>
      <c r="AQ676" t="s">
        <v>74</v>
      </c>
      <c r="AR676" t="s">
        <v>8920</v>
      </c>
      <c r="AS676" t="s">
        <v>8934</v>
      </c>
      <c r="AT676" t="s">
        <v>13110</v>
      </c>
      <c r="AU676">
        <v>2018</v>
      </c>
      <c r="AV676">
        <v>563</v>
      </c>
      <c r="AW676">
        <v>7733</v>
      </c>
      <c r="AX676" t="s">
        <v>74</v>
      </c>
      <c r="AY676" t="s">
        <v>74</v>
      </c>
      <c r="AZ676" t="s">
        <v>74</v>
      </c>
      <c r="BA676" t="s">
        <v>74</v>
      </c>
      <c r="BB676">
        <v>681</v>
      </c>
      <c r="BC676" t="s">
        <v>642</v>
      </c>
      <c r="BD676" t="s">
        <v>74</v>
      </c>
      <c r="BE676" t="s">
        <v>13145</v>
      </c>
      <c r="BF676" t="str">
        <f>HYPERLINK("http://dx.doi.org/10.1038/s41586-018-0727-5","http://dx.doi.org/10.1038/s41586-018-0727-5")</f>
        <v>http://dx.doi.org/10.1038/s41586-018-0727-5</v>
      </c>
      <c r="BG676" t="s">
        <v>74</v>
      </c>
      <c r="BH676" t="s">
        <v>74</v>
      </c>
      <c r="BI676">
        <v>19</v>
      </c>
      <c r="BJ676" t="s">
        <v>855</v>
      </c>
      <c r="BK676" t="s">
        <v>101</v>
      </c>
      <c r="BL676" t="s">
        <v>856</v>
      </c>
      <c r="BM676" t="s">
        <v>13146</v>
      </c>
      <c r="BN676">
        <v>30487614</v>
      </c>
      <c r="BO676" t="s">
        <v>2948</v>
      </c>
      <c r="BP676" t="s">
        <v>74</v>
      </c>
      <c r="BQ676" t="s">
        <v>74</v>
      </c>
      <c r="BR676" t="s">
        <v>104</v>
      </c>
      <c r="BS676" t="s">
        <v>13147</v>
      </c>
      <c r="BT676" t="str">
        <f>HYPERLINK("https%3A%2F%2Fwww.webofscience.com%2Fwos%2Fwoscc%2Ffull-record%2FWOS:000451599900053","View Full Record in Web of Science")</f>
        <v>View Full Record in Web of Science</v>
      </c>
    </row>
    <row r="677" spans="1:72" x14ac:dyDescent="0.15">
      <c r="A677" t="s">
        <v>72</v>
      </c>
      <c r="B677" t="s">
        <v>13148</v>
      </c>
      <c r="C677" t="s">
        <v>74</v>
      </c>
      <c r="D677" t="s">
        <v>74</v>
      </c>
      <c r="E677" t="s">
        <v>74</v>
      </c>
      <c r="F677" t="s">
        <v>13149</v>
      </c>
      <c r="G677" t="s">
        <v>74</v>
      </c>
      <c r="H677" t="s">
        <v>74</v>
      </c>
      <c r="I677" t="s">
        <v>13150</v>
      </c>
      <c r="J677" t="s">
        <v>7903</v>
      </c>
      <c r="K677" t="s">
        <v>74</v>
      </c>
      <c r="L677" t="s">
        <v>74</v>
      </c>
      <c r="M677" t="s">
        <v>78</v>
      </c>
      <c r="N677" t="s">
        <v>79</v>
      </c>
      <c r="O677" t="s">
        <v>74</v>
      </c>
      <c r="P677" t="s">
        <v>74</v>
      </c>
      <c r="Q677" t="s">
        <v>74</v>
      </c>
      <c r="R677" t="s">
        <v>74</v>
      </c>
      <c r="S677" t="s">
        <v>74</v>
      </c>
      <c r="T677" t="s">
        <v>74</v>
      </c>
      <c r="U677" t="s">
        <v>13151</v>
      </c>
      <c r="V677" t="s">
        <v>13152</v>
      </c>
      <c r="W677" t="s">
        <v>13153</v>
      </c>
      <c r="X677" t="s">
        <v>13154</v>
      </c>
      <c r="Y677" t="s">
        <v>13155</v>
      </c>
      <c r="Z677" t="s">
        <v>13156</v>
      </c>
      <c r="AA677" t="s">
        <v>13157</v>
      </c>
      <c r="AB677" t="s">
        <v>13158</v>
      </c>
      <c r="AC677" t="s">
        <v>13159</v>
      </c>
      <c r="AD677" t="s">
        <v>13160</v>
      </c>
      <c r="AE677" t="s">
        <v>13161</v>
      </c>
      <c r="AF677" t="s">
        <v>74</v>
      </c>
      <c r="AG677">
        <v>32</v>
      </c>
      <c r="AH677">
        <v>30</v>
      </c>
      <c r="AI677">
        <v>31</v>
      </c>
      <c r="AJ677">
        <v>4</v>
      </c>
      <c r="AK677">
        <v>9</v>
      </c>
      <c r="AL677" t="s">
        <v>6164</v>
      </c>
      <c r="AM677" t="s">
        <v>3008</v>
      </c>
      <c r="AN677" t="s">
        <v>6165</v>
      </c>
      <c r="AO677" t="s">
        <v>7915</v>
      </c>
      <c r="AP677" t="s">
        <v>74</v>
      </c>
      <c r="AQ677" t="s">
        <v>74</v>
      </c>
      <c r="AR677" t="s">
        <v>7916</v>
      </c>
      <c r="AS677" t="s">
        <v>7917</v>
      </c>
      <c r="AT677" t="s">
        <v>13110</v>
      </c>
      <c r="AU677">
        <v>2018</v>
      </c>
      <c r="AV677">
        <v>9</v>
      </c>
      <c r="AW677" t="s">
        <v>74</v>
      </c>
      <c r="AX677" t="s">
        <v>74</v>
      </c>
      <c r="AY677" t="s">
        <v>74</v>
      </c>
      <c r="AZ677" t="s">
        <v>74</v>
      </c>
      <c r="BA677" t="s">
        <v>74</v>
      </c>
      <c r="BB677" t="s">
        <v>74</v>
      </c>
      <c r="BC677" t="s">
        <v>74</v>
      </c>
      <c r="BD677">
        <v>5062</v>
      </c>
      <c r="BE677" t="s">
        <v>13162</v>
      </c>
      <c r="BF677" t="str">
        <f>HYPERLINK("http://dx.doi.org/10.1038/s41467-018-07549-4","http://dx.doi.org/10.1038/s41467-018-07549-4")</f>
        <v>http://dx.doi.org/10.1038/s41467-018-07549-4</v>
      </c>
      <c r="BG677" t="s">
        <v>74</v>
      </c>
      <c r="BH677" t="s">
        <v>74</v>
      </c>
      <c r="BI677">
        <v>7</v>
      </c>
      <c r="BJ677" t="s">
        <v>855</v>
      </c>
      <c r="BK677" t="s">
        <v>101</v>
      </c>
      <c r="BL677" t="s">
        <v>856</v>
      </c>
      <c r="BM677" t="s">
        <v>13163</v>
      </c>
      <c r="BN677">
        <v>30498204</v>
      </c>
      <c r="BO677" t="s">
        <v>7920</v>
      </c>
      <c r="BP677" t="s">
        <v>74</v>
      </c>
      <c r="BQ677" t="s">
        <v>74</v>
      </c>
      <c r="BR677" t="s">
        <v>104</v>
      </c>
      <c r="BS677" t="s">
        <v>13164</v>
      </c>
      <c r="BT677" t="str">
        <f>HYPERLINK("https%3A%2F%2Fwww.webofscience.com%2Fwos%2Fwoscc%2Ffull-record%2FWOS:000451621700010","View Full Record in Web of Science")</f>
        <v>View Full Record in Web of Science</v>
      </c>
    </row>
    <row r="678" spans="1:72" x14ac:dyDescent="0.15">
      <c r="A678" t="s">
        <v>72</v>
      </c>
      <c r="B678" t="s">
        <v>13165</v>
      </c>
      <c r="C678" t="s">
        <v>74</v>
      </c>
      <c r="D678" t="s">
        <v>74</v>
      </c>
      <c r="E678" t="s">
        <v>74</v>
      </c>
      <c r="F678" t="s">
        <v>13166</v>
      </c>
      <c r="G678" t="s">
        <v>74</v>
      </c>
      <c r="H678" t="s">
        <v>74</v>
      </c>
      <c r="I678" t="s">
        <v>13167</v>
      </c>
      <c r="J678" t="s">
        <v>7735</v>
      </c>
      <c r="K678" t="s">
        <v>74</v>
      </c>
      <c r="L678" t="s">
        <v>74</v>
      </c>
      <c r="M678" t="s">
        <v>78</v>
      </c>
      <c r="N678" t="s">
        <v>79</v>
      </c>
      <c r="O678" t="s">
        <v>74</v>
      </c>
      <c r="P678" t="s">
        <v>74</v>
      </c>
      <c r="Q678" t="s">
        <v>74</v>
      </c>
      <c r="R678" t="s">
        <v>74</v>
      </c>
      <c r="S678" t="s">
        <v>74</v>
      </c>
      <c r="T678" t="s">
        <v>13168</v>
      </c>
      <c r="U678" t="s">
        <v>13169</v>
      </c>
      <c r="V678" t="s">
        <v>13170</v>
      </c>
      <c r="W678" t="s">
        <v>13171</v>
      </c>
      <c r="X678" t="s">
        <v>13172</v>
      </c>
      <c r="Y678" t="s">
        <v>13173</v>
      </c>
      <c r="Z678" t="s">
        <v>13174</v>
      </c>
      <c r="AA678" t="s">
        <v>13175</v>
      </c>
      <c r="AB678" t="s">
        <v>13176</v>
      </c>
      <c r="AC678" t="s">
        <v>13177</v>
      </c>
      <c r="AD678" t="s">
        <v>13177</v>
      </c>
      <c r="AE678" t="s">
        <v>13178</v>
      </c>
      <c r="AF678" t="s">
        <v>74</v>
      </c>
      <c r="AG678">
        <v>40</v>
      </c>
      <c r="AH678">
        <v>7</v>
      </c>
      <c r="AI678">
        <v>7</v>
      </c>
      <c r="AJ678">
        <v>0</v>
      </c>
      <c r="AK678">
        <v>20</v>
      </c>
      <c r="AL678" t="s">
        <v>4034</v>
      </c>
      <c r="AM678" t="s">
        <v>4035</v>
      </c>
      <c r="AN678" t="s">
        <v>4036</v>
      </c>
      <c r="AO678" t="s">
        <v>7748</v>
      </c>
      <c r="AP678" t="s">
        <v>7749</v>
      </c>
      <c r="AQ678" t="s">
        <v>74</v>
      </c>
      <c r="AR678" t="s">
        <v>7750</v>
      </c>
      <c r="AS678" t="s">
        <v>7751</v>
      </c>
      <c r="AT678" t="s">
        <v>13179</v>
      </c>
      <c r="AU678">
        <v>2018</v>
      </c>
      <c r="AV678">
        <v>45</v>
      </c>
      <c r="AW678">
        <v>22</v>
      </c>
      <c r="AX678" t="s">
        <v>74</v>
      </c>
      <c r="AY678" t="s">
        <v>74</v>
      </c>
      <c r="AZ678" t="s">
        <v>74</v>
      </c>
      <c r="BA678" t="s">
        <v>74</v>
      </c>
      <c r="BB678">
        <v>12340</v>
      </c>
      <c r="BC678">
        <v>12349</v>
      </c>
      <c r="BD678" t="s">
        <v>74</v>
      </c>
      <c r="BE678" t="s">
        <v>13180</v>
      </c>
      <c r="BF678" t="str">
        <f>HYPERLINK("http://dx.doi.org/10.1029/2018GL079670","http://dx.doi.org/10.1029/2018GL079670")</f>
        <v>http://dx.doi.org/10.1029/2018GL079670</v>
      </c>
      <c r="BG678" t="s">
        <v>74</v>
      </c>
      <c r="BH678" t="s">
        <v>74</v>
      </c>
      <c r="BI678">
        <v>10</v>
      </c>
      <c r="BJ678" t="s">
        <v>884</v>
      </c>
      <c r="BK678" t="s">
        <v>101</v>
      </c>
      <c r="BL678" t="s">
        <v>528</v>
      </c>
      <c r="BM678" t="s">
        <v>13181</v>
      </c>
      <c r="BN678" t="s">
        <v>74</v>
      </c>
      <c r="BO678" t="s">
        <v>162</v>
      </c>
      <c r="BP678" t="s">
        <v>74</v>
      </c>
      <c r="BQ678" t="s">
        <v>74</v>
      </c>
      <c r="BR678" t="s">
        <v>104</v>
      </c>
      <c r="BS678" t="s">
        <v>13182</v>
      </c>
      <c r="BT678" t="str">
        <f>HYPERLINK("https%3A%2F%2Fwww.webofscience.com%2Fwos%2Fwoscc%2Ffull-record%2FWOS:000453250000027","View Full Record in Web of Science")</f>
        <v>View Full Record in Web of Science</v>
      </c>
    </row>
    <row r="679" spans="1:72" x14ac:dyDescent="0.15">
      <c r="A679" t="s">
        <v>72</v>
      </c>
      <c r="B679" t="s">
        <v>13183</v>
      </c>
      <c r="C679" t="s">
        <v>74</v>
      </c>
      <c r="D679" t="s">
        <v>74</v>
      </c>
      <c r="E679" t="s">
        <v>74</v>
      </c>
      <c r="F679" t="s">
        <v>13184</v>
      </c>
      <c r="G679" t="s">
        <v>74</v>
      </c>
      <c r="H679" t="s">
        <v>74</v>
      </c>
      <c r="I679" t="s">
        <v>13185</v>
      </c>
      <c r="J679" t="s">
        <v>7735</v>
      </c>
      <c r="K679" t="s">
        <v>74</v>
      </c>
      <c r="L679" t="s">
        <v>74</v>
      </c>
      <c r="M679" t="s">
        <v>78</v>
      </c>
      <c r="N679" t="s">
        <v>79</v>
      </c>
      <c r="O679" t="s">
        <v>74</v>
      </c>
      <c r="P679" t="s">
        <v>74</v>
      </c>
      <c r="Q679" t="s">
        <v>74</v>
      </c>
      <c r="R679" t="s">
        <v>74</v>
      </c>
      <c r="S679" t="s">
        <v>74</v>
      </c>
      <c r="T679" t="s">
        <v>13186</v>
      </c>
      <c r="U679" t="s">
        <v>13187</v>
      </c>
      <c r="V679" t="s">
        <v>13188</v>
      </c>
      <c r="W679" t="s">
        <v>13189</v>
      </c>
      <c r="X679" t="s">
        <v>13190</v>
      </c>
      <c r="Y679" t="s">
        <v>13191</v>
      </c>
      <c r="Z679" t="s">
        <v>13192</v>
      </c>
      <c r="AA679" t="s">
        <v>74</v>
      </c>
      <c r="AB679" t="s">
        <v>13193</v>
      </c>
      <c r="AC679" t="s">
        <v>13194</v>
      </c>
      <c r="AD679" t="s">
        <v>13195</v>
      </c>
      <c r="AE679" t="s">
        <v>13196</v>
      </c>
      <c r="AF679" t="s">
        <v>74</v>
      </c>
      <c r="AG679">
        <v>68</v>
      </c>
      <c r="AH679">
        <v>21</v>
      </c>
      <c r="AI679">
        <v>23</v>
      </c>
      <c r="AJ679">
        <v>1</v>
      </c>
      <c r="AK679">
        <v>23</v>
      </c>
      <c r="AL679" t="s">
        <v>4034</v>
      </c>
      <c r="AM679" t="s">
        <v>4035</v>
      </c>
      <c r="AN679" t="s">
        <v>4036</v>
      </c>
      <c r="AO679" t="s">
        <v>7748</v>
      </c>
      <c r="AP679" t="s">
        <v>7749</v>
      </c>
      <c r="AQ679" t="s">
        <v>74</v>
      </c>
      <c r="AR679" t="s">
        <v>7750</v>
      </c>
      <c r="AS679" t="s">
        <v>7751</v>
      </c>
      <c r="AT679" t="s">
        <v>13179</v>
      </c>
      <c r="AU679">
        <v>2018</v>
      </c>
      <c r="AV679">
        <v>45</v>
      </c>
      <c r="AW679">
        <v>22</v>
      </c>
      <c r="AX679" t="s">
        <v>74</v>
      </c>
      <c r="AY679" t="s">
        <v>74</v>
      </c>
      <c r="AZ679" t="s">
        <v>74</v>
      </c>
      <c r="BA679" t="s">
        <v>74</v>
      </c>
      <c r="BB679">
        <v>12422</v>
      </c>
      <c r="BC679">
        <v>12431</v>
      </c>
      <c r="BD679" t="s">
        <v>74</v>
      </c>
      <c r="BE679" t="s">
        <v>13197</v>
      </c>
      <c r="BF679" t="str">
        <f>HYPERLINK("http://dx.doi.org/10.1029/2018GL080350","http://dx.doi.org/10.1029/2018GL080350")</f>
        <v>http://dx.doi.org/10.1029/2018GL080350</v>
      </c>
      <c r="BG679" t="s">
        <v>74</v>
      </c>
      <c r="BH679" t="s">
        <v>74</v>
      </c>
      <c r="BI679">
        <v>10</v>
      </c>
      <c r="BJ679" t="s">
        <v>884</v>
      </c>
      <c r="BK679" t="s">
        <v>101</v>
      </c>
      <c r="BL679" t="s">
        <v>528</v>
      </c>
      <c r="BM679" t="s">
        <v>13181</v>
      </c>
      <c r="BN679" t="s">
        <v>74</v>
      </c>
      <c r="BO679" t="s">
        <v>4688</v>
      </c>
      <c r="BP679" t="s">
        <v>74</v>
      </c>
      <c r="BQ679" t="s">
        <v>74</v>
      </c>
      <c r="BR679" t="s">
        <v>104</v>
      </c>
      <c r="BS679" t="s">
        <v>13198</v>
      </c>
      <c r="BT679" t="str">
        <f>HYPERLINK("https%3A%2F%2Fwww.webofscience.com%2Fwos%2Fwoscc%2Ffull-record%2FWOS:000453250000036","View Full Record in Web of Science")</f>
        <v>View Full Record in Web of Science</v>
      </c>
    </row>
    <row r="680" spans="1:72" x14ac:dyDescent="0.15">
      <c r="A680" t="s">
        <v>72</v>
      </c>
      <c r="B680" t="s">
        <v>13199</v>
      </c>
      <c r="C680" t="s">
        <v>74</v>
      </c>
      <c r="D680" t="s">
        <v>74</v>
      </c>
      <c r="E680" t="s">
        <v>74</v>
      </c>
      <c r="F680" t="s">
        <v>13200</v>
      </c>
      <c r="G680" t="s">
        <v>74</v>
      </c>
      <c r="H680" t="s">
        <v>13201</v>
      </c>
      <c r="I680" t="s">
        <v>13202</v>
      </c>
      <c r="J680" t="s">
        <v>13203</v>
      </c>
      <c r="K680" t="s">
        <v>74</v>
      </c>
      <c r="L680" t="s">
        <v>74</v>
      </c>
      <c r="M680" t="s">
        <v>78</v>
      </c>
      <c r="N680" t="s">
        <v>79</v>
      </c>
      <c r="O680" t="s">
        <v>74</v>
      </c>
      <c r="P680" t="s">
        <v>74</v>
      </c>
      <c r="Q680" t="s">
        <v>74</v>
      </c>
      <c r="R680" t="s">
        <v>74</v>
      </c>
      <c r="S680" t="s">
        <v>74</v>
      </c>
      <c r="T680" t="s">
        <v>74</v>
      </c>
      <c r="U680" t="s">
        <v>13204</v>
      </c>
      <c r="V680" t="s">
        <v>13205</v>
      </c>
      <c r="W680" t="s">
        <v>13206</v>
      </c>
      <c r="X680" t="s">
        <v>13207</v>
      </c>
      <c r="Y680" t="s">
        <v>13208</v>
      </c>
      <c r="Z680" t="s">
        <v>13209</v>
      </c>
      <c r="AA680" t="s">
        <v>13210</v>
      </c>
      <c r="AB680" t="s">
        <v>13211</v>
      </c>
      <c r="AC680" t="s">
        <v>13212</v>
      </c>
      <c r="AD680" t="s">
        <v>13213</v>
      </c>
      <c r="AE680" t="s">
        <v>13214</v>
      </c>
      <c r="AF680" t="s">
        <v>74</v>
      </c>
      <c r="AG680">
        <v>45</v>
      </c>
      <c r="AH680">
        <v>325</v>
      </c>
      <c r="AI680">
        <v>364</v>
      </c>
      <c r="AJ680">
        <v>0</v>
      </c>
      <c r="AK680">
        <v>10</v>
      </c>
      <c r="AL680" t="s">
        <v>13215</v>
      </c>
      <c r="AM680" t="s">
        <v>13216</v>
      </c>
      <c r="AN680" t="s">
        <v>13217</v>
      </c>
      <c r="AO680" t="s">
        <v>13218</v>
      </c>
      <c r="AP680" t="s">
        <v>13219</v>
      </c>
      <c r="AQ680" t="s">
        <v>74</v>
      </c>
      <c r="AR680" t="s">
        <v>13220</v>
      </c>
      <c r="AS680" t="s">
        <v>13221</v>
      </c>
      <c r="AT680" t="s">
        <v>13222</v>
      </c>
      <c r="AU680">
        <v>2018</v>
      </c>
      <c r="AV680">
        <v>121</v>
      </c>
      <c r="AW680">
        <v>22</v>
      </c>
      <c r="AX680" t="s">
        <v>74</v>
      </c>
      <c r="AY680" t="s">
        <v>74</v>
      </c>
      <c r="AZ680" t="s">
        <v>74</v>
      </c>
      <c r="BA680" t="s">
        <v>74</v>
      </c>
      <c r="BB680" t="s">
        <v>74</v>
      </c>
      <c r="BC680" t="s">
        <v>74</v>
      </c>
      <c r="BD680">
        <v>221301</v>
      </c>
      <c r="BE680" t="s">
        <v>13223</v>
      </c>
      <c r="BF680" t="str">
        <f>HYPERLINK("http://dx.doi.org/10.1103/PhysRevLett.121.221301","http://dx.doi.org/10.1103/PhysRevLett.121.221301")</f>
        <v>http://dx.doi.org/10.1103/PhysRevLett.121.221301</v>
      </c>
      <c r="BG680" t="s">
        <v>74</v>
      </c>
      <c r="BH680" t="s">
        <v>74</v>
      </c>
      <c r="BI680">
        <v>9</v>
      </c>
      <c r="BJ680" t="s">
        <v>2448</v>
      </c>
      <c r="BK680" t="s">
        <v>101</v>
      </c>
      <c r="BL680" t="s">
        <v>2449</v>
      </c>
      <c r="BM680" t="s">
        <v>13224</v>
      </c>
      <c r="BN680">
        <v>30547645</v>
      </c>
      <c r="BO680" t="s">
        <v>13225</v>
      </c>
      <c r="BP680" t="s">
        <v>4786</v>
      </c>
      <c r="BQ680" t="s">
        <v>4787</v>
      </c>
      <c r="BR680" t="s">
        <v>104</v>
      </c>
      <c r="BS680" t="s">
        <v>13226</v>
      </c>
      <c r="BT680" t="str">
        <f>HYPERLINK("https%3A%2F%2Fwww.webofscience.com%2Fwos%2Fwoscc%2Ffull-record%2FWOS:000451580700006","View Full Record in Web of Science")</f>
        <v>View Full Record in Web of Science</v>
      </c>
    </row>
    <row r="681" spans="1:72" x14ac:dyDescent="0.15">
      <c r="A681" t="s">
        <v>72</v>
      </c>
      <c r="B681" t="s">
        <v>13227</v>
      </c>
      <c r="C681" t="s">
        <v>74</v>
      </c>
      <c r="D681" t="s">
        <v>74</v>
      </c>
      <c r="E681" t="s">
        <v>74</v>
      </c>
      <c r="F681" t="s">
        <v>13228</v>
      </c>
      <c r="G681" t="s">
        <v>74</v>
      </c>
      <c r="H681" t="s">
        <v>74</v>
      </c>
      <c r="I681" t="s">
        <v>13229</v>
      </c>
      <c r="J681" t="s">
        <v>13203</v>
      </c>
      <c r="K681" t="s">
        <v>74</v>
      </c>
      <c r="L681" t="s">
        <v>74</v>
      </c>
      <c r="M681" t="s">
        <v>78</v>
      </c>
      <c r="N681" t="s">
        <v>79</v>
      </c>
      <c r="O681" t="s">
        <v>74</v>
      </c>
      <c r="P681" t="s">
        <v>74</v>
      </c>
      <c r="Q681" t="s">
        <v>74</v>
      </c>
      <c r="R681" t="s">
        <v>74</v>
      </c>
      <c r="S681" t="s">
        <v>74</v>
      </c>
      <c r="T681" t="s">
        <v>74</v>
      </c>
      <c r="U681" t="s">
        <v>13230</v>
      </c>
      <c r="V681" t="s">
        <v>13231</v>
      </c>
      <c r="W681" t="s">
        <v>13232</v>
      </c>
      <c r="X681" t="s">
        <v>13233</v>
      </c>
      <c r="Y681" t="s">
        <v>13234</v>
      </c>
      <c r="Z681" t="s">
        <v>13235</v>
      </c>
      <c r="AA681" t="s">
        <v>13236</v>
      </c>
      <c r="AB681" t="s">
        <v>13237</v>
      </c>
      <c r="AC681" t="s">
        <v>13238</v>
      </c>
      <c r="AD681" t="s">
        <v>13239</v>
      </c>
      <c r="AE681" t="s">
        <v>13240</v>
      </c>
      <c r="AF681" t="s">
        <v>74</v>
      </c>
      <c r="AG681">
        <v>50</v>
      </c>
      <c r="AH681">
        <v>23</v>
      </c>
      <c r="AI681">
        <v>23</v>
      </c>
      <c r="AJ681">
        <v>1</v>
      </c>
      <c r="AK681">
        <v>11</v>
      </c>
      <c r="AL681" t="s">
        <v>13215</v>
      </c>
      <c r="AM681" t="s">
        <v>13216</v>
      </c>
      <c r="AN681" t="s">
        <v>13217</v>
      </c>
      <c r="AO681" t="s">
        <v>13218</v>
      </c>
      <c r="AP681" t="s">
        <v>13219</v>
      </c>
      <c r="AQ681" t="s">
        <v>74</v>
      </c>
      <c r="AR681" t="s">
        <v>13220</v>
      </c>
      <c r="AS681" t="s">
        <v>13221</v>
      </c>
      <c r="AT681" t="s">
        <v>13222</v>
      </c>
      <c r="AU681">
        <v>2018</v>
      </c>
      <c r="AV681">
        <v>121</v>
      </c>
      <c r="AW681">
        <v>22</v>
      </c>
      <c r="AX681" t="s">
        <v>74</v>
      </c>
      <c r="AY681" t="s">
        <v>74</v>
      </c>
      <c r="AZ681" t="s">
        <v>74</v>
      </c>
      <c r="BA681" t="s">
        <v>74</v>
      </c>
      <c r="BB681" t="s">
        <v>74</v>
      </c>
      <c r="BC681" t="s">
        <v>74</v>
      </c>
      <c r="BD681">
        <v>221103</v>
      </c>
      <c r="BE681" t="s">
        <v>13241</v>
      </c>
      <c r="BF681" t="str">
        <f>HYPERLINK("http://dx.doi.org/10.1103/PhysRevLett.121.221103","http://dx.doi.org/10.1103/PhysRevLett.121.221103")</f>
        <v>http://dx.doi.org/10.1103/PhysRevLett.121.221103</v>
      </c>
      <c r="BG681" t="s">
        <v>74</v>
      </c>
      <c r="BH681" t="s">
        <v>74</v>
      </c>
      <c r="BI681">
        <v>6</v>
      </c>
      <c r="BJ681" t="s">
        <v>2448</v>
      </c>
      <c r="BK681" t="s">
        <v>101</v>
      </c>
      <c r="BL681" t="s">
        <v>2449</v>
      </c>
      <c r="BM681" t="s">
        <v>13224</v>
      </c>
      <c r="BN681">
        <v>30547642</v>
      </c>
      <c r="BO681" t="s">
        <v>3893</v>
      </c>
      <c r="BP681" t="s">
        <v>74</v>
      </c>
      <c r="BQ681" t="s">
        <v>74</v>
      </c>
      <c r="BR681" t="s">
        <v>104</v>
      </c>
      <c r="BS681" t="s">
        <v>13242</v>
      </c>
      <c r="BT681" t="str">
        <f>HYPERLINK("https%3A%2F%2Fwww.webofscience.com%2Fwos%2Fwoscc%2Ffull-record%2FWOS:000451580700005","View Full Record in Web of Science")</f>
        <v>View Full Record in Web of Science</v>
      </c>
    </row>
    <row r="682" spans="1:72" x14ac:dyDescent="0.15">
      <c r="A682" t="s">
        <v>72</v>
      </c>
      <c r="B682" t="s">
        <v>13243</v>
      </c>
      <c r="C682" t="s">
        <v>74</v>
      </c>
      <c r="D682" t="s">
        <v>74</v>
      </c>
      <c r="E682" t="s">
        <v>74</v>
      </c>
      <c r="F682" t="s">
        <v>13244</v>
      </c>
      <c r="G682" t="s">
        <v>74</v>
      </c>
      <c r="H682" t="s">
        <v>74</v>
      </c>
      <c r="I682" t="s">
        <v>13245</v>
      </c>
      <c r="J682" t="s">
        <v>8182</v>
      </c>
      <c r="K682" t="s">
        <v>74</v>
      </c>
      <c r="L682" t="s">
        <v>74</v>
      </c>
      <c r="M682" t="s">
        <v>78</v>
      </c>
      <c r="N682" t="s">
        <v>79</v>
      </c>
      <c r="O682" t="s">
        <v>74</v>
      </c>
      <c r="P682" t="s">
        <v>74</v>
      </c>
      <c r="Q682" t="s">
        <v>74</v>
      </c>
      <c r="R682" t="s">
        <v>74</v>
      </c>
      <c r="S682" t="s">
        <v>74</v>
      </c>
      <c r="T682" t="s">
        <v>74</v>
      </c>
      <c r="U682" t="s">
        <v>13246</v>
      </c>
      <c r="V682" t="s">
        <v>13247</v>
      </c>
      <c r="W682" t="s">
        <v>13248</v>
      </c>
      <c r="X682" t="s">
        <v>13249</v>
      </c>
      <c r="Y682" t="s">
        <v>13250</v>
      </c>
      <c r="Z682" t="s">
        <v>13251</v>
      </c>
      <c r="AA682" t="s">
        <v>13252</v>
      </c>
      <c r="AB682" t="s">
        <v>13253</v>
      </c>
      <c r="AC682" t="s">
        <v>13254</v>
      </c>
      <c r="AD682" t="s">
        <v>8513</v>
      </c>
      <c r="AE682" t="s">
        <v>13255</v>
      </c>
      <c r="AF682" t="s">
        <v>74</v>
      </c>
      <c r="AG682">
        <v>108</v>
      </c>
      <c r="AH682">
        <v>17</v>
      </c>
      <c r="AI682">
        <v>19</v>
      </c>
      <c r="AJ682">
        <v>1</v>
      </c>
      <c r="AK682">
        <v>17</v>
      </c>
      <c r="AL682" t="s">
        <v>7866</v>
      </c>
      <c r="AM682" t="s">
        <v>7867</v>
      </c>
      <c r="AN682" t="s">
        <v>7868</v>
      </c>
      <c r="AO682" t="s">
        <v>8194</v>
      </c>
      <c r="AP682" t="s">
        <v>8195</v>
      </c>
      <c r="AQ682" t="s">
        <v>74</v>
      </c>
      <c r="AR682" t="s">
        <v>8196</v>
      </c>
      <c r="AS682" t="s">
        <v>8197</v>
      </c>
      <c r="AT682" t="s">
        <v>13256</v>
      </c>
      <c r="AU682">
        <v>2018</v>
      </c>
      <c r="AV682">
        <v>18</v>
      </c>
      <c r="AW682">
        <v>22</v>
      </c>
      <c r="AX682" t="s">
        <v>74</v>
      </c>
      <c r="AY682" t="s">
        <v>74</v>
      </c>
      <c r="AZ682" t="s">
        <v>74</v>
      </c>
      <c r="BA682" t="s">
        <v>74</v>
      </c>
      <c r="BB682">
        <v>16689</v>
      </c>
      <c r="BC682">
        <v>16711</v>
      </c>
      <c r="BD682" t="s">
        <v>74</v>
      </c>
      <c r="BE682" t="s">
        <v>13257</v>
      </c>
      <c r="BF682" t="str">
        <f>HYPERLINK("http://dx.doi.org/10.5194/acp-18-16689-2018","http://dx.doi.org/10.5194/acp-18-16689-2018")</f>
        <v>http://dx.doi.org/10.5194/acp-18-16689-2018</v>
      </c>
      <c r="BG682" t="s">
        <v>74</v>
      </c>
      <c r="BH682" t="s">
        <v>74</v>
      </c>
      <c r="BI682">
        <v>23</v>
      </c>
      <c r="BJ682" t="s">
        <v>2635</v>
      </c>
      <c r="BK682" t="s">
        <v>101</v>
      </c>
      <c r="BL682" t="s">
        <v>2636</v>
      </c>
      <c r="BM682" t="s">
        <v>13258</v>
      </c>
      <c r="BN682" t="s">
        <v>74</v>
      </c>
      <c r="BO682" t="s">
        <v>1556</v>
      </c>
      <c r="BP682" t="s">
        <v>74</v>
      </c>
      <c r="BQ682" t="s">
        <v>74</v>
      </c>
      <c r="BR682" t="s">
        <v>104</v>
      </c>
      <c r="BS682" t="s">
        <v>13259</v>
      </c>
      <c r="BT682" t="str">
        <f>HYPERLINK("https%3A%2F%2Fwww.webofscience.com%2Fwos%2Fwoscc%2Ffull-record%2FWOS:000451218800003","View Full Record in Web of Science")</f>
        <v>View Full Record in Web of Science</v>
      </c>
    </row>
    <row r="683" spans="1:72" x14ac:dyDescent="0.15">
      <c r="A683" t="s">
        <v>72</v>
      </c>
      <c r="B683" t="s">
        <v>13260</v>
      </c>
      <c r="C683" t="s">
        <v>74</v>
      </c>
      <c r="D683" t="s">
        <v>74</v>
      </c>
      <c r="E683" t="s">
        <v>74</v>
      </c>
      <c r="F683" t="s">
        <v>13261</v>
      </c>
      <c r="G683" t="s">
        <v>74</v>
      </c>
      <c r="H683" t="s">
        <v>74</v>
      </c>
      <c r="I683" t="s">
        <v>13262</v>
      </c>
      <c r="J683" t="s">
        <v>13263</v>
      </c>
      <c r="K683" t="s">
        <v>74</v>
      </c>
      <c r="L683" t="s">
        <v>74</v>
      </c>
      <c r="M683" t="s">
        <v>78</v>
      </c>
      <c r="N683" t="s">
        <v>79</v>
      </c>
      <c r="O683" t="s">
        <v>74</v>
      </c>
      <c r="P683" t="s">
        <v>74</v>
      </c>
      <c r="Q683" t="s">
        <v>74</v>
      </c>
      <c r="R683" t="s">
        <v>74</v>
      </c>
      <c r="S683" t="s">
        <v>74</v>
      </c>
      <c r="T683" t="s">
        <v>13264</v>
      </c>
      <c r="U683" t="s">
        <v>13265</v>
      </c>
      <c r="V683" t="s">
        <v>13266</v>
      </c>
      <c r="W683" t="s">
        <v>13267</v>
      </c>
      <c r="X683" t="s">
        <v>13268</v>
      </c>
      <c r="Y683" t="s">
        <v>13269</v>
      </c>
      <c r="Z683" t="s">
        <v>13270</v>
      </c>
      <c r="AA683" t="s">
        <v>13271</v>
      </c>
      <c r="AB683" t="s">
        <v>13272</v>
      </c>
      <c r="AC683" t="s">
        <v>13273</v>
      </c>
      <c r="AD683" t="s">
        <v>13274</v>
      </c>
      <c r="AE683" t="s">
        <v>13275</v>
      </c>
      <c r="AF683" t="s">
        <v>74</v>
      </c>
      <c r="AG683">
        <v>91</v>
      </c>
      <c r="AH683">
        <v>19</v>
      </c>
      <c r="AI683">
        <v>23</v>
      </c>
      <c r="AJ683">
        <v>2</v>
      </c>
      <c r="AK683">
        <v>18</v>
      </c>
      <c r="AL683" t="s">
        <v>7949</v>
      </c>
      <c r="AM683" t="s">
        <v>7950</v>
      </c>
      <c r="AN683" t="s">
        <v>7951</v>
      </c>
      <c r="AO683" t="s">
        <v>74</v>
      </c>
      <c r="AP683" t="s">
        <v>13276</v>
      </c>
      <c r="AQ683" t="s">
        <v>74</v>
      </c>
      <c r="AR683" t="s">
        <v>13277</v>
      </c>
      <c r="AS683" t="s">
        <v>13278</v>
      </c>
      <c r="AT683" t="s">
        <v>13256</v>
      </c>
      <c r="AU683">
        <v>2018</v>
      </c>
      <c r="AV683">
        <v>6</v>
      </c>
      <c r="AW683" t="s">
        <v>74</v>
      </c>
      <c r="AX683" t="s">
        <v>74</v>
      </c>
      <c r="AY683" t="s">
        <v>74</v>
      </c>
      <c r="AZ683" t="s">
        <v>74</v>
      </c>
      <c r="BA683" t="s">
        <v>74</v>
      </c>
      <c r="BB683" t="s">
        <v>74</v>
      </c>
      <c r="BC683" t="s">
        <v>74</v>
      </c>
      <c r="BD683">
        <v>145</v>
      </c>
      <c r="BE683" t="s">
        <v>13279</v>
      </c>
      <c r="BF683" t="str">
        <f>HYPERLINK("http://dx.doi.org/10.3389/fenvs.2018.00145","http://dx.doi.org/10.3389/fenvs.2018.00145")</f>
        <v>http://dx.doi.org/10.3389/fenvs.2018.00145</v>
      </c>
      <c r="BG683" t="s">
        <v>74</v>
      </c>
      <c r="BH683" t="s">
        <v>74</v>
      </c>
      <c r="BI683">
        <v>14</v>
      </c>
      <c r="BJ683" t="s">
        <v>798</v>
      </c>
      <c r="BK683" t="s">
        <v>101</v>
      </c>
      <c r="BL683" t="s">
        <v>799</v>
      </c>
      <c r="BM683" t="s">
        <v>13280</v>
      </c>
      <c r="BN683" t="s">
        <v>74</v>
      </c>
      <c r="BO683" t="s">
        <v>131</v>
      </c>
      <c r="BP683" t="s">
        <v>74</v>
      </c>
      <c r="BQ683" t="s">
        <v>74</v>
      </c>
      <c r="BR683" t="s">
        <v>104</v>
      </c>
      <c r="BS683" t="s">
        <v>13281</v>
      </c>
      <c r="BT683" t="str">
        <f>HYPERLINK("https%3A%2F%2Fwww.webofscience.com%2Fwos%2Fwoscc%2Ffull-record%2FWOS:000452226800001","View Full Record in Web of Science")</f>
        <v>View Full Record in Web of Science</v>
      </c>
    </row>
    <row r="684" spans="1:72" x14ac:dyDescent="0.15">
      <c r="A684" t="s">
        <v>72</v>
      </c>
      <c r="B684" t="s">
        <v>13282</v>
      </c>
      <c r="C684" t="s">
        <v>74</v>
      </c>
      <c r="D684" t="s">
        <v>74</v>
      </c>
      <c r="E684" t="s">
        <v>74</v>
      </c>
      <c r="F684" t="s">
        <v>13283</v>
      </c>
      <c r="G684" t="s">
        <v>74</v>
      </c>
      <c r="H684" t="s">
        <v>74</v>
      </c>
      <c r="I684" t="s">
        <v>13284</v>
      </c>
      <c r="J684" t="s">
        <v>8160</v>
      </c>
      <c r="K684" t="s">
        <v>74</v>
      </c>
      <c r="L684" t="s">
        <v>74</v>
      </c>
      <c r="M684" t="s">
        <v>78</v>
      </c>
      <c r="N684" t="s">
        <v>79</v>
      </c>
      <c r="O684" t="s">
        <v>74</v>
      </c>
      <c r="P684" t="s">
        <v>74</v>
      </c>
      <c r="Q684" t="s">
        <v>74</v>
      </c>
      <c r="R684" t="s">
        <v>74</v>
      </c>
      <c r="S684" t="s">
        <v>74</v>
      </c>
      <c r="T684" t="s">
        <v>13285</v>
      </c>
      <c r="U684" t="s">
        <v>13286</v>
      </c>
      <c r="V684" t="s">
        <v>13287</v>
      </c>
      <c r="W684" t="s">
        <v>13288</v>
      </c>
      <c r="X684" t="s">
        <v>13289</v>
      </c>
      <c r="Y684" t="s">
        <v>13290</v>
      </c>
      <c r="Z684" t="s">
        <v>13291</v>
      </c>
      <c r="AA684" t="s">
        <v>13292</v>
      </c>
      <c r="AB684" t="s">
        <v>13293</v>
      </c>
      <c r="AC684" t="s">
        <v>13294</v>
      </c>
      <c r="AD684" t="s">
        <v>13295</v>
      </c>
      <c r="AE684" t="s">
        <v>13296</v>
      </c>
      <c r="AF684" t="s">
        <v>74</v>
      </c>
      <c r="AG684">
        <v>91</v>
      </c>
      <c r="AH684">
        <v>9</v>
      </c>
      <c r="AI684">
        <v>10</v>
      </c>
      <c r="AJ684">
        <v>0</v>
      </c>
      <c r="AK684">
        <v>7</v>
      </c>
      <c r="AL684" t="s">
        <v>210</v>
      </c>
      <c r="AM684" t="s">
        <v>211</v>
      </c>
      <c r="AN684" t="s">
        <v>212</v>
      </c>
      <c r="AO684" t="s">
        <v>8169</v>
      </c>
      <c r="AP684" t="s">
        <v>8170</v>
      </c>
      <c r="AQ684" t="s">
        <v>74</v>
      </c>
      <c r="AR684" t="s">
        <v>8171</v>
      </c>
      <c r="AS684" t="s">
        <v>8172</v>
      </c>
      <c r="AT684" t="s">
        <v>13256</v>
      </c>
      <c r="AU684">
        <v>2018</v>
      </c>
      <c r="AV684">
        <v>37</v>
      </c>
      <c r="AW684">
        <v>1</v>
      </c>
      <c r="AX684" t="s">
        <v>74</v>
      </c>
      <c r="AY684" t="s">
        <v>74</v>
      </c>
      <c r="AZ684" t="s">
        <v>74</v>
      </c>
      <c r="BA684" t="s">
        <v>74</v>
      </c>
      <c r="BB684" t="s">
        <v>74</v>
      </c>
      <c r="BC684" t="s">
        <v>74</v>
      </c>
      <c r="BD684">
        <v>1540243</v>
      </c>
      <c r="BE684" t="s">
        <v>13297</v>
      </c>
      <c r="BF684" t="str">
        <f>HYPERLINK("http://dx.doi.org/10.1080/17518369.2018.1540243","http://dx.doi.org/10.1080/17518369.2018.1540243")</f>
        <v>http://dx.doi.org/10.1080/17518369.2018.1540243</v>
      </c>
      <c r="BG684" t="s">
        <v>74</v>
      </c>
      <c r="BH684" t="s">
        <v>74</v>
      </c>
      <c r="BI684">
        <v>17</v>
      </c>
      <c r="BJ684" t="s">
        <v>8175</v>
      </c>
      <c r="BK684" t="s">
        <v>101</v>
      </c>
      <c r="BL684" t="s">
        <v>8176</v>
      </c>
      <c r="BM684" t="s">
        <v>13298</v>
      </c>
      <c r="BN684" t="s">
        <v>74</v>
      </c>
      <c r="BO684" t="s">
        <v>530</v>
      </c>
      <c r="BP684" t="s">
        <v>74</v>
      </c>
      <c r="BQ684" t="s">
        <v>74</v>
      </c>
      <c r="BR684" t="s">
        <v>104</v>
      </c>
      <c r="BS684" t="s">
        <v>13299</v>
      </c>
      <c r="BT684" t="str">
        <f>HYPERLINK("https%3A%2F%2Fwww.webofscience.com%2Fwos%2Fwoscc%2Ffull-record%2FWOS:000452037900001","View Full Record in Web of Science")</f>
        <v>View Full Record in Web of Science</v>
      </c>
    </row>
    <row r="685" spans="1:72" x14ac:dyDescent="0.15">
      <c r="A685" t="s">
        <v>72</v>
      </c>
      <c r="B685" t="s">
        <v>13300</v>
      </c>
      <c r="C685" t="s">
        <v>74</v>
      </c>
      <c r="D685" t="s">
        <v>74</v>
      </c>
      <c r="E685" t="s">
        <v>74</v>
      </c>
      <c r="F685" t="s">
        <v>13301</v>
      </c>
      <c r="G685" t="s">
        <v>74</v>
      </c>
      <c r="H685" t="s">
        <v>74</v>
      </c>
      <c r="I685" t="s">
        <v>13302</v>
      </c>
      <c r="J685" t="s">
        <v>7937</v>
      </c>
      <c r="K685" t="s">
        <v>74</v>
      </c>
      <c r="L685" t="s">
        <v>74</v>
      </c>
      <c r="M685" t="s">
        <v>78</v>
      </c>
      <c r="N685" t="s">
        <v>79</v>
      </c>
      <c r="O685" t="s">
        <v>74</v>
      </c>
      <c r="P685" t="s">
        <v>74</v>
      </c>
      <c r="Q685" t="s">
        <v>74</v>
      </c>
      <c r="R685" t="s">
        <v>74</v>
      </c>
      <c r="S685" t="s">
        <v>74</v>
      </c>
      <c r="T685" t="s">
        <v>13303</v>
      </c>
      <c r="U685" t="s">
        <v>13304</v>
      </c>
      <c r="V685" t="s">
        <v>13305</v>
      </c>
      <c r="W685" t="s">
        <v>13306</v>
      </c>
      <c r="X685" t="s">
        <v>13307</v>
      </c>
      <c r="Y685" t="s">
        <v>13308</v>
      </c>
      <c r="Z685" t="s">
        <v>13309</v>
      </c>
      <c r="AA685" t="s">
        <v>13310</v>
      </c>
      <c r="AB685" t="s">
        <v>13311</v>
      </c>
      <c r="AC685" t="s">
        <v>13312</v>
      </c>
      <c r="AD685" t="s">
        <v>13313</v>
      </c>
      <c r="AE685" t="s">
        <v>13314</v>
      </c>
      <c r="AF685" t="s">
        <v>74</v>
      </c>
      <c r="AG685">
        <v>66</v>
      </c>
      <c r="AH685">
        <v>15</v>
      </c>
      <c r="AI685">
        <v>19</v>
      </c>
      <c r="AJ685">
        <v>0</v>
      </c>
      <c r="AK685">
        <v>7</v>
      </c>
      <c r="AL685" t="s">
        <v>7949</v>
      </c>
      <c r="AM685" t="s">
        <v>7950</v>
      </c>
      <c r="AN685" t="s">
        <v>7951</v>
      </c>
      <c r="AO685" t="s">
        <v>7952</v>
      </c>
      <c r="AP685" t="s">
        <v>74</v>
      </c>
      <c r="AQ685" t="s">
        <v>74</v>
      </c>
      <c r="AR685" t="s">
        <v>7953</v>
      </c>
      <c r="AS685" t="s">
        <v>7954</v>
      </c>
      <c r="AT685" t="s">
        <v>13256</v>
      </c>
      <c r="AU685">
        <v>2018</v>
      </c>
      <c r="AV685">
        <v>9</v>
      </c>
      <c r="AW685" t="s">
        <v>74</v>
      </c>
      <c r="AX685" t="s">
        <v>74</v>
      </c>
      <c r="AY685" t="s">
        <v>74</v>
      </c>
      <c r="AZ685" t="s">
        <v>74</v>
      </c>
      <c r="BA685" t="s">
        <v>74</v>
      </c>
      <c r="BB685" t="s">
        <v>74</v>
      </c>
      <c r="BC685" t="s">
        <v>74</v>
      </c>
      <c r="BD685">
        <v>1647</v>
      </c>
      <c r="BE685" t="s">
        <v>13315</v>
      </c>
      <c r="BF685" t="str">
        <f>HYPERLINK("http://dx.doi.org/10.3389/fphys.2018.01647","http://dx.doi.org/10.3389/fphys.2018.01647")</f>
        <v>http://dx.doi.org/10.3389/fphys.2018.01647</v>
      </c>
      <c r="BG685" t="s">
        <v>74</v>
      </c>
      <c r="BH685" t="s">
        <v>74</v>
      </c>
      <c r="BI685">
        <v>12</v>
      </c>
      <c r="BJ685" t="s">
        <v>7956</v>
      </c>
      <c r="BK685" t="s">
        <v>101</v>
      </c>
      <c r="BL685" t="s">
        <v>7956</v>
      </c>
      <c r="BM685" t="s">
        <v>13316</v>
      </c>
      <c r="BN685">
        <v>30534078</v>
      </c>
      <c r="BO685" t="s">
        <v>221</v>
      </c>
      <c r="BP685" t="s">
        <v>74</v>
      </c>
      <c r="BQ685" t="s">
        <v>74</v>
      </c>
      <c r="BR685" t="s">
        <v>104</v>
      </c>
      <c r="BS685" t="s">
        <v>13317</v>
      </c>
      <c r="BT685" t="str">
        <f>HYPERLINK("https%3A%2F%2Fwww.webofscience.com%2Fwos%2Fwoscc%2Ffull-record%2FWOS:000451347600001","View Full Record in Web of Science")</f>
        <v>View Full Record in Web of Science</v>
      </c>
    </row>
    <row r="686" spans="1:72" x14ac:dyDescent="0.15">
      <c r="A686" t="s">
        <v>72</v>
      </c>
      <c r="B686" t="s">
        <v>13318</v>
      </c>
      <c r="C686" t="s">
        <v>74</v>
      </c>
      <c r="D686" t="s">
        <v>74</v>
      </c>
      <c r="E686" t="s">
        <v>74</v>
      </c>
      <c r="F686" t="s">
        <v>13319</v>
      </c>
      <c r="G686" t="s">
        <v>74</v>
      </c>
      <c r="H686" t="s">
        <v>74</v>
      </c>
      <c r="I686" t="s">
        <v>13320</v>
      </c>
      <c r="J686" t="s">
        <v>8100</v>
      </c>
      <c r="K686" t="s">
        <v>74</v>
      </c>
      <c r="L686" t="s">
        <v>74</v>
      </c>
      <c r="M686" t="s">
        <v>78</v>
      </c>
      <c r="N686" t="s">
        <v>79</v>
      </c>
      <c r="O686" t="s">
        <v>74</v>
      </c>
      <c r="P686" t="s">
        <v>74</v>
      </c>
      <c r="Q686" t="s">
        <v>74</v>
      </c>
      <c r="R686" t="s">
        <v>74</v>
      </c>
      <c r="S686" t="s">
        <v>74</v>
      </c>
      <c r="T686" t="s">
        <v>74</v>
      </c>
      <c r="U686" t="s">
        <v>13321</v>
      </c>
      <c r="V686" t="s">
        <v>13322</v>
      </c>
      <c r="W686" t="s">
        <v>13323</v>
      </c>
      <c r="X686" t="s">
        <v>13324</v>
      </c>
      <c r="Y686" t="s">
        <v>13325</v>
      </c>
      <c r="Z686" t="s">
        <v>13326</v>
      </c>
      <c r="AA686" t="s">
        <v>13327</v>
      </c>
      <c r="AB686" t="s">
        <v>13328</v>
      </c>
      <c r="AC686" t="s">
        <v>13329</v>
      </c>
      <c r="AD686" t="s">
        <v>13330</v>
      </c>
      <c r="AE686" t="s">
        <v>13331</v>
      </c>
      <c r="AF686" t="s">
        <v>74</v>
      </c>
      <c r="AG686">
        <v>66</v>
      </c>
      <c r="AH686">
        <v>16</v>
      </c>
      <c r="AI686">
        <v>17</v>
      </c>
      <c r="AJ686">
        <v>1</v>
      </c>
      <c r="AK686">
        <v>18</v>
      </c>
      <c r="AL686" t="s">
        <v>7866</v>
      </c>
      <c r="AM686" t="s">
        <v>7867</v>
      </c>
      <c r="AN686" t="s">
        <v>7868</v>
      </c>
      <c r="AO686" t="s">
        <v>8112</v>
      </c>
      <c r="AP686" t="s">
        <v>8113</v>
      </c>
      <c r="AQ686" t="s">
        <v>74</v>
      </c>
      <c r="AR686" t="s">
        <v>8100</v>
      </c>
      <c r="AS686" t="s">
        <v>8114</v>
      </c>
      <c r="AT686" t="s">
        <v>13256</v>
      </c>
      <c r="AU686">
        <v>2018</v>
      </c>
      <c r="AV686">
        <v>12</v>
      </c>
      <c r="AW686">
        <v>11</v>
      </c>
      <c r="AX686" t="s">
        <v>74</v>
      </c>
      <c r="AY686" t="s">
        <v>74</v>
      </c>
      <c r="AZ686" t="s">
        <v>74</v>
      </c>
      <c r="BA686" t="s">
        <v>74</v>
      </c>
      <c r="BB686">
        <v>3653</v>
      </c>
      <c r="BC686">
        <v>3669</v>
      </c>
      <c r="BD686" t="s">
        <v>74</v>
      </c>
      <c r="BE686" t="s">
        <v>13332</v>
      </c>
      <c r="BF686" t="str">
        <f>HYPERLINK("http://dx.doi.org/10.5194/tc-12-3653-2018","http://dx.doi.org/10.5194/tc-12-3653-2018")</f>
        <v>http://dx.doi.org/10.5194/tc-12-3653-2018</v>
      </c>
      <c r="BG686" t="s">
        <v>74</v>
      </c>
      <c r="BH686" t="s">
        <v>74</v>
      </c>
      <c r="BI686">
        <v>17</v>
      </c>
      <c r="BJ686" t="s">
        <v>1480</v>
      </c>
      <c r="BK686" t="s">
        <v>101</v>
      </c>
      <c r="BL686" t="s">
        <v>1481</v>
      </c>
      <c r="BM686" t="s">
        <v>13333</v>
      </c>
      <c r="BN686" t="s">
        <v>74</v>
      </c>
      <c r="BO686" t="s">
        <v>1556</v>
      </c>
      <c r="BP686" t="s">
        <v>74</v>
      </c>
      <c r="BQ686" t="s">
        <v>74</v>
      </c>
      <c r="BR686" t="s">
        <v>104</v>
      </c>
      <c r="BS686" t="s">
        <v>13334</v>
      </c>
      <c r="BT686" t="str">
        <f>HYPERLINK("https%3A%2F%2Fwww.webofscience.com%2Fwos%2Fwoscc%2Ffull-record%2FWOS:000451124900001","View Full Record in Web of Science")</f>
        <v>View Full Record in Web of Science</v>
      </c>
    </row>
    <row r="687" spans="1:72" x14ac:dyDescent="0.15">
      <c r="A687" t="s">
        <v>72</v>
      </c>
      <c r="B687" t="s">
        <v>13335</v>
      </c>
      <c r="C687" t="s">
        <v>74</v>
      </c>
      <c r="D687" t="s">
        <v>74</v>
      </c>
      <c r="E687" t="s">
        <v>74</v>
      </c>
      <c r="F687" t="s">
        <v>13336</v>
      </c>
      <c r="G687" t="s">
        <v>74</v>
      </c>
      <c r="H687" t="s">
        <v>74</v>
      </c>
      <c r="I687" t="s">
        <v>13337</v>
      </c>
      <c r="J687" t="s">
        <v>13338</v>
      </c>
      <c r="K687" t="s">
        <v>74</v>
      </c>
      <c r="L687" t="s">
        <v>74</v>
      </c>
      <c r="M687" t="s">
        <v>78</v>
      </c>
      <c r="N687" t="s">
        <v>79</v>
      </c>
      <c r="O687" t="s">
        <v>74</v>
      </c>
      <c r="P687" t="s">
        <v>74</v>
      </c>
      <c r="Q687" t="s">
        <v>74</v>
      </c>
      <c r="R687" t="s">
        <v>74</v>
      </c>
      <c r="S687" t="s">
        <v>74</v>
      </c>
      <c r="T687" t="s">
        <v>13339</v>
      </c>
      <c r="U687" t="s">
        <v>13340</v>
      </c>
      <c r="V687" t="s">
        <v>13341</v>
      </c>
      <c r="W687" t="s">
        <v>13342</v>
      </c>
      <c r="X687" t="s">
        <v>13343</v>
      </c>
      <c r="Y687" t="s">
        <v>13344</v>
      </c>
      <c r="Z687" t="s">
        <v>13345</v>
      </c>
      <c r="AA687" t="s">
        <v>13346</v>
      </c>
      <c r="AB687" t="s">
        <v>13347</v>
      </c>
      <c r="AC687" t="s">
        <v>13348</v>
      </c>
      <c r="AD687" t="s">
        <v>13349</v>
      </c>
      <c r="AE687" t="s">
        <v>13350</v>
      </c>
      <c r="AF687" t="s">
        <v>74</v>
      </c>
      <c r="AG687">
        <v>46</v>
      </c>
      <c r="AH687">
        <v>4</v>
      </c>
      <c r="AI687">
        <v>4</v>
      </c>
      <c r="AJ687">
        <v>1</v>
      </c>
      <c r="AK687">
        <v>5</v>
      </c>
      <c r="AL687" t="s">
        <v>210</v>
      </c>
      <c r="AM687" t="s">
        <v>211</v>
      </c>
      <c r="AN687" t="s">
        <v>212</v>
      </c>
      <c r="AO687" t="s">
        <v>13351</v>
      </c>
      <c r="AP687" t="s">
        <v>13352</v>
      </c>
      <c r="AQ687" t="s">
        <v>74</v>
      </c>
      <c r="AR687" t="s">
        <v>13353</v>
      </c>
      <c r="AS687" t="s">
        <v>13354</v>
      </c>
      <c r="AT687" t="s">
        <v>13355</v>
      </c>
      <c r="AU687">
        <v>2018</v>
      </c>
      <c r="AV687">
        <v>52</v>
      </c>
      <c r="AW687" t="s">
        <v>13356</v>
      </c>
      <c r="AX687" t="s">
        <v>74</v>
      </c>
      <c r="AY687" t="s">
        <v>74</v>
      </c>
      <c r="AZ687" t="s">
        <v>74</v>
      </c>
      <c r="BA687" t="s">
        <v>74</v>
      </c>
      <c r="BB687">
        <v>2823</v>
      </c>
      <c r="BC687">
        <v>2831</v>
      </c>
      <c r="BD687" t="s">
        <v>74</v>
      </c>
      <c r="BE687" t="s">
        <v>13357</v>
      </c>
      <c r="BF687" t="str">
        <f>HYPERLINK("http://dx.doi.org/10.1080/00222933.2018.1553250","http://dx.doi.org/10.1080/00222933.2018.1553250")</f>
        <v>http://dx.doi.org/10.1080/00222933.2018.1553250</v>
      </c>
      <c r="BG687" t="s">
        <v>74</v>
      </c>
      <c r="BH687" t="s">
        <v>74</v>
      </c>
      <c r="BI687">
        <v>9</v>
      </c>
      <c r="BJ687" t="s">
        <v>13358</v>
      </c>
      <c r="BK687" t="s">
        <v>101</v>
      </c>
      <c r="BL687" t="s">
        <v>13359</v>
      </c>
      <c r="BM687" t="s">
        <v>13360</v>
      </c>
      <c r="BN687" t="s">
        <v>74</v>
      </c>
      <c r="BO687" t="s">
        <v>1089</v>
      </c>
      <c r="BP687" t="s">
        <v>74</v>
      </c>
      <c r="BQ687" t="s">
        <v>74</v>
      </c>
      <c r="BR687" t="s">
        <v>104</v>
      </c>
      <c r="BS687" t="s">
        <v>13361</v>
      </c>
      <c r="BT687" t="str">
        <f>HYPERLINK("https%3A%2F%2Fwww.webofscience.com%2Fwos%2Fwoscc%2Ffull-record%2FWOS:000454067400001","View Full Record in Web of Science")</f>
        <v>View Full Record in Web of Science</v>
      </c>
    </row>
    <row r="688" spans="1:72" x14ac:dyDescent="0.15">
      <c r="A688" t="s">
        <v>72</v>
      </c>
      <c r="B688" t="s">
        <v>13362</v>
      </c>
      <c r="C688" t="s">
        <v>74</v>
      </c>
      <c r="D688" t="s">
        <v>74</v>
      </c>
      <c r="E688" t="s">
        <v>74</v>
      </c>
      <c r="F688" t="s">
        <v>13363</v>
      </c>
      <c r="G688" t="s">
        <v>74</v>
      </c>
      <c r="H688" t="s">
        <v>74</v>
      </c>
      <c r="I688" t="s">
        <v>13364</v>
      </c>
      <c r="J688" t="s">
        <v>8449</v>
      </c>
      <c r="K688" t="s">
        <v>74</v>
      </c>
      <c r="L688" t="s">
        <v>74</v>
      </c>
      <c r="M688" t="s">
        <v>78</v>
      </c>
      <c r="N688" t="s">
        <v>79</v>
      </c>
      <c r="O688" t="s">
        <v>74</v>
      </c>
      <c r="P688" t="s">
        <v>74</v>
      </c>
      <c r="Q688" t="s">
        <v>74</v>
      </c>
      <c r="R688" t="s">
        <v>74</v>
      </c>
      <c r="S688" t="s">
        <v>74</v>
      </c>
      <c r="T688" t="s">
        <v>13365</v>
      </c>
      <c r="U688" t="s">
        <v>13366</v>
      </c>
      <c r="V688" t="s">
        <v>13367</v>
      </c>
      <c r="W688" t="s">
        <v>13368</v>
      </c>
      <c r="X688" t="s">
        <v>13369</v>
      </c>
      <c r="Y688" t="s">
        <v>13370</v>
      </c>
      <c r="Z688" t="s">
        <v>13371</v>
      </c>
      <c r="AA688" t="s">
        <v>13372</v>
      </c>
      <c r="AB688" t="s">
        <v>13373</v>
      </c>
      <c r="AC688" t="s">
        <v>13374</v>
      </c>
      <c r="AD688" t="s">
        <v>13375</v>
      </c>
      <c r="AE688" t="s">
        <v>13376</v>
      </c>
      <c r="AF688" t="s">
        <v>74</v>
      </c>
      <c r="AG688">
        <v>127</v>
      </c>
      <c r="AH688">
        <v>40</v>
      </c>
      <c r="AI688">
        <v>42</v>
      </c>
      <c r="AJ688">
        <v>0</v>
      </c>
      <c r="AK688">
        <v>24</v>
      </c>
      <c r="AL688" t="s">
        <v>7949</v>
      </c>
      <c r="AM688" t="s">
        <v>7950</v>
      </c>
      <c r="AN688" t="s">
        <v>7951</v>
      </c>
      <c r="AO688" t="s">
        <v>74</v>
      </c>
      <c r="AP688" t="s">
        <v>8462</v>
      </c>
      <c r="AQ688" t="s">
        <v>74</v>
      </c>
      <c r="AR688" t="s">
        <v>8463</v>
      </c>
      <c r="AS688" t="s">
        <v>8464</v>
      </c>
      <c r="AT688" t="s">
        <v>13377</v>
      </c>
      <c r="AU688">
        <v>2018</v>
      </c>
      <c r="AV688">
        <v>5</v>
      </c>
      <c r="AW688" t="s">
        <v>74</v>
      </c>
      <c r="AX688" t="s">
        <v>74</v>
      </c>
      <c r="AY688" t="s">
        <v>74</v>
      </c>
      <c r="AZ688" t="s">
        <v>74</v>
      </c>
      <c r="BA688" t="s">
        <v>74</v>
      </c>
      <c r="BB688" t="s">
        <v>74</v>
      </c>
      <c r="BC688" t="s">
        <v>74</v>
      </c>
      <c r="BD688">
        <v>429</v>
      </c>
      <c r="BE688" t="s">
        <v>13378</v>
      </c>
      <c r="BF688" t="str">
        <f>HYPERLINK("http://dx.doi.org/10.3389/fmars.2018.00429","http://dx.doi.org/10.3389/fmars.2018.00429")</f>
        <v>http://dx.doi.org/10.3389/fmars.2018.00429</v>
      </c>
      <c r="BG688" t="s">
        <v>74</v>
      </c>
      <c r="BH688" t="s">
        <v>74</v>
      </c>
      <c r="BI688">
        <v>21</v>
      </c>
      <c r="BJ688" t="s">
        <v>3360</v>
      </c>
      <c r="BK688" t="s">
        <v>101</v>
      </c>
      <c r="BL688" t="s">
        <v>3361</v>
      </c>
      <c r="BM688" t="s">
        <v>13379</v>
      </c>
      <c r="BN688" t="s">
        <v>74</v>
      </c>
      <c r="BO688" t="s">
        <v>270</v>
      </c>
      <c r="BP688" t="s">
        <v>74</v>
      </c>
      <c r="BQ688" t="s">
        <v>74</v>
      </c>
      <c r="BR688" t="s">
        <v>104</v>
      </c>
      <c r="BS688" t="s">
        <v>13380</v>
      </c>
      <c r="BT688" t="str">
        <f>HYPERLINK("https%3A%2F%2Fwww.webofscience.com%2Fwos%2Fwoscc%2Ffull-record%2FWOS:000457485300001","View Full Record in Web of Science")</f>
        <v>View Full Record in Web of Science</v>
      </c>
    </row>
    <row r="689" spans="1:72" x14ac:dyDescent="0.15">
      <c r="A689" t="s">
        <v>72</v>
      </c>
      <c r="B689" t="s">
        <v>13381</v>
      </c>
      <c r="C689" t="s">
        <v>74</v>
      </c>
      <c r="D689" t="s">
        <v>74</v>
      </c>
      <c r="E689" t="s">
        <v>74</v>
      </c>
      <c r="F689" t="s">
        <v>13382</v>
      </c>
      <c r="G689" t="s">
        <v>74</v>
      </c>
      <c r="H689" t="s">
        <v>74</v>
      </c>
      <c r="I689" t="s">
        <v>13383</v>
      </c>
      <c r="J689" t="s">
        <v>8034</v>
      </c>
      <c r="K689" t="s">
        <v>74</v>
      </c>
      <c r="L689" t="s">
        <v>74</v>
      </c>
      <c r="M689" t="s">
        <v>78</v>
      </c>
      <c r="N689" t="s">
        <v>79</v>
      </c>
      <c r="O689" t="s">
        <v>74</v>
      </c>
      <c r="P689" t="s">
        <v>74</v>
      </c>
      <c r="Q689" t="s">
        <v>74</v>
      </c>
      <c r="R689" t="s">
        <v>74</v>
      </c>
      <c r="S689" t="s">
        <v>74</v>
      </c>
      <c r="T689" t="s">
        <v>74</v>
      </c>
      <c r="U689" t="s">
        <v>13384</v>
      </c>
      <c r="V689" t="s">
        <v>13385</v>
      </c>
      <c r="W689" t="s">
        <v>13386</v>
      </c>
      <c r="X689" t="s">
        <v>13387</v>
      </c>
      <c r="Y689" t="s">
        <v>13388</v>
      </c>
      <c r="Z689" t="s">
        <v>13389</v>
      </c>
      <c r="AA689" t="s">
        <v>13390</v>
      </c>
      <c r="AB689" t="s">
        <v>13391</v>
      </c>
      <c r="AC689" t="s">
        <v>13392</v>
      </c>
      <c r="AD689" t="s">
        <v>13393</v>
      </c>
      <c r="AE689" t="s">
        <v>13394</v>
      </c>
      <c r="AF689" t="s">
        <v>74</v>
      </c>
      <c r="AG689">
        <v>55</v>
      </c>
      <c r="AH689">
        <v>30</v>
      </c>
      <c r="AI689">
        <v>33</v>
      </c>
      <c r="AJ689">
        <v>1</v>
      </c>
      <c r="AK689">
        <v>14</v>
      </c>
      <c r="AL689" t="s">
        <v>8045</v>
      </c>
      <c r="AM689" t="s">
        <v>6186</v>
      </c>
      <c r="AN689" t="s">
        <v>6187</v>
      </c>
      <c r="AO689" t="s">
        <v>8046</v>
      </c>
      <c r="AP689" t="s">
        <v>74</v>
      </c>
      <c r="AQ689" t="s">
        <v>74</v>
      </c>
      <c r="AR689" t="s">
        <v>8047</v>
      </c>
      <c r="AS689" t="s">
        <v>8048</v>
      </c>
      <c r="AT689" t="s">
        <v>13377</v>
      </c>
      <c r="AU689">
        <v>2018</v>
      </c>
      <c r="AV689">
        <v>8</v>
      </c>
      <c r="AW689" t="s">
        <v>74</v>
      </c>
      <c r="AX689" t="s">
        <v>74</v>
      </c>
      <c r="AY689" t="s">
        <v>74</v>
      </c>
      <c r="AZ689" t="s">
        <v>74</v>
      </c>
      <c r="BA689" t="s">
        <v>74</v>
      </c>
      <c r="BB689" t="s">
        <v>74</v>
      </c>
      <c r="BC689" t="s">
        <v>74</v>
      </c>
      <c r="BD689">
        <v>17279</v>
      </c>
      <c r="BE689" t="s">
        <v>13395</v>
      </c>
      <c r="BF689" t="str">
        <f>HYPERLINK("http://dx.doi.org/10.1038/s41598-018-35460-x","http://dx.doi.org/10.1038/s41598-018-35460-x")</f>
        <v>http://dx.doi.org/10.1038/s41598-018-35460-x</v>
      </c>
      <c r="BG689" t="s">
        <v>74</v>
      </c>
      <c r="BH689" t="s">
        <v>74</v>
      </c>
      <c r="BI689">
        <v>11</v>
      </c>
      <c r="BJ689" t="s">
        <v>855</v>
      </c>
      <c r="BK689" t="s">
        <v>101</v>
      </c>
      <c r="BL689" t="s">
        <v>856</v>
      </c>
      <c r="BM689" t="s">
        <v>13396</v>
      </c>
      <c r="BN689">
        <v>30467408</v>
      </c>
      <c r="BO689" t="s">
        <v>221</v>
      </c>
      <c r="BP689" t="s">
        <v>74</v>
      </c>
      <c r="BQ689" t="s">
        <v>74</v>
      </c>
      <c r="BR689" t="s">
        <v>104</v>
      </c>
      <c r="BS689" t="s">
        <v>13397</v>
      </c>
      <c r="BT689" t="str">
        <f>HYPERLINK("https%3A%2F%2Fwww.webofscience.com%2Fwos%2Fwoscc%2Ffull-record%2FWOS:000450915300009","View Full Record in Web of Science")</f>
        <v>View Full Record in Web of Science</v>
      </c>
    </row>
    <row r="690" spans="1:72" x14ac:dyDescent="0.15">
      <c r="A690" t="s">
        <v>72</v>
      </c>
      <c r="B690" t="s">
        <v>13398</v>
      </c>
      <c r="C690" t="s">
        <v>74</v>
      </c>
      <c r="D690" t="s">
        <v>74</v>
      </c>
      <c r="E690" t="s">
        <v>74</v>
      </c>
      <c r="F690" t="s">
        <v>13399</v>
      </c>
      <c r="G690" t="s">
        <v>74</v>
      </c>
      <c r="H690" t="s">
        <v>74</v>
      </c>
      <c r="I690" t="s">
        <v>13400</v>
      </c>
      <c r="J690" t="s">
        <v>8034</v>
      </c>
      <c r="K690" t="s">
        <v>74</v>
      </c>
      <c r="L690" t="s">
        <v>74</v>
      </c>
      <c r="M690" t="s">
        <v>78</v>
      </c>
      <c r="N690" t="s">
        <v>79</v>
      </c>
      <c r="O690" t="s">
        <v>74</v>
      </c>
      <c r="P690" t="s">
        <v>74</v>
      </c>
      <c r="Q690" t="s">
        <v>74</v>
      </c>
      <c r="R690" t="s">
        <v>74</v>
      </c>
      <c r="S690" t="s">
        <v>74</v>
      </c>
      <c r="T690" t="s">
        <v>74</v>
      </c>
      <c r="U690" t="s">
        <v>13401</v>
      </c>
      <c r="V690" t="s">
        <v>13402</v>
      </c>
      <c r="W690" t="s">
        <v>13403</v>
      </c>
      <c r="X690" t="s">
        <v>13404</v>
      </c>
      <c r="Y690" t="s">
        <v>13405</v>
      </c>
      <c r="Z690" t="s">
        <v>13406</v>
      </c>
      <c r="AA690" t="s">
        <v>74</v>
      </c>
      <c r="AB690" t="s">
        <v>74</v>
      </c>
      <c r="AC690" t="s">
        <v>13407</v>
      </c>
      <c r="AD690" t="s">
        <v>13408</v>
      </c>
      <c r="AE690" t="s">
        <v>13409</v>
      </c>
      <c r="AF690" t="s">
        <v>74</v>
      </c>
      <c r="AG690">
        <v>33</v>
      </c>
      <c r="AH690">
        <v>9</v>
      </c>
      <c r="AI690">
        <v>9</v>
      </c>
      <c r="AJ690">
        <v>1</v>
      </c>
      <c r="AK690">
        <v>3</v>
      </c>
      <c r="AL690" t="s">
        <v>8045</v>
      </c>
      <c r="AM690" t="s">
        <v>6186</v>
      </c>
      <c r="AN690" t="s">
        <v>6187</v>
      </c>
      <c r="AO690" t="s">
        <v>8046</v>
      </c>
      <c r="AP690" t="s">
        <v>74</v>
      </c>
      <c r="AQ690" t="s">
        <v>74</v>
      </c>
      <c r="AR690" t="s">
        <v>8047</v>
      </c>
      <c r="AS690" t="s">
        <v>8048</v>
      </c>
      <c r="AT690" t="s">
        <v>13377</v>
      </c>
      <c r="AU690">
        <v>2018</v>
      </c>
      <c r="AV690">
        <v>8</v>
      </c>
      <c r="AW690" t="s">
        <v>74</v>
      </c>
      <c r="AX690" t="s">
        <v>74</v>
      </c>
      <c r="AY690" t="s">
        <v>74</v>
      </c>
      <c r="AZ690" t="s">
        <v>74</v>
      </c>
      <c r="BA690" t="s">
        <v>74</v>
      </c>
      <c r="BB690" t="s">
        <v>74</v>
      </c>
      <c r="BC690" t="s">
        <v>74</v>
      </c>
      <c r="BD690">
        <v>17230</v>
      </c>
      <c r="BE690" t="s">
        <v>13410</v>
      </c>
      <c r="BF690" t="str">
        <f>HYPERLINK("http://dx.doi.org/10.1038/s41598-018-35091-2","http://dx.doi.org/10.1038/s41598-018-35091-2")</f>
        <v>http://dx.doi.org/10.1038/s41598-018-35091-2</v>
      </c>
      <c r="BG690" t="s">
        <v>74</v>
      </c>
      <c r="BH690" t="s">
        <v>74</v>
      </c>
      <c r="BI690">
        <v>6</v>
      </c>
      <c r="BJ690" t="s">
        <v>855</v>
      </c>
      <c r="BK690" t="s">
        <v>101</v>
      </c>
      <c r="BL690" t="s">
        <v>856</v>
      </c>
      <c r="BM690" t="s">
        <v>13411</v>
      </c>
      <c r="BN690">
        <v>30467409</v>
      </c>
      <c r="BO690" t="s">
        <v>221</v>
      </c>
      <c r="BP690" t="s">
        <v>74</v>
      </c>
      <c r="BQ690" t="s">
        <v>74</v>
      </c>
      <c r="BR690" t="s">
        <v>104</v>
      </c>
      <c r="BS690" t="s">
        <v>13412</v>
      </c>
      <c r="BT690" t="str">
        <f>HYPERLINK("https%3A%2F%2Fwww.webofscience.com%2Fwos%2Fwoscc%2Ffull-record%2FWOS:000450911800001","View Full Record in Web of Science")</f>
        <v>View Full Record in Web of Science</v>
      </c>
    </row>
    <row r="691" spans="1:72" x14ac:dyDescent="0.15">
      <c r="A691" t="s">
        <v>72</v>
      </c>
      <c r="B691" t="s">
        <v>13413</v>
      </c>
      <c r="C691" t="s">
        <v>74</v>
      </c>
      <c r="D691" t="s">
        <v>74</v>
      </c>
      <c r="E691" t="s">
        <v>74</v>
      </c>
      <c r="F691" t="s">
        <v>13414</v>
      </c>
      <c r="G691" t="s">
        <v>74</v>
      </c>
      <c r="H691" t="s">
        <v>74</v>
      </c>
      <c r="I691" t="s">
        <v>13415</v>
      </c>
      <c r="J691" t="s">
        <v>7881</v>
      </c>
      <c r="K691" t="s">
        <v>74</v>
      </c>
      <c r="L691" t="s">
        <v>74</v>
      </c>
      <c r="M691" t="s">
        <v>78</v>
      </c>
      <c r="N691" t="s">
        <v>79</v>
      </c>
      <c r="O691" t="s">
        <v>74</v>
      </c>
      <c r="P691" t="s">
        <v>74</v>
      </c>
      <c r="Q691" t="s">
        <v>74</v>
      </c>
      <c r="R691" t="s">
        <v>74</v>
      </c>
      <c r="S691" t="s">
        <v>74</v>
      </c>
      <c r="T691" t="s">
        <v>74</v>
      </c>
      <c r="U691" t="s">
        <v>13416</v>
      </c>
      <c r="V691" t="s">
        <v>13417</v>
      </c>
      <c r="W691" t="s">
        <v>13418</v>
      </c>
      <c r="X691" t="s">
        <v>13419</v>
      </c>
      <c r="Y691" t="s">
        <v>13420</v>
      </c>
      <c r="Z691" t="s">
        <v>13421</v>
      </c>
      <c r="AA691" t="s">
        <v>13422</v>
      </c>
      <c r="AB691" t="s">
        <v>13423</v>
      </c>
      <c r="AC691" t="s">
        <v>13424</v>
      </c>
      <c r="AD691" t="s">
        <v>13425</v>
      </c>
      <c r="AE691" t="s">
        <v>13426</v>
      </c>
      <c r="AF691" t="s">
        <v>74</v>
      </c>
      <c r="AG691">
        <v>73</v>
      </c>
      <c r="AH691">
        <v>15</v>
      </c>
      <c r="AI691">
        <v>16</v>
      </c>
      <c r="AJ691">
        <v>0</v>
      </c>
      <c r="AK691">
        <v>8</v>
      </c>
      <c r="AL691" t="s">
        <v>7866</v>
      </c>
      <c r="AM691" t="s">
        <v>7867</v>
      </c>
      <c r="AN691" t="s">
        <v>7868</v>
      </c>
      <c r="AO691" t="s">
        <v>7893</v>
      </c>
      <c r="AP691" t="s">
        <v>7894</v>
      </c>
      <c r="AQ691" t="s">
        <v>74</v>
      </c>
      <c r="AR691" t="s">
        <v>7895</v>
      </c>
      <c r="AS691" t="s">
        <v>7896</v>
      </c>
      <c r="AT691" t="s">
        <v>13377</v>
      </c>
      <c r="AU691">
        <v>2018</v>
      </c>
      <c r="AV691">
        <v>11</v>
      </c>
      <c r="AW691">
        <v>11</v>
      </c>
      <c r="AX691" t="s">
        <v>74</v>
      </c>
      <c r="AY691" t="s">
        <v>74</v>
      </c>
      <c r="AZ691" t="s">
        <v>74</v>
      </c>
      <c r="BA691" t="s">
        <v>74</v>
      </c>
      <c r="BB691">
        <v>4657</v>
      </c>
      <c r="BC691">
        <v>4675</v>
      </c>
      <c r="BD691" t="s">
        <v>74</v>
      </c>
      <c r="BE691" t="s">
        <v>13427</v>
      </c>
      <c r="BF691" t="str">
        <f>HYPERLINK("http://dx.doi.org/10.5194/gmd-11-4657-2018","http://dx.doi.org/10.5194/gmd-11-4657-2018")</f>
        <v>http://dx.doi.org/10.5194/gmd-11-4657-2018</v>
      </c>
      <c r="BG691" t="s">
        <v>74</v>
      </c>
      <c r="BH691" t="s">
        <v>74</v>
      </c>
      <c r="BI691">
        <v>19</v>
      </c>
      <c r="BJ691" t="s">
        <v>884</v>
      </c>
      <c r="BK691" t="s">
        <v>101</v>
      </c>
      <c r="BL691" t="s">
        <v>528</v>
      </c>
      <c r="BM691" t="s">
        <v>13428</v>
      </c>
      <c r="BN691" t="s">
        <v>74</v>
      </c>
      <c r="BO691" t="s">
        <v>1556</v>
      </c>
      <c r="BP691" t="s">
        <v>74</v>
      </c>
      <c r="BQ691" t="s">
        <v>74</v>
      </c>
      <c r="BR691" t="s">
        <v>104</v>
      </c>
      <c r="BS691" t="s">
        <v>13429</v>
      </c>
      <c r="BT691" t="str">
        <f>HYPERLINK("https%3A%2F%2Fwww.webofscience.com%2Fwos%2Fwoscc%2Ffull-record%2FWOS:000450888000002","View Full Record in Web of Science")</f>
        <v>View Full Record in Web of Science</v>
      </c>
    </row>
    <row r="692" spans="1:72" x14ac:dyDescent="0.15">
      <c r="A692" t="s">
        <v>72</v>
      </c>
      <c r="B692" t="s">
        <v>13430</v>
      </c>
      <c r="C692" t="s">
        <v>74</v>
      </c>
      <c r="D692" t="s">
        <v>74</v>
      </c>
      <c r="E692" t="s">
        <v>74</v>
      </c>
      <c r="F692" t="s">
        <v>13431</v>
      </c>
      <c r="G692" t="s">
        <v>74</v>
      </c>
      <c r="H692" t="s">
        <v>74</v>
      </c>
      <c r="I692" t="s">
        <v>13432</v>
      </c>
      <c r="J692" t="s">
        <v>9044</v>
      </c>
      <c r="K692" t="s">
        <v>74</v>
      </c>
      <c r="L692" t="s">
        <v>74</v>
      </c>
      <c r="M692" t="s">
        <v>78</v>
      </c>
      <c r="N692" t="s">
        <v>79</v>
      </c>
      <c r="O692" t="s">
        <v>74</v>
      </c>
      <c r="P692" t="s">
        <v>74</v>
      </c>
      <c r="Q692" t="s">
        <v>74</v>
      </c>
      <c r="R692" t="s">
        <v>74</v>
      </c>
      <c r="S692" t="s">
        <v>74</v>
      </c>
      <c r="T692" t="s">
        <v>13433</v>
      </c>
      <c r="U692" t="s">
        <v>13434</v>
      </c>
      <c r="V692" t="s">
        <v>13435</v>
      </c>
      <c r="W692" t="s">
        <v>13436</v>
      </c>
      <c r="X692" t="s">
        <v>13437</v>
      </c>
      <c r="Y692" t="s">
        <v>13438</v>
      </c>
      <c r="Z692" t="s">
        <v>13439</v>
      </c>
      <c r="AA692" t="s">
        <v>74</v>
      </c>
      <c r="AB692" t="s">
        <v>13440</v>
      </c>
      <c r="AC692" t="s">
        <v>13441</v>
      </c>
      <c r="AD692" t="s">
        <v>13442</v>
      </c>
      <c r="AE692" t="s">
        <v>13443</v>
      </c>
      <c r="AF692" t="s">
        <v>74</v>
      </c>
      <c r="AG692">
        <v>35</v>
      </c>
      <c r="AH692">
        <v>15</v>
      </c>
      <c r="AI692">
        <v>15</v>
      </c>
      <c r="AJ692">
        <v>2</v>
      </c>
      <c r="AK692">
        <v>15</v>
      </c>
      <c r="AL692" t="s">
        <v>7949</v>
      </c>
      <c r="AM692" t="s">
        <v>7950</v>
      </c>
      <c r="AN692" t="s">
        <v>7951</v>
      </c>
      <c r="AO692" t="s">
        <v>74</v>
      </c>
      <c r="AP692" t="s">
        <v>9057</v>
      </c>
      <c r="AQ692" t="s">
        <v>74</v>
      </c>
      <c r="AR692" t="s">
        <v>9058</v>
      </c>
      <c r="AS692" t="s">
        <v>9059</v>
      </c>
      <c r="AT692" t="s">
        <v>13444</v>
      </c>
      <c r="AU692">
        <v>2018</v>
      </c>
      <c r="AV692">
        <v>6</v>
      </c>
      <c r="AW692" t="s">
        <v>74</v>
      </c>
      <c r="AX692" t="s">
        <v>74</v>
      </c>
      <c r="AY692" t="s">
        <v>74</v>
      </c>
      <c r="AZ692" t="s">
        <v>74</v>
      </c>
      <c r="BA692" t="s">
        <v>74</v>
      </c>
      <c r="BB692" t="s">
        <v>74</v>
      </c>
      <c r="BC692" t="s">
        <v>74</v>
      </c>
      <c r="BD692">
        <v>201</v>
      </c>
      <c r="BE692" t="s">
        <v>13445</v>
      </c>
      <c r="BF692" t="str">
        <f>HYPERLINK("http://dx.doi.org/10.3389/feart.2018.00201","http://dx.doi.org/10.3389/feart.2018.00201")</f>
        <v>http://dx.doi.org/10.3389/feart.2018.00201</v>
      </c>
      <c r="BG692" t="s">
        <v>74</v>
      </c>
      <c r="BH692" t="s">
        <v>74</v>
      </c>
      <c r="BI692">
        <v>16</v>
      </c>
      <c r="BJ692" t="s">
        <v>884</v>
      </c>
      <c r="BK692" t="s">
        <v>101</v>
      </c>
      <c r="BL692" t="s">
        <v>528</v>
      </c>
      <c r="BM692" t="s">
        <v>13446</v>
      </c>
      <c r="BN692" t="s">
        <v>74</v>
      </c>
      <c r="BO692" t="s">
        <v>131</v>
      </c>
      <c r="BP692" t="s">
        <v>74</v>
      </c>
      <c r="BQ692" t="s">
        <v>74</v>
      </c>
      <c r="BR692" t="s">
        <v>104</v>
      </c>
      <c r="BS692" t="s">
        <v>13447</v>
      </c>
      <c r="BT692" t="str">
        <f>HYPERLINK("https%3A%2F%2Fwww.webofscience.com%2Fwos%2Fwoscc%2Ffull-record%2FWOS:000454094300001","View Full Record in Web of Science")</f>
        <v>View Full Record in Web of Science</v>
      </c>
    </row>
    <row r="693" spans="1:72" x14ac:dyDescent="0.15">
      <c r="A693" t="s">
        <v>72</v>
      </c>
      <c r="B693" t="s">
        <v>13448</v>
      </c>
      <c r="C693" t="s">
        <v>74</v>
      </c>
      <c r="D693" t="s">
        <v>74</v>
      </c>
      <c r="E693" t="s">
        <v>74</v>
      </c>
      <c r="F693" t="s">
        <v>13449</v>
      </c>
      <c r="G693" t="s">
        <v>74</v>
      </c>
      <c r="H693" t="s">
        <v>74</v>
      </c>
      <c r="I693" t="s">
        <v>13450</v>
      </c>
      <c r="J693" t="s">
        <v>8794</v>
      </c>
      <c r="K693" t="s">
        <v>74</v>
      </c>
      <c r="L693" t="s">
        <v>74</v>
      </c>
      <c r="M693" t="s">
        <v>78</v>
      </c>
      <c r="N693" t="s">
        <v>79</v>
      </c>
      <c r="O693" t="s">
        <v>74</v>
      </c>
      <c r="P693" t="s">
        <v>74</v>
      </c>
      <c r="Q693" t="s">
        <v>74</v>
      </c>
      <c r="R693" t="s">
        <v>74</v>
      </c>
      <c r="S693" t="s">
        <v>74</v>
      </c>
      <c r="T693" t="s">
        <v>13451</v>
      </c>
      <c r="U693" t="s">
        <v>13452</v>
      </c>
      <c r="V693" t="s">
        <v>13453</v>
      </c>
      <c r="W693" t="s">
        <v>13454</v>
      </c>
      <c r="X693" t="s">
        <v>13455</v>
      </c>
      <c r="Y693" t="s">
        <v>13456</v>
      </c>
      <c r="Z693" t="s">
        <v>13457</v>
      </c>
      <c r="AA693" t="s">
        <v>13458</v>
      </c>
      <c r="AB693" t="s">
        <v>13459</v>
      </c>
      <c r="AC693" t="s">
        <v>13460</v>
      </c>
      <c r="AD693" t="s">
        <v>13461</v>
      </c>
      <c r="AE693" t="s">
        <v>13462</v>
      </c>
      <c r="AF693" t="s">
        <v>74</v>
      </c>
      <c r="AG693">
        <v>60</v>
      </c>
      <c r="AH693">
        <v>33</v>
      </c>
      <c r="AI693">
        <v>35</v>
      </c>
      <c r="AJ693">
        <v>2</v>
      </c>
      <c r="AK693">
        <v>19</v>
      </c>
      <c r="AL693" t="s">
        <v>8807</v>
      </c>
      <c r="AM693" t="s">
        <v>8808</v>
      </c>
      <c r="AN693" t="s">
        <v>8809</v>
      </c>
      <c r="AO693" t="s">
        <v>8810</v>
      </c>
      <c r="AP693" t="s">
        <v>8811</v>
      </c>
      <c r="AQ693" t="s">
        <v>74</v>
      </c>
      <c r="AR693" t="s">
        <v>8812</v>
      </c>
      <c r="AS693" t="s">
        <v>8813</v>
      </c>
      <c r="AT693" t="s">
        <v>13444</v>
      </c>
      <c r="AU693">
        <v>2018</v>
      </c>
      <c r="AV693">
        <v>51</v>
      </c>
      <c r="AW693" t="s">
        <v>74</v>
      </c>
      <c r="AX693" t="s">
        <v>74</v>
      </c>
      <c r="AY693" t="s">
        <v>74</v>
      </c>
      <c r="AZ693" t="s">
        <v>74</v>
      </c>
      <c r="BA693" t="s">
        <v>74</v>
      </c>
      <c r="BB693" t="s">
        <v>74</v>
      </c>
      <c r="BC693" t="s">
        <v>74</v>
      </c>
      <c r="BD693">
        <v>49</v>
      </c>
      <c r="BE693" t="s">
        <v>13463</v>
      </c>
      <c r="BF693" t="str">
        <f>HYPERLINK("http://dx.doi.org/10.1186/s40659-018-0196-1","http://dx.doi.org/10.1186/s40659-018-0196-1")</f>
        <v>http://dx.doi.org/10.1186/s40659-018-0196-1</v>
      </c>
      <c r="BG693" t="s">
        <v>74</v>
      </c>
      <c r="BH693" t="s">
        <v>74</v>
      </c>
      <c r="BI693">
        <v>13</v>
      </c>
      <c r="BJ693" t="s">
        <v>598</v>
      </c>
      <c r="BK693" t="s">
        <v>101</v>
      </c>
      <c r="BL693" t="s">
        <v>599</v>
      </c>
      <c r="BM693" t="s">
        <v>13464</v>
      </c>
      <c r="BN693">
        <v>30463628</v>
      </c>
      <c r="BO693" t="s">
        <v>221</v>
      </c>
      <c r="BP693" t="s">
        <v>74</v>
      </c>
      <c r="BQ693" t="s">
        <v>74</v>
      </c>
      <c r="BR693" t="s">
        <v>104</v>
      </c>
      <c r="BS693" t="s">
        <v>13465</v>
      </c>
      <c r="BT693" t="str">
        <f>HYPERLINK("https%3A%2F%2Fwww.webofscience.com%2Fwos%2Fwoscc%2Ffull-record%2FWOS:000450736800001","View Full Record in Web of Science")</f>
        <v>View Full Record in Web of Science</v>
      </c>
    </row>
    <row r="694" spans="1:72" x14ac:dyDescent="0.15">
      <c r="A694" t="s">
        <v>72</v>
      </c>
      <c r="B694" t="s">
        <v>13466</v>
      </c>
      <c r="C694" t="s">
        <v>74</v>
      </c>
      <c r="D694" t="s">
        <v>74</v>
      </c>
      <c r="E694" t="s">
        <v>74</v>
      </c>
      <c r="F694" t="s">
        <v>13467</v>
      </c>
      <c r="G694" t="s">
        <v>74</v>
      </c>
      <c r="H694" t="s">
        <v>74</v>
      </c>
      <c r="I694" t="s">
        <v>13468</v>
      </c>
      <c r="J694" t="s">
        <v>8449</v>
      </c>
      <c r="K694" t="s">
        <v>74</v>
      </c>
      <c r="L694" t="s">
        <v>74</v>
      </c>
      <c r="M694" t="s">
        <v>78</v>
      </c>
      <c r="N694" t="s">
        <v>79</v>
      </c>
      <c r="O694" t="s">
        <v>74</v>
      </c>
      <c r="P694" t="s">
        <v>74</v>
      </c>
      <c r="Q694" t="s">
        <v>74</v>
      </c>
      <c r="R694" t="s">
        <v>74</v>
      </c>
      <c r="S694" t="s">
        <v>74</v>
      </c>
      <c r="T694" t="s">
        <v>13469</v>
      </c>
      <c r="U694" t="s">
        <v>13470</v>
      </c>
      <c r="V694" t="s">
        <v>13471</v>
      </c>
      <c r="W694" t="s">
        <v>13472</v>
      </c>
      <c r="X694" t="s">
        <v>13473</v>
      </c>
      <c r="Y694" t="s">
        <v>13474</v>
      </c>
      <c r="Z694" t="s">
        <v>13475</v>
      </c>
      <c r="AA694" t="s">
        <v>13476</v>
      </c>
      <c r="AB694" t="s">
        <v>13477</v>
      </c>
      <c r="AC694" t="s">
        <v>13478</v>
      </c>
      <c r="AD694" t="s">
        <v>13479</v>
      </c>
      <c r="AE694" t="s">
        <v>13480</v>
      </c>
      <c r="AF694" t="s">
        <v>74</v>
      </c>
      <c r="AG694">
        <v>150</v>
      </c>
      <c r="AH694">
        <v>17</v>
      </c>
      <c r="AI694">
        <v>18</v>
      </c>
      <c r="AJ694">
        <v>2</v>
      </c>
      <c r="AK694">
        <v>10</v>
      </c>
      <c r="AL694" t="s">
        <v>7949</v>
      </c>
      <c r="AM694" t="s">
        <v>7950</v>
      </c>
      <c r="AN694" t="s">
        <v>7951</v>
      </c>
      <c r="AO694" t="s">
        <v>74</v>
      </c>
      <c r="AP694" t="s">
        <v>8462</v>
      </c>
      <c r="AQ694" t="s">
        <v>74</v>
      </c>
      <c r="AR694" t="s">
        <v>8463</v>
      </c>
      <c r="AS694" t="s">
        <v>8464</v>
      </c>
      <c r="AT694" t="s">
        <v>13481</v>
      </c>
      <c r="AU694">
        <v>2018</v>
      </c>
      <c r="AV694">
        <v>5</v>
      </c>
      <c r="AW694" t="s">
        <v>74</v>
      </c>
      <c r="AX694" t="s">
        <v>74</v>
      </c>
      <c r="AY694" t="s">
        <v>74</v>
      </c>
      <c r="AZ694" t="s">
        <v>74</v>
      </c>
      <c r="BA694" t="s">
        <v>74</v>
      </c>
      <c r="BB694" t="s">
        <v>74</v>
      </c>
      <c r="BC694" t="s">
        <v>74</v>
      </c>
      <c r="BD694">
        <v>426</v>
      </c>
      <c r="BE694" t="s">
        <v>13482</v>
      </c>
      <c r="BF694" t="str">
        <f>HYPERLINK("http://dx.doi.org/10.3389/fmars.2018.00426","http://dx.doi.org/10.3389/fmars.2018.00426")</f>
        <v>http://dx.doi.org/10.3389/fmars.2018.00426</v>
      </c>
      <c r="BG694" t="s">
        <v>74</v>
      </c>
      <c r="BH694" t="s">
        <v>74</v>
      </c>
      <c r="BI694">
        <v>28</v>
      </c>
      <c r="BJ694" t="s">
        <v>3360</v>
      </c>
      <c r="BK694" t="s">
        <v>101</v>
      </c>
      <c r="BL694" t="s">
        <v>3361</v>
      </c>
      <c r="BM694" t="s">
        <v>13483</v>
      </c>
      <c r="BN694" t="s">
        <v>74</v>
      </c>
      <c r="BO694" t="s">
        <v>1693</v>
      </c>
      <c r="BP694" t="s">
        <v>74</v>
      </c>
      <c r="BQ694" t="s">
        <v>74</v>
      </c>
      <c r="BR694" t="s">
        <v>104</v>
      </c>
      <c r="BS694" t="s">
        <v>13484</v>
      </c>
      <c r="BT694" t="str">
        <f>HYPERLINK("https%3A%2F%2Fwww.webofscience.com%2Fwos%2Fwoscc%2Ffull-record%2FWOS:000457483800001","View Full Record in Web of Science")</f>
        <v>View Full Record in Web of Science</v>
      </c>
    </row>
    <row r="695" spans="1:72" x14ac:dyDescent="0.15">
      <c r="A695" t="s">
        <v>72</v>
      </c>
      <c r="B695" t="s">
        <v>13485</v>
      </c>
      <c r="C695" t="s">
        <v>74</v>
      </c>
      <c r="D695" t="s">
        <v>74</v>
      </c>
      <c r="E695" t="s">
        <v>74</v>
      </c>
      <c r="F695" t="s">
        <v>13486</v>
      </c>
      <c r="G695" t="s">
        <v>74</v>
      </c>
      <c r="H695" t="s">
        <v>74</v>
      </c>
      <c r="I695" t="s">
        <v>13487</v>
      </c>
      <c r="J695" t="s">
        <v>13488</v>
      </c>
      <c r="K695" t="s">
        <v>74</v>
      </c>
      <c r="L695" t="s">
        <v>74</v>
      </c>
      <c r="M695" t="s">
        <v>78</v>
      </c>
      <c r="N695" t="s">
        <v>79</v>
      </c>
      <c r="O695" t="s">
        <v>74</v>
      </c>
      <c r="P695" t="s">
        <v>74</v>
      </c>
      <c r="Q695" t="s">
        <v>74</v>
      </c>
      <c r="R695" t="s">
        <v>74</v>
      </c>
      <c r="S695" t="s">
        <v>74</v>
      </c>
      <c r="T695" t="s">
        <v>13489</v>
      </c>
      <c r="U695" t="s">
        <v>13490</v>
      </c>
      <c r="V695" t="s">
        <v>13491</v>
      </c>
      <c r="W695" t="s">
        <v>13492</v>
      </c>
      <c r="X695" t="s">
        <v>13493</v>
      </c>
      <c r="Y695" t="s">
        <v>13494</v>
      </c>
      <c r="Z695" t="s">
        <v>13495</v>
      </c>
      <c r="AA695" t="s">
        <v>13496</v>
      </c>
      <c r="AB695" t="s">
        <v>13497</v>
      </c>
      <c r="AC695" t="s">
        <v>13498</v>
      </c>
      <c r="AD695" t="s">
        <v>13499</v>
      </c>
      <c r="AE695" t="s">
        <v>13500</v>
      </c>
      <c r="AF695" t="s">
        <v>74</v>
      </c>
      <c r="AG695">
        <v>81</v>
      </c>
      <c r="AH695">
        <v>46</v>
      </c>
      <c r="AI695">
        <v>48</v>
      </c>
      <c r="AJ695">
        <v>2</v>
      </c>
      <c r="AK695">
        <v>40</v>
      </c>
      <c r="AL695" t="s">
        <v>13501</v>
      </c>
      <c r="AM695" t="s">
        <v>4035</v>
      </c>
      <c r="AN695" t="s">
        <v>13502</v>
      </c>
      <c r="AO695" t="s">
        <v>13503</v>
      </c>
      <c r="AP695" t="s">
        <v>74</v>
      </c>
      <c r="AQ695" t="s">
        <v>74</v>
      </c>
      <c r="AR695" t="s">
        <v>13504</v>
      </c>
      <c r="AS695" t="s">
        <v>13505</v>
      </c>
      <c r="AT695" t="s">
        <v>13481</v>
      </c>
      <c r="AU695">
        <v>2018</v>
      </c>
      <c r="AV695">
        <v>115</v>
      </c>
      <c r="AW695">
        <v>47</v>
      </c>
      <c r="AX695" t="s">
        <v>74</v>
      </c>
      <c r="AY695" t="s">
        <v>74</v>
      </c>
      <c r="AZ695" t="s">
        <v>74</v>
      </c>
      <c r="BA695" t="s">
        <v>74</v>
      </c>
      <c r="BB695" t="s">
        <v>13506</v>
      </c>
      <c r="BC695" t="s">
        <v>13507</v>
      </c>
      <c r="BD695" t="s">
        <v>74</v>
      </c>
      <c r="BE695" t="s">
        <v>13508</v>
      </c>
      <c r="BF695" t="str">
        <f>HYPERLINK("http://dx.doi.org/10.1073/pnas.1802573115","http://dx.doi.org/10.1073/pnas.1802573115")</f>
        <v>http://dx.doi.org/10.1073/pnas.1802573115</v>
      </c>
      <c r="BG695" t="s">
        <v>74</v>
      </c>
      <c r="BH695" t="s">
        <v>74</v>
      </c>
      <c r="BI695">
        <v>10</v>
      </c>
      <c r="BJ695" t="s">
        <v>855</v>
      </c>
      <c r="BK695" t="s">
        <v>101</v>
      </c>
      <c r="BL695" t="s">
        <v>856</v>
      </c>
      <c r="BM695" t="s">
        <v>13509</v>
      </c>
      <c r="BN695">
        <v>30385629</v>
      </c>
      <c r="BO695" t="s">
        <v>13510</v>
      </c>
      <c r="BP695" t="s">
        <v>74</v>
      </c>
      <c r="BQ695" t="s">
        <v>74</v>
      </c>
      <c r="BR695" t="s">
        <v>104</v>
      </c>
      <c r="BS695" t="s">
        <v>13511</v>
      </c>
      <c r="BT695" t="str">
        <f>HYPERLINK("https%3A%2F%2Fwww.webofscience.com%2Fwos%2Fwoscc%2Ffull-record%2FWOS:000450642800005","View Full Record in Web of Science")</f>
        <v>View Full Record in Web of Science</v>
      </c>
    </row>
    <row r="696" spans="1:72" x14ac:dyDescent="0.15">
      <c r="A696" t="s">
        <v>72</v>
      </c>
      <c r="B696" t="s">
        <v>13512</v>
      </c>
      <c r="C696" t="s">
        <v>74</v>
      </c>
      <c r="D696" t="s">
        <v>74</v>
      </c>
      <c r="E696" t="s">
        <v>74</v>
      </c>
      <c r="F696" t="s">
        <v>13513</v>
      </c>
      <c r="G696" t="s">
        <v>74</v>
      </c>
      <c r="H696" t="s">
        <v>74</v>
      </c>
      <c r="I696" t="s">
        <v>13514</v>
      </c>
      <c r="J696" t="s">
        <v>13515</v>
      </c>
      <c r="K696" t="s">
        <v>74</v>
      </c>
      <c r="L696" t="s">
        <v>74</v>
      </c>
      <c r="M696" t="s">
        <v>78</v>
      </c>
      <c r="N696" t="s">
        <v>79</v>
      </c>
      <c r="O696" t="s">
        <v>74</v>
      </c>
      <c r="P696" t="s">
        <v>74</v>
      </c>
      <c r="Q696" t="s">
        <v>74</v>
      </c>
      <c r="R696" t="s">
        <v>74</v>
      </c>
      <c r="S696" t="s">
        <v>74</v>
      </c>
      <c r="T696" t="s">
        <v>13516</v>
      </c>
      <c r="U696" t="s">
        <v>13517</v>
      </c>
      <c r="V696" t="s">
        <v>13518</v>
      </c>
      <c r="W696" t="s">
        <v>13519</v>
      </c>
      <c r="X696" t="s">
        <v>13520</v>
      </c>
      <c r="Y696" t="s">
        <v>13521</v>
      </c>
      <c r="Z696" t="s">
        <v>13522</v>
      </c>
      <c r="AA696" t="s">
        <v>74</v>
      </c>
      <c r="AB696" t="s">
        <v>13523</v>
      </c>
      <c r="AC696" t="s">
        <v>13524</v>
      </c>
      <c r="AD696" t="s">
        <v>13525</v>
      </c>
      <c r="AE696" t="s">
        <v>13526</v>
      </c>
      <c r="AF696" t="s">
        <v>74</v>
      </c>
      <c r="AG696">
        <v>49</v>
      </c>
      <c r="AH696">
        <v>30</v>
      </c>
      <c r="AI696">
        <v>31</v>
      </c>
      <c r="AJ696">
        <v>3</v>
      </c>
      <c r="AK696">
        <v>15</v>
      </c>
      <c r="AL696" t="s">
        <v>7949</v>
      </c>
      <c r="AM696" t="s">
        <v>7950</v>
      </c>
      <c r="AN696" t="s">
        <v>7951</v>
      </c>
      <c r="AO696" t="s">
        <v>13527</v>
      </c>
      <c r="AP696" t="s">
        <v>74</v>
      </c>
      <c r="AQ696" t="s">
        <v>74</v>
      </c>
      <c r="AR696" t="s">
        <v>13528</v>
      </c>
      <c r="AS696" t="s">
        <v>13529</v>
      </c>
      <c r="AT696" t="s">
        <v>13481</v>
      </c>
      <c r="AU696">
        <v>2018</v>
      </c>
      <c r="AV696">
        <v>9</v>
      </c>
      <c r="AW696" t="s">
        <v>74</v>
      </c>
      <c r="AX696" t="s">
        <v>74</v>
      </c>
      <c r="AY696" t="s">
        <v>74</v>
      </c>
      <c r="AZ696" t="s">
        <v>74</v>
      </c>
      <c r="BA696" t="s">
        <v>74</v>
      </c>
      <c r="BB696" t="s">
        <v>74</v>
      </c>
      <c r="BC696" t="s">
        <v>74</v>
      </c>
      <c r="BD696">
        <v>2235</v>
      </c>
      <c r="BE696" t="s">
        <v>13530</v>
      </c>
      <c r="BF696" t="str">
        <f>HYPERLINK("http://dx.doi.org/10.3389/fpsyg.2018.02235","http://dx.doi.org/10.3389/fpsyg.2018.02235")</f>
        <v>http://dx.doi.org/10.3389/fpsyg.2018.02235</v>
      </c>
      <c r="BG696" t="s">
        <v>74</v>
      </c>
      <c r="BH696" t="s">
        <v>74</v>
      </c>
      <c r="BI696">
        <v>8</v>
      </c>
      <c r="BJ696" t="s">
        <v>13531</v>
      </c>
      <c r="BK696" t="s">
        <v>10505</v>
      </c>
      <c r="BL696" t="s">
        <v>13532</v>
      </c>
      <c r="BM696" t="s">
        <v>13533</v>
      </c>
      <c r="BN696">
        <v>30524340</v>
      </c>
      <c r="BO696" t="s">
        <v>221</v>
      </c>
      <c r="BP696" t="s">
        <v>74</v>
      </c>
      <c r="BQ696" t="s">
        <v>74</v>
      </c>
      <c r="BR696" t="s">
        <v>104</v>
      </c>
      <c r="BS696" t="s">
        <v>13534</v>
      </c>
      <c r="BT696" t="str">
        <f>HYPERLINK("https%3A%2F%2Fwww.webofscience.com%2Fwos%2Fwoscc%2Ffull-record%2FWOS:000450678600001","View Full Record in Web of Science")</f>
        <v>View Full Record in Web of Science</v>
      </c>
    </row>
    <row r="697" spans="1:72" x14ac:dyDescent="0.15">
      <c r="A697" t="s">
        <v>72</v>
      </c>
      <c r="B697" t="s">
        <v>13535</v>
      </c>
      <c r="C697" t="s">
        <v>74</v>
      </c>
      <c r="D697" t="s">
        <v>74</v>
      </c>
      <c r="E697" t="s">
        <v>74</v>
      </c>
      <c r="F697" t="s">
        <v>13536</v>
      </c>
      <c r="G697" t="s">
        <v>74</v>
      </c>
      <c r="H697" t="s">
        <v>74</v>
      </c>
      <c r="I697" t="s">
        <v>13537</v>
      </c>
      <c r="J697" t="s">
        <v>13538</v>
      </c>
      <c r="K697" t="s">
        <v>74</v>
      </c>
      <c r="L697" t="s">
        <v>74</v>
      </c>
      <c r="M697" t="s">
        <v>78</v>
      </c>
      <c r="N697" t="s">
        <v>79</v>
      </c>
      <c r="O697" t="s">
        <v>74</v>
      </c>
      <c r="P697" t="s">
        <v>74</v>
      </c>
      <c r="Q697" t="s">
        <v>74</v>
      </c>
      <c r="R697" t="s">
        <v>74</v>
      </c>
      <c r="S697" t="s">
        <v>74</v>
      </c>
      <c r="T697" t="s">
        <v>74</v>
      </c>
      <c r="U697" t="s">
        <v>13539</v>
      </c>
      <c r="V697" t="s">
        <v>13540</v>
      </c>
      <c r="W697" t="s">
        <v>13541</v>
      </c>
      <c r="X697" t="s">
        <v>84</v>
      </c>
      <c r="Y697" t="s">
        <v>13542</v>
      </c>
      <c r="Z697" t="s">
        <v>13543</v>
      </c>
      <c r="AA697" t="s">
        <v>13544</v>
      </c>
      <c r="AB697" t="s">
        <v>13545</v>
      </c>
      <c r="AC697" t="s">
        <v>13546</v>
      </c>
      <c r="AD697" t="s">
        <v>13547</v>
      </c>
      <c r="AE697" t="s">
        <v>13548</v>
      </c>
      <c r="AF697" t="s">
        <v>74</v>
      </c>
      <c r="AG697">
        <v>55</v>
      </c>
      <c r="AH697">
        <v>18</v>
      </c>
      <c r="AI697">
        <v>18</v>
      </c>
      <c r="AJ697">
        <v>1</v>
      </c>
      <c r="AK697">
        <v>10</v>
      </c>
      <c r="AL697" t="s">
        <v>7866</v>
      </c>
      <c r="AM697" t="s">
        <v>7867</v>
      </c>
      <c r="AN697" t="s">
        <v>7868</v>
      </c>
      <c r="AO697" t="s">
        <v>13549</v>
      </c>
      <c r="AP697" t="s">
        <v>13550</v>
      </c>
      <c r="AQ697" t="s">
        <v>74</v>
      </c>
      <c r="AR697" t="s">
        <v>13538</v>
      </c>
      <c r="AS697" t="s">
        <v>13551</v>
      </c>
      <c r="AT697" t="s">
        <v>13552</v>
      </c>
      <c r="AU697">
        <v>2018</v>
      </c>
      <c r="AV697">
        <v>9</v>
      </c>
      <c r="AW697">
        <v>6</v>
      </c>
      <c r="AX697" t="s">
        <v>74</v>
      </c>
      <c r="AY697" t="s">
        <v>74</v>
      </c>
      <c r="AZ697" t="s">
        <v>74</v>
      </c>
      <c r="BA697" t="s">
        <v>74</v>
      </c>
      <c r="BB697">
        <v>1329</v>
      </c>
      <c r="BC697">
        <v>1339</v>
      </c>
      <c r="BD697" t="s">
        <v>74</v>
      </c>
      <c r="BE697" t="s">
        <v>13553</v>
      </c>
      <c r="BF697" t="str">
        <f>HYPERLINK("http://dx.doi.org/10.5194/se-9-1329-2018","http://dx.doi.org/10.5194/se-9-1329-2018")</f>
        <v>http://dx.doi.org/10.5194/se-9-1329-2018</v>
      </c>
      <c r="BG697" t="s">
        <v>74</v>
      </c>
      <c r="BH697" t="s">
        <v>74</v>
      </c>
      <c r="BI697">
        <v>11</v>
      </c>
      <c r="BJ697" t="s">
        <v>746</v>
      </c>
      <c r="BK697" t="s">
        <v>101</v>
      </c>
      <c r="BL697" t="s">
        <v>746</v>
      </c>
      <c r="BM697" t="s">
        <v>13554</v>
      </c>
      <c r="BN697" t="s">
        <v>74</v>
      </c>
      <c r="BO697" t="s">
        <v>1556</v>
      </c>
      <c r="BP697" t="s">
        <v>74</v>
      </c>
      <c r="BQ697" t="s">
        <v>74</v>
      </c>
      <c r="BR697" t="s">
        <v>104</v>
      </c>
      <c r="BS697" t="s">
        <v>13555</v>
      </c>
      <c r="BT697" t="str">
        <f>HYPERLINK("https%3A%2F%2Fwww.webofscience.com%2Fwos%2Fwoscc%2Ffull-record%2FWOS:000450430800001","View Full Record in Web of Science")</f>
        <v>View Full Record in Web of Science</v>
      </c>
    </row>
    <row r="698" spans="1:72" x14ac:dyDescent="0.15">
      <c r="A698" t="s">
        <v>72</v>
      </c>
      <c r="B698" t="s">
        <v>13556</v>
      </c>
      <c r="C698" t="s">
        <v>74</v>
      </c>
      <c r="D698" t="s">
        <v>74</v>
      </c>
      <c r="E698" t="s">
        <v>74</v>
      </c>
      <c r="F698" t="s">
        <v>13557</v>
      </c>
      <c r="G698" t="s">
        <v>74</v>
      </c>
      <c r="H698" t="s">
        <v>74</v>
      </c>
      <c r="I698" t="s">
        <v>13558</v>
      </c>
      <c r="J698" t="s">
        <v>8100</v>
      </c>
      <c r="K698" t="s">
        <v>74</v>
      </c>
      <c r="L698" t="s">
        <v>74</v>
      </c>
      <c r="M698" t="s">
        <v>78</v>
      </c>
      <c r="N698" t="s">
        <v>79</v>
      </c>
      <c r="O698" t="s">
        <v>74</v>
      </c>
      <c r="P698" t="s">
        <v>74</v>
      </c>
      <c r="Q698" t="s">
        <v>74</v>
      </c>
      <c r="R698" t="s">
        <v>74</v>
      </c>
      <c r="S698" t="s">
        <v>74</v>
      </c>
      <c r="T698" t="s">
        <v>74</v>
      </c>
      <c r="U698" t="s">
        <v>13559</v>
      </c>
      <c r="V698" t="s">
        <v>13560</v>
      </c>
      <c r="W698" t="s">
        <v>13561</v>
      </c>
      <c r="X698" t="s">
        <v>13562</v>
      </c>
      <c r="Y698" t="s">
        <v>13563</v>
      </c>
      <c r="Z698" t="s">
        <v>13564</v>
      </c>
      <c r="AA698" t="s">
        <v>13565</v>
      </c>
      <c r="AB698" t="s">
        <v>13566</v>
      </c>
      <c r="AC698" t="s">
        <v>13567</v>
      </c>
      <c r="AD698" t="s">
        <v>13568</v>
      </c>
      <c r="AE698" t="s">
        <v>13569</v>
      </c>
      <c r="AF698" t="s">
        <v>74</v>
      </c>
      <c r="AG698">
        <v>42</v>
      </c>
      <c r="AH698">
        <v>15</v>
      </c>
      <c r="AI698">
        <v>15</v>
      </c>
      <c r="AJ698">
        <v>0</v>
      </c>
      <c r="AK698">
        <v>11</v>
      </c>
      <c r="AL698" t="s">
        <v>7866</v>
      </c>
      <c r="AM698" t="s">
        <v>7867</v>
      </c>
      <c r="AN698" t="s">
        <v>7868</v>
      </c>
      <c r="AO698" t="s">
        <v>8112</v>
      </c>
      <c r="AP698" t="s">
        <v>8113</v>
      </c>
      <c r="AQ698" t="s">
        <v>74</v>
      </c>
      <c r="AR698" t="s">
        <v>8100</v>
      </c>
      <c r="AS698" t="s">
        <v>8114</v>
      </c>
      <c r="AT698" t="s">
        <v>13552</v>
      </c>
      <c r="AU698">
        <v>2018</v>
      </c>
      <c r="AV698">
        <v>12</v>
      </c>
      <c r="AW698">
        <v>11</v>
      </c>
      <c r="AX698" t="s">
        <v>74</v>
      </c>
      <c r="AY698" t="s">
        <v>74</v>
      </c>
      <c r="AZ698" t="s">
        <v>74</v>
      </c>
      <c r="BA698" t="s">
        <v>74</v>
      </c>
      <c r="BB698">
        <v>3565</v>
      </c>
      <c r="BC698">
        <v>3575</v>
      </c>
      <c r="BD698" t="s">
        <v>74</v>
      </c>
      <c r="BE698" t="s">
        <v>13570</v>
      </c>
      <c r="BF698" t="str">
        <f>HYPERLINK("http://dx.doi.org/10.5194/tc-12-3565-2018","http://dx.doi.org/10.5194/tc-12-3565-2018")</f>
        <v>http://dx.doi.org/10.5194/tc-12-3565-2018</v>
      </c>
      <c r="BG698" t="s">
        <v>74</v>
      </c>
      <c r="BH698" t="s">
        <v>74</v>
      </c>
      <c r="BI698">
        <v>11</v>
      </c>
      <c r="BJ698" t="s">
        <v>1480</v>
      </c>
      <c r="BK698" t="s">
        <v>101</v>
      </c>
      <c r="BL698" t="s">
        <v>1481</v>
      </c>
      <c r="BM698" t="s">
        <v>13571</v>
      </c>
      <c r="BN698" t="s">
        <v>74</v>
      </c>
      <c r="BO698" t="s">
        <v>13572</v>
      </c>
      <c r="BP698" t="s">
        <v>74</v>
      </c>
      <c r="BQ698" t="s">
        <v>74</v>
      </c>
      <c r="BR698" t="s">
        <v>104</v>
      </c>
      <c r="BS698" t="s">
        <v>13573</v>
      </c>
      <c r="BT698" t="str">
        <f>HYPERLINK("https%3A%2F%2Fwww.webofscience.com%2Fwos%2Fwoscc%2Ffull-record%2FWOS:000450432200001","View Full Record in Web of Science")</f>
        <v>View Full Record in Web of Science</v>
      </c>
    </row>
    <row r="699" spans="1:72" x14ac:dyDescent="0.15">
      <c r="A699" t="s">
        <v>72</v>
      </c>
      <c r="B699" t="s">
        <v>13574</v>
      </c>
      <c r="C699" t="s">
        <v>74</v>
      </c>
      <c r="D699" t="s">
        <v>74</v>
      </c>
      <c r="E699" t="s">
        <v>74</v>
      </c>
      <c r="F699" t="s">
        <v>13575</v>
      </c>
      <c r="G699" t="s">
        <v>74</v>
      </c>
      <c r="H699" t="s">
        <v>74</v>
      </c>
      <c r="I699" t="s">
        <v>13576</v>
      </c>
      <c r="J699" t="s">
        <v>13577</v>
      </c>
      <c r="K699" t="s">
        <v>74</v>
      </c>
      <c r="L699" t="s">
        <v>74</v>
      </c>
      <c r="M699" t="s">
        <v>78</v>
      </c>
      <c r="N699" t="s">
        <v>79</v>
      </c>
      <c r="O699" t="s">
        <v>74</v>
      </c>
      <c r="P699" t="s">
        <v>74</v>
      </c>
      <c r="Q699" t="s">
        <v>74</v>
      </c>
      <c r="R699" t="s">
        <v>74</v>
      </c>
      <c r="S699" t="s">
        <v>74</v>
      </c>
      <c r="T699" t="s">
        <v>13578</v>
      </c>
      <c r="U699" t="s">
        <v>13579</v>
      </c>
      <c r="V699" t="s">
        <v>13580</v>
      </c>
      <c r="W699" t="s">
        <v>13581</v>
      </c>
      <c r="X699" t="s">
        <v>13582</v>
      </c>
      <c r="Y699" t="s">
        <v>13583</v>
      </c>
      <c r="Z699" t="s">
        <v>13584</v>
      </c>
      <c r="AA699" t="s">
        <v>13585</v>
      </c>
      <c r="AB699" t="s">
        <v>13586</v>
      </c>
      <c r="AC699" t="s">
        <v>13587</v>
      </c>
      <c r="AD699" t="s">
        <v>13587</v>
      </c>
      <c r="AE699" t="s">
        <v>13588</v>
      </c>
      <c r="AF699" t="s">
        <v>74</v>
      </c>
      <c r="AG699">
        <v>38</v>
      </c>
      <c r="AH699">
        <v>8</v>
      </c>
      <c r="AI699">
        <v>8</v>
      </c>
      <c r="AJ699">
        <v>1</v>
      </c>
      <c r="AK699">
        <v>10</v>
      </c>
      <c r="AL699" t="s">
        <v>210</v>
      </c>
      <c r="AM699" t="s">
        <v>211</v>
      </c>
      <c r="AN699" t="s">
        <v>212</v>
      </c>
      <c r="AO699" t="s">
        <v>13589</v>
      </c>
      <c r="AP699" t="s">
        <v>13590</v>
      </c>
      <c r="AQ699" t="s">
        <v>74</v>
      </c>
      <c r="AR699" t="s">
        <v>13591</v>
      </c>
      <c r="AS699" t="s">
        <v>13592</v>
      </c>
      <c r="AT699" t="s">
        <v>13593</v>
      </c>
      <c r="AU699">
        <v>2018</v>
      </c>
      <c r="AV699">
        <v>78</v>
      </c>
      <c r="AW699" t="s">
        <v>13594</v>
      </c>
      <c r="AX699" t="s">
        <v>74</v>
      </c>
      <c r="AY699" t="s">
        <v>74</v>
      </c>
      <c r="AZ699" t="s">
        <v>74</v>
      </c>
      <c r="BA699" t="s">
        <v>74</v>
      </c>
      <c r="BB699">
        <v>527</v>
      </c>
      <c r="BC699">
        <v>532</v>
      </c>
      <c r="BD699" t="s">
        <v>74</v>
      </c>
      <c r="BE699" t="s">
        <v>13595</v>
      </c>
      <c r="BF699" t="str">
        <f>HYPERLINK("http://dx.doi.org/10.1080/00365513.2018.1512716","http://dx.doi.org/10.1080/00365513.2018.1512716")</f>
        <v>http://dx.doi.org/10.1080/00365513.2018.1512716</v>
      </c>
      <c r="BG699" t="s">
        <v>74</v>
      </c>
      <c r="BH699" t="s">
        <v>74</v>
      </c>
      <c r="BI699">
        <v>6</v>
      </c>
      <c r="BJ699" t="s">
        <v>13596</v>
      </c>
      <c r="BK699" t="s">
        <v>101</v>
      </c>
      <c r="BL699" t="s">
        <v>13597</v>
      </c>
      <c r="BM699" t="s">
        <v>13598</v>
      </c>
      <c r="BN699">
        <v>30261756</v>
      </c>
      <c r="BO699" t="s">
        <v>74</v>
      </c>
      <c r="BP699" t="s">
        <v>74</v>
      </c>
      <c r="BQ699" t="s">
        <v>74</v>
      </c>
      <c r="BR699" t="s">
        <v>104</v>
      </c>
      <c r="BS699" t="s">
        <v>13599</v>
      </c>
      <c r="BT699" t="str">
        <f>HYPERLINK("https%3A%2F%2Fwww.webofscience.com%2Fwos%2Fwoscc%2Ffull-record%2FWOS:000454770900001","View Full Record in Web of Science")</f>
        <v>View Full Record in Web of Science</v>
      </c>
    </row>
    <row r="700" spans="1:72" x14ac:dyDescent="0.15">
      <c r="A700" t="s">
        <v>72</v>
      </c>
      <c r="B700" t="s">
        <v>13600</v>
      </c>
      <c r="C700" t="s">
        <v>74</v>
      </c>
      <c r="D700" t="s">
        <v>74</v>
      </c>
      <c r="E700" t="s">
        <v>74</v>
      </c>
      <c r="F700" t="s">
        <v>13601</v>
      </c>
      <c r="G700" t="s">
        <v>74</v>
      </c>
      <c r="H700" t="s">
        <v>74</v>
      </c>
      <c r="I700" t="s">
        <v>13602</v>
      </c>
      <c r="J700" t="s">
        <v>13603</v>
      </c>
      <c r="K700" t="s">
        <v>74</v>
      </c>
      <c r="L700" t="s">
        <v>74</v>
      </c>
      <c r="M700" t="s">
        <v>78</v>
      </c>
      <c r="N700" t="s">
        <v>79</v>
      </c>
      <c r="O700" t="s">
        <v>74</v>
      </c>
      <c r="P700" t="s">
        <v>74</v>
      </c>
      <c r="Q700" t="s">
        <v>74</v>
      </c>
      <c r="R700" t="s">
        <v>74</v>
      </c>
      <c r="S700" t="s">
        <v>74</v>
      </c>
      <c r="T700" t="s">
        <v>13604</v>
      </c>
      <c r="U700" t="s">
        <v>13605</v>
      </c>
      <c r="V700" t="s">
        <v>13606</v>
      </c>
      <c r="W700" t="s">
        <v>13607</v>
      </c>
      <c r="X700" t="s">
        <v>13608</v>
      </c>
      <c r="Y700" t="s">
        <v>13609</v>
      </c>
      <c r="Z700" t="s">
        <v>13610</v>
      </c>
      <c r="AA700" t="s">
        <v>13611</v>
      </c>
      <c r="AB700" t="s">
        <v>13612</v>
      </c>
      <c r="AC700" t="s">
        <v>13613</v>
      </c>
      <c r="AD700" t="s">
        <v>13614</v>
      </c>
      <c r="AE700" t="s">
        <v>13615</v>
      </c>
      <c r="AF700" t="s">
        <v>74</v>
      </c>
      <c r="AG700">
        <v>78</v>
      </c>
      <c r="AH700">
        <v>17</v>
      </c>
      <c r="AI700">
        <v>20</v>
      </c>
      <c r="AJ700">
        <v>3</v>
      </c>
      <c r="AK700">
        <v>18</v>
      </c>
      <c r="AL700" t="s">
        <v>13616</v>
      </c>
      <c r="AM700" t="s">
        <v>3008</v>
      </c>
      <c r="AN700" t="s">
        <v>13617</v>
      </c>
      <c r="AO700" t="s">
        <v>13618</v>
      </c>
      <c r="AP700" t="s">
        <v>74</v>
      </c>
      <c r="AQ700" t="s">
        <v>74</v>
      </c>
      <c r="AR700" t="s">
        <v>13619</v>
      </c>
      <c r="AS700" t="s">
        <v>13620</v>
      </c>
      <c r="AT700" t="s">
        <v>13593</v>
      </c>
      <c r="AU700">
        <v>2018</v>
      </c>
      <c r="AV700">
        <v>17</v>
      </c>
      <c r="AW700" t="s">
        <v>74</v>
      </c>
      <c r="AX700" t="s">
        <v>74</v>
      </c>
      <c r="AY700" t="s">
        <v>74</v>
      </c>
      <c r="AZ700" t="s">
        <v>74</v>
      </c>
      <c r="BA700" t="s">
        <v>74</v>
      </c>
      <c r="BB700" t="s">
        <v>74</v>
      </c>
      <c r="BC700" t="s">
        <v>74</v>
      </c>
      <c r="BD700">
        <v>179</v>
      </c>
      <c r="BE700" t="s">
        <v>13621</v>
      </c>
      <c r="BF700" t="str">
        <f>HYPERLINK("http://dx.doi.org/10.1186/s12934-018-1024-6","http://dx.doi.org/10.1186/s12934-018-1024-6")</f>
        <v>http://dx.doi.org/10.1186/s12934-018-1024-6</v>
      </c>
      <c r="BG700" t="s">
        <v>74</v>
      </c>
      <c r="BH700" t="s">
        <v>74</v>
      </c>
      <c r="BI700">
        <v>14</v>
      </c>
      <c r="BJ700" t="s">
        <v>3271</v>
      </c>
      <c r="BK700" t="s">
        <v>101</v>
      </c>
      <c r="BL700" t="s">
        <v>3271</v>
      </c>
      <c r="BM700" t="s">
        <v>13622</v>
      </c>
      <c r="BN700">
        <v>30445965</v>
      </c>
      <c r="BO700" t="s">
        <v>270</v>
      </c>
      <c r="BP700" t="s">
        <v>74</v>
      </c>
      <c r="BQ700" t="s">
        <v>74</v>
      </c>
      <c r="BR700" t="s">
        <v>104</v>
      </c>
      <c r="BS700" t="s">
        <v>13623</v>
      </c>
      <c r="BT700" t="str">
        <f>HYPERLINK("https%3A%2F%2Fwww.webofscience.com%2Fwos%2Fwoscc%2Ffull-record%2FWOS:000450526700001","View Full Record in Web of Science")</f>
        <v>View Full Record in Web of Science</v>
      </c>
    </row>
    <row r="701" spans="1:72" x14ac:dyDescent="0.15">
      <c r="A701" t="s">
        <v>72</v>
      </c>
      <c r="B701" t="s">
        <v>13624</v>
      </c>
      <c r="C701" t="s">
        <v>74</v>
      </c>
      <c r="D701" t="s">
        <v>74</v>
      </c>
      <c r="E701" t="s">
        <v>74</v>
      </c>
      <c r="F701" t="s">
        <v>13625</v>
      </c>
      <c r="G701" t="s">
        <v>74</v>
      </c>
      <c r="H701" t="s">
        <v>74</v>
      </c>
      <c r="I701" t="s">
        <v>13626</v>
      </c>
      <c r="J701" t="s">
        <v>8449</v>
      </c>
      <c r="K701" t="s">
        <v>74</v>
      </c>
      <c r="L701" t="s">
        <v>74</v>
      </c>
      <c r="M701" t="s">
        <v>78</v>
      </c>
      <c r="N701" t="s">
        <v>1003</v>
      </c>
      <c r="O701" t="s">
        <v>74</v>
      </c>
      <c r="P701" t="s">
        <v>74</v>
      </c>
      <c r="Q701" t="s">
        <v>74</v>
      </c>
      <c r="R701" t="s">
        <v>74</v>
      </c>
      <c r="S701" t="s">
        <v>74</v>
      </c>
      <c r="T701" t="s">
        <v>13627</v>
      </c>
      <c r="U701" t="s">
        <v>13628</v>
      </c>
      <c r="V701" t="s">
        <v>13629</v>
      </c>
      <c r="W701" t="s">
        <v>13630</v>
      </c>
      <c r="X701" t="s">
        <v>13631</v>
      </c>
      <c r="Y701" t="s">
        <v>13632</v>
      </c>
      <c r="Z701" t="s">
        <v>13633</v>
      </c>
      <c r="AA701" t="s">
        <v>74</v>
      </c>
      <c r="AB701" t="s">
        <v>13634</v>
      </c>
      <c r="AC701" t="s">
        <v>74</v>
      </c>
      <c r="AD701" t="s">
        <v>74</v>
      </c>
      <c r="AE701" t="s">
        <v>74</v>
      </c>
      <c r="AF701" t="s">
        <v>74</v>
      </c>
      <c r="AG701">
        <v>49</v>
      </c>
      <c r="AH701">
        <v>25</v>
      </c>
      <c r="AI701">
        <v>25</v>
      </c>
      <c r="AJ701">
        <v>0</v>
      </c>
      <c r="AK701">
        <v>14</v>
      </c>
      <c r="AL701" t="s">
        <v>7949</v>
      </c>
      <c r="AM701" t="s">
        <v>7950</v>
      </c>
      <c r="AN701" t="s">
        <v>7951</v>
      </c>
      <c r="AO701" t="s">
        <v>74</v>
      </c>
      <c r="AP701" t="s">
        <v>8462</v>
      </c>
      <c r="AQ701" t="s">
        <v>74</v>
      </c>
      <c r="AR701" t="s">
        <v>8463</v>
      </c>
      <c r="AS701" t="s">
        <v>8464</v>
      </c>
      <c r="AT701" t="s">
        <v>13635</v>
      </c>
      <c r="AU701">
        <v>2018</v>
      </c>
      <c r="AV701">
        <v>5</v>
      </c>
      <c r="AW701" t="s">
        <v>74</v>
      </c>
      <c r="AX701" t="s">
        <v>74</v>
      </c>
      <c r="AY701" t="s">
        <v>74</v>
      </c>
      <c r="AZ701" t="s">
        <v>74</v>
      </c>
      <c r="BA701" t="s">
        <v>74</v>
      </c>
      <c r="BB701" t="s">
        <v>74</v>
      </c>
      <c r="BC701" t="s">
        <v>74</v>
      </c>
      <c r="BD701">
        <v>428</v>
      </c>
      <c r="BE701" t="s">
        <v>13636</v>
      </c>
      <c r="BF701" t="str">
        <f>HYPERLINK("http://dx.doi.org/10.3389/fmars.2018.00428","http://dx.doi.org/10.3389/fmars.2018.00428")</f>
        <v>http://dx.doi.org/10.3389/fmars.2018.00428</v>
      </c>
      <c r="BG701" t="s">
        <v>74</v>
      </c>
      <c r="BH701" t="s">
        <v>74</v>
      </c>
      <c r="BI701">
        <v>8</v>
      </c>
      <c r="BJ701" t="s">
        <v>3360</v>
      </c>
      <c r="BK701" t="s">
        <v>101</v>
      </c>
      <c r="BL701" t="s">
        <v>3361</v>
      </c>
      <c r="BM701" t="s">
        <v>13637</v>
      </c>
      <c r="BN701" t="s">
        <v>74</v>
      </c>
      <c r="BO701" t="s">
        <v>193</v>
      </c>
      <c r="BP701" t="s">
        <v>74</v>
      </c>
      <c r="BQ701" t="s">
        <v>74</v>
      </c>
      <c r="BR701" t="s">
        <v>104</v>
      </c>
      <c r="BS701" t="s">
        <v>13638</v>
      </c>
      <c r="BT701" t="str">
        <f>HYPERLINK("https%3A%2F%2Fwww.webofscience.com%2Fwos%2Fwoscc%2Ffull-record%2FWOS:000457484900001","View Full Record in Web of Science")</f>
        <v>View Full Record in Web of Science</v>
      </c>
    </row>
    <row r="702" spans="1:72" x14ac:dyDescent="0.15">
      <c r="A702" t="s">
        <v>72</v>
      </c>
      <c r="B702" t="s">
        <v>13639</v>
      </c>
      <c r="C702" t="s">
        <v>74</v>
      </c>
      <c r="D702" t="s">
        <v>74</v>
      </c>
      <c r="E702" t="s">
        <v>74</v>
      </c>
      <c r="F702" t="s">
        <v>13640</v>
      </c>
      <c r="G702" t="s">
        <v>74</v>
      </c>
      <c r="H702" t="s">
        <v>74</v>
      </c>
      <c r="I702" t="s">
        <v>13641</v>
      </c>
      <c r="J702" t="s">
        <v>7735</v>
      </c>
      <c r="K702" t="s">
        <v>74</v>
      </c>
      <c r="L702" t="s">
        <v>74</v>
      </c>
      <c r="M702" t="s">
        <v>78</v>
      </c>
      <c r="N702" t="s">
        <v>79</v>
      </c>
      <c r="O702" t="s">
        <v>74</v>
      </c>
      <c r="P702" t="s">
        <v>74</v>
      </c>
      <c r="Q702" t="s">
        <v>74</v>
      </c>
      <c r="R702" t="s">
        <v>74</v>
      </c>
      <c r="S702" t="s">
        <v>74</v>
      </c>
      <c r="T702" t="s">
        <v>74</v>
      </c>
      <c r="U702" t="s">
        <v>13642</v>
      </c>
      <c r="V702" t="s">
        <v>13643</v>
      </c>
      <c r="W702" t="s">
        <v>13644</v>
      </c>
      <c r="X702" t="s">
        <v>13645</v>
      </c>
      <c r="Y702" t="s">
        <v>13646</v>
      </c>
      <c r="Z702" t="s">
        <v>13647</v>
      </c>
      <c r="AA702" t="s">
        <v>13648</v>
      </c>
      <c r="AB702" t="s">
        <v>13649</v>
      </c>
      <c r="AC702" t="s">
        <v>13650</v>
      </c>
      <c r="AD702" t="s">
        <v>13651</v>
      </c>
      <c r="AE702" t="s">
        <v>13652</v>
      </c>
      <c r="AF702" t="s">
        <v>74</v>
      </c>
      <c r="AG702">
        <v>68</v>
      </c>
      <c r="AH702">
        <v>31</v>
      </c>
      <c r="AI702">
        <v>31</v>
      </c>
      <c r="AJ702">
        <v>1</v>
      </c>
      <c r="AK702">
        <v>9</v>
      </c>
      <c r="AL702" t="s">
        <v>4034</v>
      </c>
      <c r="AM702" t="s">
        <v>4035</v>
      </c>
      <c r="AN702" t="s">
        <v>4036</v>
      </c>
      <c r="AO702" t="s">
        <v>7748</v>
      </c>
      <c r="AP702" t="s">
        <v>7749</v>
      </c>
      <c r="AQ702" t="s">
        <v>74</v>
      </c>
      <c r="AR702" t="s">
        <v>7750</v>
      </c>
      <c r="AS702" t="s">
        <v>7751</v>
      </c>
      <c r="AT702" t="s">
        <v>13635</v>
      </c>
      <c r="AU702">
        <v>2018</v>
      </c>
      <c r="AV702">
        <v>45</v>
      </c>
      <c r="AW702">
        <v>21</v>
      </c>
      <c r="AX702" t="s">
        <v>74</v>
      </c>
      <c r="AY702" t="s">
        <v>74</v>
      </c>
      <c r="AZ702" t="s">
        <v>74</v>
      </c>
      <c r="BA702" t="s">
        <v>74</v>
      </c>
      <c r="BB702">
        <v>11760</v>
      </c>
      <c r="BC702">
        <v>11769</v>
      </c>
      <c r="BD702" t="s">
        <v>74</v>
      </c>
      <c r="BE702" t="s">
        <v>13653</v>
      </c>
      <c r="BF702" t="str">
        <f>HYPERLINK("http://dx.doi.org/10.1029/2018GL079734","http://dx.doi.org/10.1029/2018GL079734")</f>
        <v>http://dx.doi.org/10.1029/2018GL079734</v>
      </c>
      <c r="BG702" t="s">
        <v>74</v>
      </c>
      <c r="BH702" t="s">
        <v>74</v>
      </c>
      <c r="BI702">
        <v>10</v>
      </c>
      <c r="BJ702" t="s">
        <v>884</v>
      </c>
      <c r="BK702" t="s">
        <v>101</v>
      </c>
      <c r="BL702" t="s">
        <v>528</v>
      </c>
      <c r="BM702" t="s">
        <v>13654</v>
      </c>
      <c r="BN702" t="s">
        <v>74</v>
      </c>
      <c r="BO702" t="s">
        <v>4147</v>
      </c>
      <c r="BP702" t="s">
        <v>74</v>
      </c>
      <c r="BQ702" t="s">
        <v>74</v>
      </c>
      <c r="BR702" t="s">
        <v>104</v>
      </c>
      <c r="BS702" t="s">
        <v>13655</v>
      </c>
      <c r="BT702" t="str">
        <f>HYPERLINK("https%3A%2F%2Fwww.webofscience.com%2Fwos%2Fwoscc%2Ffull-record%2FWOS:000451832600028","View Full Record in Web of Science")</f>
        <v>View Full Record in Web of Science</v>
      </c>
    </row>
    <row r="703" spans="1:72" x14ac:dyDescent="0.15">
      <c r="A703" t="s">
        <v>72</v>
      </c>
      <c r="B703" t="s">
        <v>13656</v>
      </c>
      <c r="C703" t="s">
        <v>74</v>
      </c>
      <c r="D703" t="s">
        <v>74</v>
      </c>
      <c r="E703" t="s">
        <v>74</v>
      </c>
      <c r="F703" t="s">
        <v>13657</v>
      </c>
      <c r="G703" t="s">
        <v>74</v>
      </c>
      <c r="H703" t="s">
        <v>74</v>
      </c>
      <c r="I703" t="s">
        <v>13658</v>
      </c>
      <c r="J703" t="s">
        <v>7735</v>
      </c>
      <c r="K703" t="s">
        <v>74</v>
      </c>
      <c r="L703" t="s">
        <v>74</v>
      </c>
      <c r="M703" t="s">
        <v>78</v>
      </c>
      <c r="N703" t="s">
        <v>79</v>
      </c>
      <c r="O703" t="s">
        <v>74</v>
      </c>
      <c r="P703" t="s">
        <v>74</v>
      </c>
      <c r="Q703" t="s">
        <v>74</v>
      </c>
      <c r="R703" t="s">
        <v>74</v>
      </c>
      <c r="S703" t="s">
        <v>74</v>
      </c>
      <c r="T703" t="s">
        <v>74</v>
      </c>
      <c r="U703" t="s">
        <v>13659</v>
      </c>
      <c r="V703" t="s">
        <v>13660</v>
      </c>
      <c r="W703" t="s">
        <v>13661</v>
      </c>
      <c r="X703" t="s">
        <v>13662</v>
      </c>
      <c r="Y703" t="s">
        <v>13663</v>
      </c>
      <c r="Z703" t="s">
        <v>13664</v>
      </c>
      <c r="AA703" t="s">
        <v>74</v>
      </c>
      <c r="AB703" t="s">
        <v>13665</v>
      </c>
      <c r="AC703" t="s">
        <v>13666</v>
      </c>
      <c r="AD703" t="s">
        <v>13667</v>
      </c>
      <c r="AE703" t="s">
        <v>13668</v>
      </c>
      <c r="AF703" t="s">
        <v>74</v>
      </c>
      <c r="AG703">
        <v>24</v>
      </c>
      <c r="AH703">
        <v>15</v>
      </c>
      <c r="AI703">
        <v>15</v>
      </c>
      <c r="AJ703">
        <v>0</v>
      </c>
      <c r="AK703">
        <v>20</v>
      </c>
      <c r="AL703" t="s">
        <v>4034</v>
      </c>
      <c r="AM703" t="s">
        <v>4035</v>
      </c>
      <c r="AN703" t="s">
        <v>4036</v>
      </c>
      <c r="AO703" t="s">
        <v>7748</v>
      </c>
      <c r="AP703" t="s">
        <v>7749</v>
      </c>
      <c r="AQ703" t="s">
        <v>74</v>
      </c>
      <c r="AR703" t="s">
        <v>7750</v>
      </c>
      <c r="AS703" t="s">
        <v>7751</v>
      </c>
      <c r="AT703" t="s">
        <v>13635</v>
      </c>
      <c r="AU703">
        <v>2018</v>
      </c>
      <c r="AV703">
        <v>45</v>
      </c>
      <c r="AW703">
        <v>21</v>
      </c>
      <c r="AX703" t="s">
        <v>74</v>
      </c>
      <c r="AY703" t="s">
        <v>74</v>
      </c>
      <c r="AZ703" t="s">
        <v>74</v>
      </c>
      <c r="BA703" t="s">
        <v>74</v>
      </c>
      <c r="BB703">
        <v>11856</v>
      </c>
      <c r="BC703">
        <v>11865</v>
      </c>
      <c r="BD703" t="s">
        <v>74</v>
      </c>
      <c r="BE703" t="s">
        <v>13669</v>
      </c>
      <c r="BF703" t="str">
        <f>HYPERLINK("http://dx.doi.org/10.1029/2018GL080678","http://dx.doi.org/10.1029/2018GL080678")</f>
        <v>http://dx.doi.org/10.1029/2018GL080678</v>
      </c>
      <c r="BG703" t="s">
        <v>74</v>
      </c>
      <c r="BH703" t="s">
        <v>74</v>
      </c>
      <c r="BI703">
        <v>10</v>
      </c>
      <c r="BJ703" t="s">
        <v>884</v>
      </c>
      <c r="BK703" t="s">
        <v>101</v>
      </c>
      <c r="BL703" t="s">
        <v>528</v>
      </c>
      <c r="BM703" t="s">
        <v>13654</v>
      </c>
      <c r="BN703" t="s">
        <v>74</v>
      </c>
      <c r="BO703" t="s">
        <v>162</v>
      </c>
      <c r="BP703" t="s">
        <v>74</v>
      </c>
      <c r="BQ703" t="s">
        <v>74</v>
      </c>
      <c r="BR703" t="s">
        <v>104</v>
      </c>
      <c r="BS703" t="s">
        <v>13670</v>
      </c>
      <c r="BT703" t="str">
        <f>HYPERLINK("https%3A%2F%2Fwww.webofscience.com%2Fwos%2Fwoscc%2Ffull-record%2FWOS:000451832600038","View Full Record in Web of Science")</f>
        <v>View Full Record in Web of Science</v>
      </c>
    </row>
    <row r="704" spans="1:72" x14ac:dyDescent="0.15">
      <c r="A704" t="s">
        <v>72</v>
      </c>
      <c r="B704" t="s">
        <v>13671</v>
      </c>
      <c r="C704" t="s">
        <v>74</v>
      </c>
      <c r="D704" t="s">
        <v>74</v>
      </c>
      <c r="E704" t="s">
        <v>74</v>
      </c>
      <c r="F704" t="s">
        <v>13672</v>
      </c>
      <c r="G704" t="s">
        <v>74</v>
      </c>
      <c r="H704" t="s">
        <v>74</v>
      </c>
      <c r="I704" t="s">
        <v>13673</v>
      </c>
      <c r="J704" t="s">
        <v>7735</v>
      </c>
      <c r="K704" t="s">
        <v>74</v>
      </c>
      <c r="L704" t="s">
        <v>74</v>
      </c>
      <c r="M704" t="s">
        <v>78</v>
      </c>
      <c r="N704" t="s">
        <v>79</v>
      </c>
      <c r="O704" t="s">
        <v>74</v>
      </c>
      <c r="P704" t="s">
        <v>74</v>
      </c>
      <c r="Q704" t="s">
        <v>74</v>
      </c>
      <c r="R704" t="s">
        <v>74</v>
      </c>
      <c r="S704" t="s">
        <v>74</v>
      </c>
      <c r="T704" t="s">
        <v>74</v>
      </c>
      <c r="U704" t="s">
        <v>13674</v>
      </c>
      <c r="V704" t="s">
        <v>13675</v>
      </c>
      <c r="W704" t="s">
        <v>13676</v>
      </c>
      <c r="X704" t="s">
        <v>13677</v>
      </c>
      <c r="Y704" t="s">
        <v>13678</v>
      </c>
      <c r="Z704" t="s">
        <v>13679</v>
      </c>
      <c r="AA704" t="s">
        <v>13680</v>
      </c>
      <c r="AB704" t="s">
        <v>13681</v>
      </c>
      <c r="AC704" t="s">
        <v>13682</v>
      </c>
      <c r="AD704" t="s">
        <v>13683</v>
      </c>
      <c r="AE704" t="s">
        <v>13684</v>
      </c>
      <c r="AF704" t="s">
        <v>74</v>
      </c>
      <c r="AG704">
        <v>44</v>
      </c>
      <c r="AH704">
        <v>4</v>
      </c>
      <c r="AI704">
        <v>4</v>
      </c>
      <c r="AJ704">
        <v>0</v>
      </c>
      <c r="AK704">
        <v>5</v>
      </c>
      <c r="AL704" t="s">
        <v>4034</v>
      </c>
      <c r="AM704" t="s">
        <v>4035</v>
      </c>
      <c r="AN704" t="s">
        <v>4036</v>
      </c>
      <c r="AO704" t="s">
        <v>7748</v>
      </c>
      <c r="AP704" t="s">
        <v>7749</v>
      </c>
      <c r="AQ704" t="s">
        <v>74</v>
      </c>
      <c r="AR704" t="s">
        <v>7750</v>
      </c>
      <c r="AS704" t="s">
        <v>7751</v>
      </c>
      <c r="AT704" t="s">
        <v>13635</v>
      </c>
      <c r="AU704">
        <v>2018</v>
      </c>
      <c r="AV704">
        <v>45</v>
      </c>
      <c r="AW704">
        <v>21</v>
      </c>
      <c r="AX704" t="s">
        <v>74</v>
      </c>
      <c r="AY704" t="s">
        <v>74</v>
      </c>
      <c r="AZ704" t="s">
        <v>74</v>
      </c>
      <c r="BA704" t="s">
        <v>74</v>
      </c>
      <c r="BB704">
        <v>11866</v>
      </c>
      <c r="BC704">
        <v>11874</v>
      </c>
      <c r="BD704" t="s">
        <v>74</v>
      </c>
      <c r="BE704" t="s">
        <v>13685</v>
      </c>
      <c r="BF704" t="str">
        <f>HYPERLINK("http://dx.doi.org/10.1029/2018GL078950","http://dx.doi.org/10.1029/2018GL078950")</f>
        <v>http://dx.doi.org/10.1029/2018GL078950</v>
      </c>
      <c r="BG704" t="s">
        <v>74</v>
      </c>
      <c r="BH704" t="s">
        <v>74</v>
      </c>
      <c r="BI704">
        <v>9</v>
      </c>
      <c r="BJ704" t="s">
        <v>884</v>
      </c>
      <c r="BK704" t="s">
        <v>101</v>
      </c>
      <c r="BL704" t="s">
        <v>528</v>
      </c>
      <c r="BM704" t="s">
        <v>13654</v>
      </c>
      <c r="BN704" t="s">
        <v>74</v>
      </c>
      <c r="BO704" t="s">
        <v>162</v>
      </c>
      <c r="BP704" t="s">
        <v>74</v>
      </c>
      <c r="BQ704" t="s">
        <v>74</v>
      </c>
      <c r="BR704" t="s">
        <v>104</v>
      </c>
      <c r="BS704" t="s">
        <v>13686</v>
      </c>
      <c r="BT704" t="str">
        <f>HYPERLINK("https%3A%2F%2Fwww.webofscience.com%2Fwos%2Fwoscc%2Ffull-record%2FWOS:000451832600039","View Full Record in Web of Science")</f>
        <v>View Full Record in Web of Science</v>
      </c>
    </row>
    <row r="705" spans="1:72" x14ac:dyDescent="0.15">
      <c r="A705" t="s">
        <v>72</v>
      </c>
      <c r="B705" t="s">
        <v>13687</v>
      </c>
      <c r="C705" t="s">
        <v>74</v>
      </c>
      <c r="D705" t="s">
        <v>74</v>
      </c>
      <c r="E705" t="s">
        <v>74</v>
      </c>
      <c r="F705" t="s">
        <v>13688</v>
      </c>
      <c r="G705" t="s">
        <v>74</v>
      </c>
      <c r="H705" t="s">
        <v>74</v>
      </c>
      <c r="I705" t="s">
        <v>13689</v>
      </c>
      <c r="J705" t="s">
        <v>7735</v>
      </c>
      <c r="K705" t="s">
        <v>74</v>
      </c>
      <c r="L705" t="s">
        <v>74</v>
      </c>
      <c r="M705" t="s">
        <v>78</v>
      </c>
      <c r="N705" t="s">
        <v>79</v>
      </c>
      <c r="O705" t="s">
        <v>74</v>
      </c>
      <c r="P705" t="s">
        <v>74</v>
      </c>
      <c r="Q705" t="s">
        <v>74</v>
      </c>
      <c r="R705" t="s">
        <v>74</v>
      </c>
      <c r="S705" t="s">
        <v>74</v>
      </c>
      <c r="T705" t="s">
        <v>74</v>
      </c>
      <c r="U705" t="s">
        <v>13690</v>
      </c>
      <c r="V705" t="s">
        <v>13691</v>
      </c>
      <c r="W705" t="s">
        <v>13692</v>
      </c>
      <c r="X705" t="s">
        <v>13693</v>
      </c>
      <c r="Y705" t="s">
        <v>13694</v>
      </c>
      <c r="Z705" t="s">
        <v>13695</v>
      </c>
      <c r="AA705" t="s">
        <v>13696</v>
      </c>
      <c r="AB705" t="s">
        <v>13697</v>
      </c>
      <c r="AC705" t="s">
        <v>13698</v>
      </c>
      <c r="AD705" t="s">
        <v>13699</v>
      </c>
      <c r="AE705" t="s">
        <v>13700</v>
      </c>
      <c r="AF705" t="s">
        <v>74</v>
      </c>
      <c r="AG705">
        <v>43</v>
      </c>
      <c r="AH705">
        <v>9</v>
      </c>
      <c r="AI705">
        <v>9</v>
      </c>
      <c r="AJ705">
        <v>0</v>
      </c>
      <c r="AK705">
        <v>17</v>
      </c>
      <c r="AL705" t="s">
        <v>4034</v>
      </c>
      <c r="AM705" t="s">
        <v>4035</v>
      </c>
      <c r="AN705" t="s">
        <v>4036</v>
      </c>
      <c r="AO705" t="s">
        <v>7748</v>
      </c>
      <c r="AP705" t="s">
        <v>7749</v>
      </c>
      <c r="AQ705" t="s">
        <v>74</v>
      </c>
      <c r="AR705" t="s">
        <v>7750</v>
      </c>
      <c r="AS705" t="s">
        <v>7751</v>
      </c>
      <c r="AT705" t="s">
        <v>13635</v>
      </c>
      <c r="AU705">
        <v>2018</v>
      </c>
      <c r="AV705">
        <v>45</v>
      </c>
      <c r="AW705">
        <v>21</v>
      </c>
      <c r="AX705" t="s">
        <v>74</v>
      </c>
      <c r="AY705" t="s">
        <v>74</v>
      </c>
      <c r="AZ705" t="s">
        <v>74</v>
      </c>
      <c r="BA705" t="s">
        <v>74</v>
      </c>
      <c r="BB705">
        <v>11921</v>
      </c>
      <c r="BC705">
        <v>11929</v>
      </c>
      <c r="BD705" t="s">
        <v>74</v>
      </c>
      <c r="BE705" t="s">
        <v>13701</v>
      </c>
      <c r="BF705" t="str">
        <f>HYPERLINK("http://dx.doi.org/10.1029/2018GL079647","http://dx.doi.org/10.1029/2018GL079647")</f>
        <v>http://dx.doi.org/10.1029/2018GL079647</v>
      </c>
      <c r="BG705" t="s">
        <v>74</v>
      </c>
      <c r="BH705" t="s">
        <v>74</v>
      </c>
      <c r="BI705">
        <v>9</v>
      </c>
      <c r="BJ705" t="s">
        <v>884</v>
      </c>
      <c r="BK705" t="s">
        <v>101</v>
      </c>
      <c r="BL705" t="s">
        <v>528</v>
      </c>
      <c r="BM705" t="s">
        <v>13654</v>
      </c>
      <c r="BN705" t="s">
        <v>74</v>
      </c>
      <c r="BO705" t="s">
        <v>4147</v>
      </c>
      <c r="BP705" t="s">
        <v>74</v>
      </c>
      <c r="BQ705" t="s">
        <v>74</v>
      </c>
      <c r="BR705" t="s">
        <v>104</v>
      </c>
      <c r="BS705" t="s">
        <v>13702</v>
      </c>
      <c r="BT705" t="str">
        <f>HYPERLINK("https%3A%2F%2Fwww.webofscience.com%2Fwos%2Fwoscc%2Ffull-record%2FWOS:000451832600045","View Full Record in Web of Science")</f>
        <v>View Full Record in Web of Science</v>
      </c>
    </row>
    <row r="706" spans="1:72" x14ac:dyDescent="0.15">
      <c r="A706" t="s">
        <v>72</v>
      </c>
      <c r="B706" t="s">
        <v>13703</v>
      </c>
      <c r="C706" t="s">
        <v>74</v>
      </c>
      <c r="D706" t="s">
        <v>74</v>
      </c>
      <c r="E706" t="s">
        <v>74</v>
      </c>
      <c r="F706" t="s">
        <v>13704</v>
      </c>
      <c r="G706" t="s">
        <v>74</v>
      </c>
      <c r="H706" t="s">
        <v>74</v>
      </c>
      <c r="I706" t="s">
        <v>13705</v>
      </c>
      <c r="J706" t="s">
        <v>7735</v>
      </c>
      <c r="K706" t="s">
        <v>74</v>
      </c>
      <c r="L706" t="s">
        <v>74</v>
      </c>
      <c r="M706" t="s">
        <v>78</v>
      </c>
      <c r="N706" t="s">
        <v>79</v>
      </c>
      <c r="O706" t="s">
        <v>74</v>
      </c>
      <c r="P706" t="s">
        <v>74</v>
      </c>
      <c r="Q706" t="s">
        <v>74</v>
      </c>
      <c r="R706" t="s">
        <v>74</v>
      </c>
      <c r="S706" t="s">
        <v>74</v>
      </c>
      <c r="T706" t="s">
        <v>74</v>
      </c>
      <c r="U706" t="s">
        <v>13706</v>
      </c>
      <c r="V706" t="s">
        <v>13707</v>
      </c>
      <c r="W706" t="s">
        <v>13708</v>
      </c>
      <c r="X706" t="s">
        <v>13709</v>
      </c>
      <c r="Y706" t="s">
        <v>13710</v>
      </c>
      <c r="Z706" t="s">
        <v>13711</v>
      </c>
      <c r="AA706" t="s">
        <v>13712</v>
      </c>
      <c r="AB706" t="s">
        <v>13713</v>
      </c>
      <c r="AC706" t="s">
        <v>13714</v>
      </c>
      <c r="AD706" t="s">
        <v>13715</v>
      </c>
      <c r="AE706" t="s">
        <v>13716</v>
      </c>
      <c r="AF706" t="s">
        <v>74</v>
      </c>
      <c r="AG706">
        <v>43</v>
      </c>
      <c r="AH706">
        <v>15</v>
      </c>
      <c r="AI706">
        <v>15</v>
      </c>
      <c r="AJ706">
        <v>2</v>
      </c>
      <c r="AK706">
        <v>44</v>
      </c>
      <c r="AL706" t="s">
        <v>4034</v>
      </c>
      <c r="AM706" t="s">
        <v>4035</v>
      </c>
      <c r="AN706" t="s">
        <v>4036</v>
      </c>
      <c r="AO706" t="s">
        <v>7748</v>
      </c>
      <c r="AP706" t="s">
        <v>7749</v>
      </c>
      <c r="AQ706" t="s">
        <v>74</v>
      </c>
      <c r="AR706" t="s">
        <v>7750</v>
      </c>
      <c r="AS706" t="s">
        <v>7751</v>
      </c>
      <c r="AT706" t="s">
        <v>13635</v>
      </c>
      <c r="AU706">
        <v>2018</v>
      </c>
      <c r="AV706">
        <v>45</v>
      </c>
      <c r="AW706">
        <v>21</v>
      </c>
      <c r="AX706" t="s">
        <v>74</v>
      </c>
      <c r="AY706" t="s">
        <v>74</v>
      </c>
      <c r="AZ706" t="s">
        <v>74</v>
      </c>
      <c r="BA706" t="s">
        <v>74</v>
      </c>
      <c r="BB706">
        <v>11941</v>
      </c>
      <c r="BC706">
        <v>11948</v>
      </c>
      <c r="BD706" t="s">
        <v>74</v>
      </c>
      <c r="BE706" t="s">
        <v>13717</v>
      </c>
      <c r="BF706" t="str">
        <f>HYPERLINK("http://dx.doi.org/10.1029/2018GL079930","http://dx.doi.org/10.1029/2018GL079930")</f>
        <v>http://dx.doi.org/10.1029/2018GL079930</v>
      </c>
      <c r="BG706" t="s">
        <v>74</v>
      </c>
      <c r="BH706" t="s">
        <v>74</v>
      </c>
      <c r="BI706">
        <v>8</v>
      </c>
      <c r="BJ706" t="s">
        <v>884</v>
      </c>
      <c r="BK706" t="s">
        <v>101</v>
      </c>
      <c r="BL706" t="s">
        <v>528</v>
      </c>
      <c r="BM706" t="s">
        <v>13654</v>
      </c>
      <c r="BN706" t="s">
        <v>74</v>
      </c>
      <c r="BO706" t="s">
        <v>162</v>
      </c>
      <c r="BP706" t="s">
        <v>74</v>
      </c>
      <c r="BQ706" t="s">
        <v>74</v>
      </c>
      <c r="BR706" t="s">
        <v>104</v>
      </c>
      <c r="BS706" t="s">
        <v>13718</v>
      </c>
      <c r="BT706" t="str">
        <f>HYPERLINK("https%3A%2F%2Fwww.webofscience.com%2Fwos%2Fwoscc%2Ffull-record%2FWOS:000451832600047","View Full Record in Web of Science")</f>
        <v>View Full Record in Web of Science</v>
      </c>
    </row>
    <row r="707" spans="1:72" x14ac:dyDescent="0.15">
      <c r="A707" t="s">
        <v>72</v>
      </c>
      <c r="B707" t="s">
        <v>13719</v>
      </c>
      <c r="C707" t="s">
        <v>74</v>
      </c>
      <c r="D707" t="s">
        <v>74</v>
      </c>
      <c r="E707" t="s">
        <v>74</v>
      </c>
      <c r="F707" t="s">
        <v>13720</v>
      </c>
      <c r="G707" t="s">
        <v>74</v>
      </c>
      <c r="H707" t="s">
        <v>74</v>
      </c>
      <c r="I707" t="s">
        <v>13721</v>
      </c>
      <c r="J707" t="s">
        <v>7735</v>
      </c>
      <c r="K707" t="s">
        <v>74</v>
      </c>
      <c r="L707" t="s">
        <v>74</v>
      </c>
      <c r="M707" t="s">
        <v>78</v>
      </c>
      <c r="N707" t="s">
        <v>79</v>
      </c>
      <c r="O707" t="s">
        <v>74</v>
      </c>
      <c r="P707" t="s">
        <v>74</v>
      </c>
      <c r="Q707" t="s">
        <v>74</v>
      </c>
      <c r="R707" t="s">
        <v>74</v>
      </c>
      <c r="S707" t="s">
        <v>74</v>
      </c>
      <c r="T707" t="s">
        <v>74</v>
      </c>
      <c r="U707" t="s">
        <v>13722</v>
      </c>
      <c r="V707" t="s">
        <v>13723</v>
      </c>
      <c r="W707" t="s">
        <v>13724</v>
      </c>
      <c r="X707" t="s">
        <v>13725</v>
      </c>
      <c r="Y707" t="s">
        <v>13726</v>
      </c>
      <c r="Z707" t="s">
        <v>13727</v>
      </c>
      <c r="AA707" t="s">
        <v>13728</v>
      </c>
      <c r="AB707" t="s">
        <v>13729</v>
      </c>
      <c r="AC707" t="s">
        <v>13730</v>
      </c>
      <c r="AD707" t="s">
        <v>13731</v>
      </c>
      <c r="AE707" t="s">
        <v>13732</v>
      </c>
      <c r="AF707" t="s">
        <v>74</v>
      </c>
      <c r="AG707">
        <v>45</v>
      </c>
      <c r="AH707">
        <v>113</v>
      </c>
      <c r="AI707">
        <v>127</v>
      </c>
      <c r="AJ707">
        <v>2</v>
      </c>
      <c r="AK707">
        <v>63</v>
      </c>
      <c r="AL707" t="s">
        <v>4034</v>
      </c>
      <c r="AM707" t="s">
        <v>4035</v>
      </c>
      <c r="AN707" t="s">
        <v>4036</v>
      </c>
      <c r="AO707" t="s">
        <v>7748</v>
      </c>
      <c r="AP707" t="s">
        <v>7749</v>
      </c>
      <c r="AQ707" t="s">
        <v>74</v>
      </c>
      <c r="AR707" t="s">
        <v>7750</v>
      </c>
      <c r="AS707" t="s">
        <v>7751</v>
      </c>
      <c r="AT707" t="s">
        <v>13635</v>
      </c>
      <c r="AU707">
        <v>2018</v>
      </c>
      <c r="AV707">
        <v>45</v>
      </c>
      <c r="AW707">
        <v>21</v>
      </c>
      <c r="AX707" t="s">
        <v>74</v>
      </c>
      <c r="AY707" t="s">
        <v>74</v>
      </c>
      <c r="AZ707" t="s">
        <v>74</v>
      </c>
      <c r="BA707" t="s">
        <v>74</v>
      </c>
      <c r="BB707">
        <v>11989</v>
      </c>
      <c r="BC707">
        <v>11997</v>
      </c>
      <c r="BD707" t="s">
        <v>74</v>
      </c>
      <c r="BE707" t="s">
        <v>13733</v>
      </c>
      <c r="BF707" t="str">
        <f>HYPERLINK("http://dx.doi.org/10.1029/2018GL079981","http://dx.doi.org/10.1029/2018GL079981")</f>
        <v>http://dx.doi.org/10.1029/2018GL079981</v>
      </c>
      <c r="BG707" t="s">
        <v>74</v>
      </c>
      <c r="BH707" t="s">
        <v>74</v>
      </c>
      <c r="BI707">
        <v>9</v>
      </c>
      <c r="BJ707" t="s">
        <v>884</v>
      </c>
      <c r="BK707" t="s">
        <v>101</v>
      </c>
      <c r="BL707" t="s">
        <v>528</v>
      </c>
      <c r="BM707" t="s">
        <v>13654</v>
      </c>
      <c r="BN707" t="s">
        <v>74</v>
      </c>
      <c r="BO707" t="s">
        <v>4700</v>
      </c>
      <c r="BP707" t="s">
        <v>74</v>
      </c>
      <c r="BQ707" t="s">
        <v>74</v>
      </c>
      <c r="BR707" t="s">
        <v>104</v>
      </c>
      <c r="BS707" t="s">
        <v>13734</v>
      </c>
      <c r="BT707" t="str">
        <f>HYPERLINK("https%3A%2F%2Fwww.webofscience.com%2Fwos%2Fwoscc%2Ffull-record%2FWOS:000451832600052","View Full Record in Web of Science")</f>
        <v>View Full Record in Web of Science</v>
      </c>
    </row>
    <row r="708" spans="1:72" x14ac:dyDescent="0.15">
      <c r="A708" t="s">
        <v>72</v>
      </c>
      <c r="B708" t="s">
        <v>13735</v>
      </c>
      <c r="C708" t="s">
        <v>74</v>
      </c>
      <c r="D708" t="s">
        <v>74</v>
      </c>
      <c r="E708" t="s">
        <v>74</v>
      </c>
      <c r="F708" t="s">
        <v>13736</v>
      </c>
      <c r="G708" t="s">
        <v>74</v>
      </c>
      <c r="H708" t="s">
        <v>74</v>
      </c>
      <c r="I708" t="s">
        <v>13737</v>
      </c>
      <c r="J708" t="s">
        <v>7792</v>
      </c>
      <c r="K708" t="s">
        <v>74</v>
      </c>
      <c r="L708" t="s">
        <v>74</v>
      </c>
      <c r="M708" t="s">
        <v>78</v>
      </c>
      <c r="N708" t="s">
        <v>79</v>
      </c>
      <c r="O708" t="s">
        <v>74</v>
      </c>
      <c r="P708" t="s">
        <v>74</v>
      </c>
      <c r="Q708" t="s">
        <v>74</v>
      </c>
      <c r="R708" t="s">
        <v>74</v>
      </c>
      <c r="S708" t="s">
        <v>74</v>
      </c>
      <c r="T708" t="s">
        <v>74</v>
      </c>
      <c r="U708" t="s">
        <v>13738</v>
      </c>
      <c r="V708" t="s">
        <v>13739</v>
      </c>
      <c r="W708" t="s">
        <v>13740</v>
      </c>
      <c r="X708" t="s">
        <v>13741</v>
      </c>
      <c r="Y708" t="s">
        <v>13742</v>
      </c>
      <c r="Z708" t="s">
        <v>13743</v>
      </c>
      <c r="AA708" t="s">
        <v>13744</v>
      </c>
      <c r="AB708" t="s">
        <v>13745</v>
      </c>
      <c r="AC708" t="s">
        <v>13746</v>
      </c>
      <c r="AD708" t="s">
        <v>13746</v>
      </c>
      <c r="AE708" t="s">
        <v>13747</v>
      </c>
      <c r="AF708" t="s">
        <v>74</v>
      </c>
      <c r="AG708">
        <v>54</v>
      </c>
      <c r="AH708">
        <v>0</v>
      </c>
      <c r="AI708">
        <v>0</v>
      </c>
      <c r="AJ708">
        <v>0</v>
      </c>
      <c r="AK708">
        <v>6</v>
      </c>
      <c r="AL708" t="s">
        <v>4034</v>
      </c>
      <c r="AM708" t="s">
        <v>4035</v>
      </c>
      <c r="AN708" t="s">
        <v>4036</v>
      </c>
      <c r="AO708" t="s">
        <v>7805</v>
      </c>
      <c r="AP708" t="s">
        <v>7806</v>
      </c>
      <c r="AQ708" t="s">
        <v>74</v>
      </c>
      <c r="AR708" t="s">
        <v>7807</v>
      </c>
      <c r="AS708" t="s">
        <v>7808</v>
      </c>
      <c r="AT708" t="s">
        <v>13635</v>
      </c>
      <c r="AU708">
        <v>2018</v>
      </c>
      <c r="AV708">
        <v>123</v>
      </c>
      <c r="AW708">
        <v>21</v>
      </c>
      <c r="AX708" t="s">
        <v>74</v>
      </c>
      <c r="AY708" t="s">
        <v>74</v>
      </c>
      <c r="AZ708" t="s">
        <v>74</v>
      </c>
      <c r="BA708" t="s">
        <v>74</v>
      </c>
      <c r="BB708">
        <v>11811</v>
      </c>
      <c r="BC708">
        <v>11829</v>
      </c>
      <c r="BD708" t="s">
        <v>74</v>
      </c>
      <c r="BE708" t="s">
        <v>13748</v>
      </c>
      <c r="BF708" t="str">
        <f>HYPERLINK("http://dx.doi.org/10.1029/2018JD028707","http://dx.doi.org/10.1029/2018JD028707")</f>
        <v>http://dx.doi.org/10.1029/2018JD028707</v>
      </c>
      <c r="BG708" t="s">
        <v>74</v>
      </c>
      <c r="BH708" t="s">
        <v>74</v>
      </c>
      <c r="BI708">
        <v>19</v>
      </c>
      <c r="BJ708" t="s">
        <v>3037</v>
      </c>
      <c r="BK708" t="s">
        <v>101</v>
      </c>
      <c r="BL708" t="s">
        <v>3037</v>
      </c>
      <c r="BM708" t="s">
        <v>13749</v>
      </c>
      <c r="BN708" t="s">
        <v>74</v>
      </c>
      <c r="BO708" t="s">
        <v>4470</v>
      </c>
      <c r="BP708" t="s">
        <v>74</v>
      </c>
      <c r="BQ708" t="s">
        <v>74</v>
      </c>
      <c r="BR708" t="s">
        <v>104</v>
      </c>
      <c r="BS708" t="s">
        <v>13750</v>
      </c>
      <c r="BT708" t="str">
        <f>HYPERLINK("https%3A%2F%2Fwww.webofscience.com%2Fwos%2Fwoscc%2Ffull-record%2FWOS:000452001400002","View Full Record in Web of Science")</f>
        <v>View Full Record in Web of Science</v>
      </c>
    </row>
    <row r="709" spans="1:72" x14ac:dyDescent="0.15">
      <c r="A709" t="s">
        <v>72</v>
      </c>
      <c r="B709" t="s">
        <v>13751</v>
      </c>
      <c r="C709" t="s">
        <v>74</v>
      </c>
      <c r="D709" t="s">
        <v>74</v>
      </c>
      <c r="E709" t="s">
        <v>74</v>
      </c>
      <c r="F709" t="s">
        <v>13752</v>
      </c>
      <c r="G709" t="s">
        <v>74</v>
      </c>
      <c r="H709" t="s">
        <v>74</v>
      </c>
      <c r="I709" t="s">
        <v>13753</v>
      </c>
      <c r="J709" t="s">
        <v>7792</v>
      </c>
      <c r="K709" t="s">
        <v>74</v>
      </c>
      <c r="L709" t="s">
        <v>74</v>
      </c>
      <c r="M709" t="s">
        <v>78</v>
      </c>
      <c r="N709" t="s">
        <v>79</v>
      </c>
      <c r="O709" t="s">
        <v>74</v>
      </c>
      <c r="P709" t="s">
        <v>74</v>
      </c>
      <c r="Q709" t="s">
        <v>74</v>
      </c>
      <c r="R709" t="s">
        <v>74</v>
      </c>
      <c r="S709" t="s">
        <v>74</v>
      </c>
      <c r="T709" t="s">
        <v>74</v>
      </c>
      <c r="U709" t="s">
        <v>13754</v>
      </c>
      <c r="V709" t="s">
        <v>13755</v>
      </c>
      <c r="W709" t="s">
        <v>13756</v>
      </c>
      <c r="X709" t="s">
        <v>13757</v>
      </c>
      <c r="Y709" t="s">
        <v>13758</v>
      </c>
      <c r="Z709" t="s">
        <v>13759</v>
      </c>
      <c r="AA709" t="s">
        <v>13760</v>
      </c>
      <c r="AB709" t="s">
        <v>13761</v>
      </c>
      <c r="AC709" t="s">
        <v>13762</v>
      </c>
      <c r="AD709" t="s">
        <v>13763</v>
      </c>
      <c r="AE709" t="s">
        <v>13764</v>
      </c>
      <c r="AF709" t="s">
        <v>74</v>
      </c>
      <c r="AG709">
        <v>77</v>
      </c>
      <c r="AH709">
        <v>60</v>
      </c>
      <c r="AI709">
        <v>63</v>
      </c>
      <c r="AJ709">
        <v>1</v>
      </c>
      <c r="AK709">
        <v>30</v>
      </c>
      <c r="AL709" t="s">
        <v>4034</v>
      </c>
      <c r="AM709" t="s">
        <v>4035</v>
      </c>
      <c r="AN709" t="s">
        <v>4036</v>
      </c>
      <c r="AO709" t="s">
        <v>7805</v>
      </c>
      <c r="AP709" t="s">
        <v>7806</v>
      </c>
      <c r="AQ709" t="s">
        <v>74</v>
      </c>
      <c r="AR709" t="s">
        <v>7807</v>
      </c>
      <c r="AS709" t="s">
        <v>7808</v>
      </c>
      <c r="AT709" t="s">
        <v>13635</v>
      </c>
      <c r="AU709">
        <v>2018</v>
      </c>
      <c r="AV709">
        <v>123</v>
      </c>
      <c r="AW709">
        <v>21</v>
      </c>
      <c r="AX709" t="s">
        <v>74</v>
      </c>
      <c r="AY709" t="s">
        <v>74</v>
      </c>
      <c r="AZ709" t="s">
        <v>74</v>
      </c>
      <c r="BA709" t="s">
        <v>74</v>
      </c>
      <c r="BB709">
        <v>12002</v>
      </c>
      <c r="BC709">
        <v>12016</v>
      </c>
      <c r="BD709" t="s">
        <v>74</v>
      </c>
      <c r="BE709" t="s">
        <v>13765</v>
      </c>
      <c r="BF709" t="str">
        <f>HYPERLINK("http://dx.doi.org/10.1029/2018JD029321","http://dx.doi.org/10.1029/2018JD029321")</f>
        <v>http://dx.doi.org/10.1029/2018JD029321</v>
      </c>
      <c r="BG709" t="s">
        <v>74</v>
      </c>
      <c r="BH709" t="s">
        <v>74</v>
      </c>
      <c r="BI709">
        <v>15</v>
      </c>
      <c r="BJ709" t="s">
        <v>3037</v>
      </c>
      <c r="BK709" t="s">
        <v>101</v>
      </c>
      <c r="BL709" t="s">
        <v>3037</v>
      </c>
      <c r="BM709" t="s">
        <v>13749</v>
      </c>
      <c r="BN709" t="s">
        <v>74</v>
      </c>
      <c r="BO709" t="s">
        <v>4688</v>
      </c>
      <c r="BP709" t="s">
        <v>74</v>
      </c>
      <c r="BQ709" t="s">
        <v>74</v>
      </c>
      <c r="BR709" t="s">
        <v>104</v>
      </c>
      <c r="BS709" t="s">
        <v>13766</v>
      </c>
      <c r="BT709" t="str">
        <f>HYPERLINK("https%3A%2F%2Fwww.webofscience.com%2Fwos%2Fwoscc%2Ffull-record%2FWOS:000452001400014","View Full Record in Web of Science")</f>
        <v>View Full Record in Web of Science</v>
      </c>
    </row>
    <row r="710" spans="1:72" x14ac:dyDescent="0.15">
      <c r="A710" t="s">
        <v>72</v>
      </c>
      <c r="B710" t="s">
        <v>13767</v>
      </c>
      <c r="C710" t="s">
        <v>74</v>
      </c>
      <c r="D710" t="s">
        <v>74</v>
      </c>
      <c r="E710" t="s">
        <v>74</v>
      </c>
      <c r="F710" t="s">
        <v>13768</v>
      </c>
      <c r="G710" t="s">
        <v>74</v>
      </c>
      <c r="H710" t="s">
        <v>74</v>
      </c>
      <c r="I710" t="s">
        <v>13769</v>
      </c>
      <c r="J710" t="s">
        <v>7792</v>
      </c>
      <c r="K710" t="s">
        <v>74</v>
      </c>
      <c r="L710" t="s">
        <v>74</v>
      </c>
      <c r="M710" t="s">
        <v>78</v>
      </c>
      <c r="N710" t="s">
        <v>79</v>
      </c>
      <c r="O710" t="s">
        <v>74</v>
      </c>
      <c r="P710" t="s">
        <v>74</v>
      </c>
      <c r="Q710" t="s">
        <v>74</v>
      </c>
      <c r="R710" t="s">
        <v>74</v>
      </c>
      <c r="S710" t="s">
        <v>74</v>
      </c>
      <c r="T710" t="s">
        <v>74</v>
      </c>
      <c r="U710" t="s">
        <v>13770</v>
      </c>
      <c r="V710" t="s">
        <v>13771</v>
      </c>
      <c r="W710" t="s">
        <v>13772</v>
      </c>
      <c r="X710" t="s">
        <v>13773</v>
      </c>
      <c r="Y710" t="s">
        <v>13774</v>
      </c>
      <c r="Z710" t="s">
        <v>13775</v>
      </c>
      <c r="AA710" t="s">
        <v>13776</v>
      </c>
      <c r="AB710" t="s">
        <v>13777</v>
      </c>
      <c r="AC710" t="s">
        <v>13778</v>
      </c>
      <c r="AD710" t="s">
        <v>13779</v>
      </c>
      <c r="AE710" t="s">
        <v>13780</v>
      </c>
      <c r="AF710" t="s">
        <v>74</v>
      </c>
      <c r="AG710">
        <v>65</v>
      </c>
      <c r="AH710">
        <v>31</v>
      </c>
      <c r="AI710">
        <v>33</v>
      </c>
      <c r="AJ710">
        <v>0</v>
      </c>
      <c r="AK710">
        <v>14</v>
      </c>
      <c r="AL710" t="s">
        <v>4034</v>
      </c>
      <c r="AM710" t="s">
        <v>4035</v>
      </c>
      <c r="AN710" t="s">
        <v>4036</v>
      </c>
      <c r="AO710" t="s">
        <v>7805</v>
      </c>
      <c r="AP710" t="s">
        <v>7806</v>
      </c>
      <c r="AQ710" t="s">
        <v>74</v>
      </c>
      <c r="AR710" t="s">
        <v>7807</v>
      </c>
      <c r="AS710" t="s">
        <v>7808</v>
      </c>
      <c r="AT710" t="s">
        <v>13635</v>
      </c>
      <c r="AU710">
        <v>2018</v>
      </c>
      <c r="AV710">
        <v>123</v>
      </c>
      <c r="AW710">
        <v>21</v>
      </c>
      <c r="AX710" t="s">
        <v>74</v>
      </c>
      <c r="AY710" t="s">
        <v>74</v>
      </c>
      <c r="AZ710" t="s">
        <v>74</v>
      </c>
      <c r="BA710" t="s">
        <v>74</v>
      </c>
      <c r="BB710">
        <v>12308</v>
      </c>
      <c r="BC710">
        <v>12331</v>
      </c>
      <c r="BD710" t="s">
        <v>74</v>
      </c>
      <c r="BE710" t="s">
        <v>13781</v>
      </c>
      <c r="BF710" t="str">
        <f>HYPERLINK("http://dx.doi.org/10.1029/2018JD028974","http://dx.doi.org/10.1029/2018JD028974")</f>
        <v>http://dx.doi.org/10.1029/2018JD028974</v>
      </c>
      <c r="BG710" t="s">
        <v>74</v>
      </c>
      <c r="BH710" t="s">
        <v>74</v>
      </c>
      <c r="BI710">
        <v>24</v>
      </c>
      <c r="BJ710" t="s">
        <v>3037</v>
      </c>
      <c r="BK710" t="s">
        <v>101</v>
      </c>
      <c r="BL710" t="s">
        <v>3037</v>
      </c>
      <c r="BM710" t="s">
        <v>13749</v>
      </c>
      <c r="BN710" t="s">
        <v>74</v>
      </c>
      <c r="BO710" t="s">
        <v>4470</v>
      </c>
      <c r="BP710" t="s">
        <v>74</v>
      </c>
      <c r="BQ710" t="s">
        <v>74</v>
      </c>
      <c r="BR710" t="s">
        <v>104</v>
      </c>
      <c r="BS710" t="s">
        <v>13782</v>
      </c>
      <c r="BT710" t="str">
        <f>HYPERLINK("https%3A%2F%2Fwww.webofscience.com%2Fwos%2Fwoscc%2Ffull-record%2FWOS:000452001400031","View Full Record in Web of Science")</f>
        <v>View Full Record in Web of Science</v>
      </c>
    </row>
    <row r="711" spans="1:72" x14ac:dyDescent="0.15">
      <c r="A711" t="s">
        <v>72</v>
      </c>
      <c r="B711" t="s">
        <v>13783</v>
      </c>
      <c r="C711" t="s">
        <v>74</v>
      </c>
      <c r="D711" t="s">
        <v>74</v>
      </c>
      <c r="E711" t="s">
        <v>74</v>
      </c>
      <c r="F711" t="s">
        <v>13784</v>
      </c>
      <c r="G711" t="s">
        <v>74</v>
      </c>
      <c r="H711" t="s">
        <v>74</v>
      </c>
      <c r="I711" t="s">
        <v>13785</v>
      </c>
      <c r="J711" t="s">
        <v>7903</v>
      </c>
      <c r="K711" t="s">
        <v>74</v>
      </c>
      <c r="L711" t="s">
        <v>74</v>
      </c>
      <c r="M711" t="s">
        <v>78</v>
      </c>
      <c r="N711" t="s">
        <v>79</v>
      </c>
      <c r="O711" t="s">
        <v>74</v>
      </c>
      <c r="P711" t="s">
        <v>74</v>
      </c>
      <c r="Q711" t="s">
        <v>74</v>
      </c>
      <c r="R711" t="s">
        <v>74</v>
      </c>
      <c r="S711" t="s">
        <v>74</v>
      </c>
      <c r="T711" t="s">
        <v>74</v>
      </c>
      <c r="U711" t="s">
        <v>13786</v>
      </c>
      <c r="V711" t="s">
        <v>13787</v>
      </c>
      <c r="W711" t="s">
        <v>13788</v>
      </c>
      <c r="X711" t="s">
        <v>13789</v>
      </c>
      <c r="Y711" t="s">
        <v>13790</v>
      </c>
      <c r="Z711" t="s">
        <v>13791</v>
      </c>
      <c r="AA711" t="s">
        <v>13792</v>
      </c>
      <c r="AB711" t="s">
        <v>13793</v>
      </c>
      <c r="AC711" t="s">
        <v>13794</v>
      </c>
      <c r="AD711" t="s">
        <v>13795</v>
      </c>
      <c r="AE711" t="s">
        <v>13796</v>
      </c>
      <c r="AF711" t="s">
        <v>74</v>
      </c>
      <c r="AG711">
        <v>80</v>
      </c>
      <c r="AH711">
        <v>39</v>
      </c>
      <c r="AI711">
        <v>48</v>
      </c>
      <c r="AJ711">
        <v>1</v>
      </c>
      <c r="AK711">
        <v>22</v>
      </c>
      <c r="AL711" t="s">
        <v>6185</v>
      </c>
      <c r="AM711" t="s">
        <v>6186</v>
      </c>
      <c r="AN711" t="s">
        <v>6187</v>
      </c>
      <c r="AO711" t="s">
        <v>7915</v>
      </c>
      <c r="AP711" t="s">
        <v>74</v>
      </c>
      <c r="AQ711" t="s">
        <v>74</v>
      </c>
      <c r="AR711" t="s">
        <v>7916</v>
      </c>
      <c r="AS711" t="s">
        <v>7917</v>
      </c>
      <c r="AT711" t="s">
        <v>13635</v>
      </c>
      <c r="AU711">
        <v>2018</v>
      </c>
      <c r="AV711">
        <v>9</v>
      </c>
      <c r="AW711" t="s">
        <v>74</v>
      </c>
      <c r="AX711" t="s">
        <v>74</v>
      </c>
      <c r="AY711" t="s">
        <v>74</v>
      </c>
      <c r="AZ711" t="s">
        <v>74</v>
      </c>
      <c r="BA711" t="s">
        <v>74</v>
      </c>
      <c r="BB711" t="s">
        <v>74</v>
      </c>
      <c r="BC711" t="s">
        <v>74</v>
      </c>
      <c r="BD711">
        <v>4836</v>
      </c>
      <c r="BE711" t="s">
        <v>13797</v>
      </c>
      <c r="BF711" t="str">
        <f>HYPERLINK("http://dx.doi.org/10.1038/s41467-018-06695-z","http://dx.doi.org/10.1038/s41467-018-06695-z")</f>
        <v>http://dx.doi.org/10.1038/s41467-018-06695-z</v>
      </c>
      <c r="BG711" t="s">
        <v>74</v>
      </c>
      <c r="BH711" t="s">
        <v>74</v>
      </c>
      <c r="BI711">
        <v>12</v>
      </c>
      <c r="BJ711" t="s">
        <v>855</v>
      </c>
      <c r="BK711" t="s">
        <v>101</v>
      </c>
      <c r="BL711" t="s">
        <v>856</v>
      </c>
      <c r="BM711" t="s">
        <v>13798</v>
      </c>
      <c r="BN711">
        <v>30446730</v>
      </c>
      <c r="BO711" t="s">
        <v>13032</v>
      </c>
      <c r="BP711" t="s">
        <v>74</v>
      </c>
      <c r="BQ711" t="s">
        <v>74</v>
      </c>
      <c r="BR711" t="s">
        <v>104</v>
      </c>
      <c r="BS711" t="s">
        <v>13799</v>
      </c>
      <c r="BT711" t="str">
        <f>HYPERLINK("https%3A%2F%2Fwww.webofscience.com%2Fwos%2Fwoscc%2Ffull-record%2FWOS:000450274000001","View Full Record in Web of Science")</f>
        <v>View Full Record in Web of Science</v>
      </c>
    </row>
    <row r="712" spans="1:72" x14ac:dyDescent="0.15">
      <c r="A712" t="s">
        <v>72</v>
      </c>
      <c r="B712" t="s">
        <v>13800</v>
      </c>
      <c r="C712" t="s">
        <v>74</v>
      </c>
      <c r="D712" t="s">
        <v>74</v>
      </c>
      <c r="E712" t="s">
        <v>74</v>
      </c>
      <c r="F712" t="s">
        <v>13801</v>
      </c>
      <c r="G712" t="s">
        <v>74</v>
      </c>
      <c r="H712" t="s">
        <v>74</v>
      </c>
      <c r="I712" t="s">
        <v>13802</v>
      </c>
      <c r="J712" t="s">
        <v>8182</v>
      </c>
      <c r="K712" t="s">
        <v>74</v>
      </c>
      <c r="L712" t="s">
        <v>74</v>
      </c>
      <c r="M712" t="s">
        <v>78</v>
      </c>
      <c r="N712" t="s">
        <v>79</v>
      </c>
      <c r="O712" t="s">
        <v>74</v>
      </c>
      <c r="P712" t="s">
        <v>74</v>
      </c>
      <c r="Q712" t="s">
        <v>74</v>
      </c>
      <c r="R712" t="s">
        <v>74</v>
      </c>
      <c r="S712" t="s">
        <v>74</v>
      </c>
      <c r="T712" t="s">
        <v>74</v>
      </c>
      <c r="U712" t="s">
        <v>13803</v>
      </c>
      <c r="V712" t="s">
        <v>13804</v>
      </c>
      <c r="W712" t="s">
        <v>13805</v>
      </c>
      <c r="X712" t="s">
        <v>11296</v>
      </c>
      <c r="Y712" t="s">
        <v>13806</v>
      </c>
      <c r="Z712" t="s">
        <v>13807</v>
      </c>
      <c r="AA712" t="s">
        <v>13808</v>
      </c>
      <c r="AB712" t="s">
        <v>13809</v>
      </c>
      <c r="AC712" t="s">
        <v>13810</v>
      </c>
      <c r="AD712" t="s">
        <v>13811</v>
      </c>
      <c r="AE712" t="s">
        <v>13812</v>
      </c>
      <c r="AF712" t="s">
        <v>74</v>
      </c>
      <c r="AG712">
        <v>97</v>
      </c>
      <c r="AH712">
        <v>22</v>
      </c>
      <c r="AI712">
        <v>23</v>
      </c>
      <c r="AJ712">
        <v>0</v>
      </c>
      <c r="AK712">
        <v>10</v>
      </c>
      <c r="AL712" t="s">
        <v>7866</v>
      </c>
      <c r="AM712" t="s">
        <v>7867</v>
      </c>
      <c r="AN712" t="s">
        <v>7868</v>
      </c>
      <c r="AO712" t="s">
        <v>8194</v>
      </c>
      <c r="AP712" t="s">
        <v>8195</v>
      </c>
      <c r="AQ712" t="s">
        <v>74</v>
      </c>
      <c r="AR712" t="s">
        <v>8196</v>
      </c>
      <c r="AS712" t="s">
        <v>8197</v>
      </c>
      <c r="AT712" t="s">
        <v>13635</v>
      </c>
      <c r="AU712">
        <v>2018</v>
      </c>
      <c r="AV712">
        <v>18</v>
      </c>
      <c r="AW712">
        <v>22</v>
      </c>
      <c r="AX712" t="s">
        <v>74</v>
      </c>
      <c r="AY712" t="s">
        <v>74</v>
      </c>
      <c r="AZ712" t="s">
        <v>74</v>
      </c>
      <c r="BA712" t="s">
        <v>74</v>
      </c>
      <c r="BB712">
        <v>16253</v>
      </c>
      <c r="BC712">
        <v>16269</v>
      </c>
      <c r="BD712" t="s">
        <v>74</v>
      </c>
      <c r="BE712" t="s">
        <v>13813</v>
      </c>
      <c r="BF712" t="str">
        <f>HYPERLINK("http://dx.doi.org/10.5194/acp-18-16253-2018","http://dx.doi.org/10.5194/acp-18-16253-2018")</f>
        <v>http://dx.doi.org/10.5194/acp-18-16253-2018</v>
      </c>
      <c r="BG712" t="s">
        <v>74</v>
      </c>
      <c r="BH712" t="s">
        <v>74</v>
      </c>
      <c r="BI712">
        <v>17</v>
      </c>
      <c r="BJ712" t="s">
        <v>2635</v>
      </c>
      <c r="BK712" t="s">
        <v>101</v>
      </c>
      <c r="BL712" t="s">
        <v>2636</v>
      </c>
      <c r="BM712" t="s">
        <v>13814</v>
      </c>
      <c r="BN712" t="s">
        <v>74</v>
      </c>
      <c r="BO712" t="s">
        <v>949</v>
      </c>
      <c r="BP712" t="s">
        <v>74</v>
      </c>
      <c r="BQ712" t="s">
        <v>74</v>
      </c>
      <c r="BR712" t="s">
        <v>104</v>
      </c>
      <c r="BS712" t="s">
        <v>13815</v>
      </c>
      <c r="BT712" t="str">
        <f>HYPERLINK("https%3A%2F%2Fwww.webofscience.com%2Fwos%2Fwoscc%2Ffull-record%2FWOS:000450277600001","View Full Record in Web of Science")</f>
        <v>View Full Record in Web of Science</v>
      </c>
    </row>
    <row r="713" spans="1:72" x14ac:dyDescent="0.15">
      <c r="A713" t="s">
        <v>72</v>
      </c>
      <c r="B713" t="s">
        <v>13816</v>
      </c>
      <c r="C713" t="s">
        <v>74</v>
      </c>
      <c r="D713" t="s">
        <v>74</v>
      </c>
      <c r="E713" t="s">
        <v>74</v>
      </c>
      <c r="F713" t="s">
        <v>13817</v>
      </c>
      <c r="G713" t="s">
        <v>74</v>
      </c>
      <c r="H713" t="s">
        <v>74</v>
      </c>
      <c r="I713" t="s">
        <v>13818</v>
      </c>
      <c r="J713" t="s">
        <v>8449</v>
      </c>
      <c r="K713" t="s">
        <v>74</v>
      </c>
      <c r="L713" t="s">
        <v>74</v>
      </c>
      <c r="M713" t="s">
        <v>78</v>
      </c>
      <c r="N713" t="s">
        <v>79</v>
      </c>
      <c r="O713" t="s">
        <v>74</v>
      </c>
      <c r="P713" t="s">
        <v>74</v>
      </c>
      <c r="Q713" t="s">
        <v>74</v>
      </c>
      <c r="R713" t="s">
        <v>74</v>
      </c>
      <c r="S713" t="s">
        <v>74</v>
      </c>
      <c r="T713" t="s">
        <v>13819</v>
      </c>
      <c r="U713" t="s">
        <v>13820</v>
      </c>
      <c r="V713" t="s">
        <v>13821</v>
      </c>
      <c r="W713" t="s">
        <v>13822</v>
      </c>
      <c r="X713" t="s">
        <v>13823</v>
      </c>
      <c r="Y713" t="s">
        <v>13824</v>
      </c>
      <c r="Z713" t="s">
        <v>13825</v>
      </c>
      <c r="AA713" t="s">
        <v>13826</v>
      </c>
      <c r="AB713" t="s">
        <v>13827</v>
      </c>
      <c r="AC713" t="s">
        <v>74</v>
      </c>
      <c r="AD713" t="s">
        <v>74</v>
      </c>
      <c r="AE713" t="s">
        <v>74</v>
      </c>
      <c r="AF713" t="s">
        <v>74</v>
      </c>
      <c r="AG713">
        <v>51</v>
      </c>
      <c r="AH713">
        <v>19</v>
      </c>
      <c r="AI713">
        <v>22</v>
      </c>
      <c r="AJ713">
        <v>3</v>
      </c>
      <c r="AK713">
        <v>37</v>
      </c>
      <c r="AL713" t="s">
        <v>7949</v>
      </c>
      <c r="AM713" t="s">
        <v>7950</v>
      </c>
      <c r="AN713" t="s">
        <v>7951</v>
      </c>
      <c r="AO713" t="s">
        <v>74</v>
      </c>
      <c r="AP713" t="s">
        <v>8462</v>
      </c>
      <c r="AQ713" t="s">
        <v>74</v>
      </c>
      <c r="AR713" t="s">
        <v>8463</v>
      </c>
      <c r="AS713" t="s">
        <v>8464</v>
      </c>
      <c r="AT713" t="s">
        <v>13828</v>
      </c>
      <c r="AU713">
        <v>2018</v>
      </c>
      <c r="AV713">
        <v>5</v>
      </c>
      <c r="AW713" t="s">
        <v>74</v>
      </c>
      <c r="AX713" t="s">
        <v>74</v>
      </c>
      <c r="AY713" t="s">
        <v>74</v>
      </c>
      <c r="AZ713" t="s">
        <v>74</v>
      </c>
      <c r="BA713" t="s">
        <v>74</v>
      </c>
      <c r="BB713" t="s">
        <v>74</v>
      </c>
      <c r="BC713" t="s">
        <v>74</v>
      </c>
      <c r="BD713">
        <v>414</v>
      </c>
      <c r="BE713" t="s">
        <v>13829</v>
      </c>
      <c r="BF713" t="str">
        <f>HYPERLINK("http://dx.doi.org/10.3389/fmars.2018.00414","http://dx.doi.org/10.3389/fmars.2018.00414")</f>
        <v>http://dx.doi.org/10.3389/fmars.2018.00414</v>
      </c>
      <c r="BG713" t="s">
        <v>74</v>
      </c>
      <c r="BH713" t="s">
        <v>74</v>
      </c>
      <c r="BI713">
        <v>6</v>
      </c>
      <c r="BJ713" t="s">
        <v>3360</v>
      </c>
      <c r="BK713" t="s">
        <v>3493</v>
      </c>
      <c r="BL713" t="s">
        <v>3361</v>
      </c>
      <c r="BM713" t="s">
        <v>13830</v>
      </c>
      <c r="BN713" t="s">
        <v>74</v>
      </c>
      <c r="BO713" t="s">
        <v>7920</v>
      </c>
      <c r="BP713" t="s">
        <v>74</v>
      </c>
      <c r="BQ713" t="s">
        <v>74</v>
      </c>
      <c r="BR713" t="s">
        <v>104</v>
      </c>
      <c r="BS713" t="s">
        <v>13831</v>
      </c>
      <c r="BT713" t="str">
        <f>HYPERLINK("https%3A%2F%2Fwww.webofscience.com%2Fwos%2Fwoscc%2Ffull-record%2FWOS:000457228900001","View Full Record in Web of Science")</f>
        <v>View Full Record in Web of Science</v>
      </c>
    </row>
    <row r="714" spans="1:72" x14ac:dyDescent="0.15">
      <c r="A714" t="s">
        <v>72</v>
      </c>
      <c r="B714" t="s">
        <v>13832</v>
      </c>
      <c r="C714" t="s">
        <v>74</v>
      </c>
      <c r="D714" t="s">
        <v>74</v>
      </c>
      <c r="E714" t="s">
        <v>74</v>
      </c>
      <c r="F714" t="s">
        <v>13833</v>
      </c>
      <c r="G714" t="s">
        <v>74</v>
      </c>
      <c r="H714" t="s">
        <v>74</v>
      </c>
      <c r="I714" t="s">
        <v>13834</v>
      </c>
      <c r="J714" t="s">
        <v>13835</v>
      </c>
      <c r="K714" t="s">
        <v>74</v>
      </c>
      <c r="L714" t="s">
        <v>74</v>
      </c>
      <c r="M714" t="s">
        <v>78</v>
      </c>
      <c r="N714" t="s">
        <v>79</v>
      </c>
      <c r="O714" t="s">
        <v>74</v>
      </c>
      <c r="P714" t="s">
        <v>74</v>
      </c>
      <c r="Q714" t="s">
        <v>74</v>
      </c>
      <c r="R714" t="s">
        <v>74</v>
      </c>
      <c r="S714" t="s">
        <v>74</v>
      </c>
      <c r="T714" t="s">
        <v>13836</v>
      </c>
      <c r="U714" t="s">
        <v>13837</v>
      </c>
      <c r="V714" t="s">
        <v>13838</v>
      </c>
      <c r="W714" t="s">
        <v>13839</v>
      </c>
      <c r="X714" t="s">
        <v>13840</v>
      </c>
      <c r="Y714" t="s">
        <v>13841</v>
      </c>
      <c r="Z714" t="s">
        <v>13842</v>
      </c>
      <c r="AA714" t="s">
        <v>13843</v>
      </c>
      <c r="AB714" t="s">
        <v>13844</v>
      </c>
      <c r="AC714" t="s">
        <v>13845</v>
      </c>
      <c r="AD714" t="s">
        <v>13846</v>
      </c>
      <c r="AE714" t="s">
        <v>13847</v>
      </c>
      <c r="AF714" t="s">
        <v>74</v>
      </c>
      <c r="AG714">
        <v>63</v>
      </c>
      <c r="AH714">
        <v>44</v>
      </c>
      <c r="AI714">
        <v>47</v>
      </c>
      <c r="AJ714">
        <v>1</v>
      </c>
      <c r="AK714">
        <v>21</v>
      </c>
      <c r="AL714" t="s">
        <v>8393</v>
      </c>
      <c r="AM714" t="s">
        <v>1080</v>
      </c>
      <c r="AN714" t="s">
        <v>13848</v>
      </c>
      <c r="AO714" t="s">
        <v>13849</v>
      </c>
      <c r="AP714" t="s">
        <v>13850</v>
      </c>
      <c r="AQ714" t="s">
        <v>74</v>
      </c>
      <c r="AR714" t="s">
        <v>13851</v>
      </c>
      <c r="AS714" t="s">
        <v>13852</v>
      </c>
      <c r="AT714" t="s">
        <v>13828</v>
      </c>
      <c r="AU714">
        <v>2018</v>
      </c>
      <c r="AV714">
        <v>213</v>
      </c>
      <c r="AW714" t="s">
        <v>74</v>
      </c>
      <c r="AX714" t="s">
        <v>74</v>
      </c>
      <c r="AY714" t="s">
        <v>74</v>
      </c>
      <c r="AZ714" t="s">
        <v>74</v>
      </c>
      <c r="BA714" t="s">
        <v>74</v>
      </c>
      <c r="BB714">
        <v>121</v>
      </c>
      <c r="BC714">
        <v>135</v>
      </c>
      <c r="BD714" t="s">
        <v>74</v>
      </c>
      <c r="BE714" t="s">
        <v>13853</v>
      </c>
      <c r="BF714" t="str">
        <f>HYPERLINK("http://dx.doi.org/10.1016/j.atmosres.2018.05.015","http://dx.doi.org/10.1016/j.atmosres.2018.05.015")</f>
        <v>http://dx.doi.org/10.1016/j.atmosres.2018.05.015</v>
      </c>
      <c r="BG714" t="s">
        <v>74</v>
      </c>
      <c r="BH714" t="s">
        <v>74</v>
      </c>
      <c r="BI714">
        <v>15</v>
      </c>
      <c r="BJ714" t="s">
        <v>3037</v>
      </c>
      <c r="BK714" t="s">
        <v>101</v>
      </c>
      <c r="BL714" t="s">
        <v>3037</v>
      </c>
      <c r="BM714" t="s">
        <v>13854</v>
      </c>
      <c r="BN714" t="s">
        <v>74</v>
      </c>
      <c r="BO714" t="s">
        <v>404</v>
      </c>
      <c r="BP714" t="s">
        <v>74</v>
      </c>
      <c r="BQ714" t="s">
        <v>74</v>
      </c>
      <c r="BR714" t="s">
        <v>104</v>
      </c>
      <c r="BS714" t="s">
        <v>13855</v>
      </c>
      <c r="BT714" t="str">
        <f>HYPERLINK("https%3A%2F%2Fwww.webofscience.com%2Fwos%2Fwoscc%2Ffull-record%2FWOS:000442169800011","View Full Record in Web of Science")</f>
        <v>View Full Record in Web of Science</v>
      </c>
    </row>
    <row r="715" spans="1:72" x14ac:dyDescent="0.15">
      <c r="A715" t="s">
        <v>72</v>
      </c>
      <c r="B715" t="s">
        <v>13856</v>
      </c>
      <c r="C715" t="s">
        <v>74</v>
      </c>
      <c r="D715" t="s">
        <v>74</v>
      </c>
      <c r="E715" t="s">
        <v>74</v>
      </c>
      <c r="F715" t="s">
        <v>13857</v>
      </c>
      <c r="G715" t="s">
        <v>74</v>
      </c>
      <c r="H715" t="s">
        <v>74</v>
      </c>
      <c r="I715" t="s">
        <v>13858</v>
      </c>
      <c r="J715" t="s">
        <v>5714</v>
      </c>
      <c r="K715" t="s">
        <v>74</v>
      </c>
      <c r="L715" t="s">
        <v>74</v>
      </c>
      <c r="M715" t="s">
        <v>78</v>
      </c>
      <c r="N715" t="s">
        <v>79</v>
      </c>
      <c r="O715" t="s">
        <v>74</v>
      </c>
      <c r="P715" t="s">
        <v>74</v>
      </c>
      <c r="Q715" t="s">
        <v>74</v>
      </c>
      <c r="R715" t="s">
        <v>74</v>
      </c>
      <c r="S715" t="s">
        <v>74</v>
      </c>
      <c r="T715" t="s">
        <v>74</v>
      </c>
      <c r="U715" t="s">
        <v>13859</v>
      </c>
      <c r="V715" t="s">
        <v>13860</v>
      </c>
      <c r="W715" t="s">
        <v>13861</v>
      </c>
      <c r="X715" t="s">
        <v>13862</v>
      </c>
      <c r="Y715" t="s">
        <v>13863</v>
      </c>
      <c r="Z715" t="s">
        <v>13864</v>
      </c>
      <c r="AA715" t="s">
        <v>13865</v>
      </c>
      <c r="AB715" t="s">
        <v>13866</v>
      </c>
      <c r="AC715" t="s">
        <v>13867</v>
      </c>
      <c r="AD715" t="s">
        <v>13868</v>
      </c>
      <c r="AE715" t="s">
        <v>13869</v>
      </c>
      <c r="AF715" t="s">
        <v>74</v>
      </c>
      <c r="AG715">
        <v>116</v>
      </c>
      <c r="AH715">
        <v>26</v>
      </c>
      <c r="AI715">
        <v>27</v>
      </c>
      <c r="AJ715">
        <v>1</v>
      </c>
      <c r="AK715">
        <v>7</v>
      </c>
      <c r="AL715" t="s">
        <v>3352</v>
      </c>
      <c r="AM715" t="s">
        <v>3353</v>
      </c>
      <c r="AN715" t="s">
        <v>3354</v>
      </c>
      <c r="AO715" t="s">
        <v>5727</v>
      </c>
      <c r="AP715" t="s">
        <v>74</v>
      </c>
      <c r="AQ715" t="s">
        <v>74</v>
      </c>
      <c r="AR715" t="s">
        <v>5728</v>
      </c>
      <c r="AS715" t="s">
        <v>5729</v>
      </c>
      <c r="AT715" t="s">
        <v>13828</v>
      </c>
      <c r="AU715">
        <v>2018</v>
      </c>
      <c r="AV715">
        <v>200</v>
      </c>
      <c r="AW715" t="s">
        <v>74</v>
      </c>
      <c r="AX715" t="s">
        <v>74</v>
      </c>
      <c r="AY715" t="s">
        <v>74</v>
      </c>
      <c r="AZ715" t="s">
        <v>74</v>
      </c>
      <c r="BA715" t="s">
        <v>74</v>
      </c>
      <c r="BB715">
        <v>287</v>
      </c>
      <c r="BC715">
        <v>312</v>
      </c>
      <c r="BD715" t="s">
        <v>74</v>
      </c>
      <c r="BE715" t="s">
        <v>13870</v>
      </c>
      <c r="BF715" t="str">
        <f>HYPERLINK("http://dx.doi.org/10.1016/j.quascirev.2018.09.025","http://dx.doi.org/10.1016/j.quascirev.2018.09.025")</f>
        <v>http://dx.doi.org/10.1016/j.quascirev.2018.09.025</v>
      </c>
      <c r="BG715" t="s">
        <v>74</v>
      </c>
      <c r="BH715" t="s">
        <v>74</v>
      </c>
      <c r="BI715">
        <v>26</v>
      </c>
      <c r="BJ715" t="s">
        <v>1480</v>
      </c>
      <c r="BK715" t="s">
        <v>101</v>
      </c>
      <c r="BL715" t="s">
        <v>1481</v>
      </c>
      <c r="BM715" t="s">
        <v>13871</v>
      </c>
      <c r="BN715" t="s">
        <v>74</v>
      </c>
      <c r="BO715" t="s">
        <v>6572</v>
      </c>
      <c r="BP715" t="s">
        <v>74</v>
      </c>
      <c r="BQ715" t="s">
        <v>74</v>
      </c>
      <c r="BR715" t="s">
        <v>104</v>
      </c>
      <c r="BS715" t="s">
        <v>13872</v>
      </c>
      <c r="BT715" t="str">
        <f>HYPERLINK("https%3A%2F%2Fwww.webofscience.com%2Fwos%2Fwoscc%2Ffull-record%2FWOS:000449900900018","View Full Record in Web of Science")</f>
        <v>View Full Record in Web of Science</v>
      </c>
    </row>
    <row r="716" spans="1:72" x14ac:dyDescent="0.15">
      <c r="A716" t="s">
        <v>72</v>
      </c>
      <c r="B716" t="s">
        <v>13873</v>
      </c>
      <c r="C716" t="s">
        <v>74</v>
      </c>
      <c r="D716" t="s">
        <v>74</v>
      </c>
      <c r="E716" t="s">
        <v>74</v>
      </c>
      <c r="F716" t="s">
        <v>13874</v>
      </c>
      <c r="G716" t="s">
        <v>74</v>
      </c>
      <c r="H716" t="s">
        <v>74</v>
      </c>
      <c r="I716" t="s">
        <v>13875</v>
      </c>
      <c r="J716" t="s">
        <v>13876</v>
      </c>
      <c r="K716" t="s">
        <v>74</v>
      </c>
      <c r="L716" t="s">
        <v>74</v>
      </c>
      <c r="M716" t="s">
        <v>78</v>
      </c>
      <c r="N716" t="s">
        <v>79</v>
      </c>
      <c r="O716" t="s">
        <v>74</v>
      </c>
      <c r="P716" t="s">
        <v>74</v>
      </c>
      <c r="Q716" t="s">
        <v>74</v>
      </c>
      <c r="R716" t="s">
        <v>74</v>
      </c>
      <c r="S716" t="s">
        <v>74</v>
      </c>
      <c r="T716" t="s">
        <v>13877</v>
      </c>
      <c r="U716" t="s">
        <v>13878</v>
      </c>
      <c r="V716" t="s">
        <v>13879</v>
      </c>
      <c r="W716" t="s">
        <v>13880</v>
      </c>
      <c r="X716" t="s">
        <v>13881</v>
      </c>
      <c r="Y716" t="s">
        <v>13882</v>
      </c>
      <c r="Z716" t="s">
        <v>13883</v>
      </c>
      <c r="AA716" t="s">
        <v>13884</v>
      </c>
      <c r="AB716" t="s">
        <v>13885</v>
      </c>
      <c r="AC716" t="s">
        <v>13886</v>
      </c>
      <c r="AD716" t="s">
        <v>13887</v>
      </c>
      <c r="AE716" t="s">
        <v>13888</v>
      </c>
      <c r="AF716" t="s">
        <v>74</v>
      </c>
      <c r="AG716">
        <v>54</v>
      </c>
      <c r="AH716">
        <v>10</v>
      </c>
      <c r="AI716">
        <v>12</v>
      </c>
      <c r="AJ716">
        <v>0</v>
      </c>
      <c r="AK716">
        <v>5</v>
      </c>
      <c r="AL716" t="s">
        <v>8625</v>
      </c>
      <c r="AM716" t="s">
        <v>8626</v>
      </c>
      <c r="AN716" t="s">
        <v>8627</v>
      </c>
      <c r="AO716" t="s">
        <v>13889</v>
      </c>
      <c r="AP716" t="s">
        <v>74</v>
      </c>
      <c r="AQ716" t="s">
        <v>74</v>
      </c>
      <c r="AR716" t="s">
        <v>13890</v>
      </c>
      <c r="AS716" t="s">
        <v>13891</v>
      </c>
      <c r="AT716" t="s">
        <v>13828</v>
      </c>
      <c r="AU716">
        <v>2018</v>
      </c>
      <c r="AV716">
        <v>619</v>
      </c>
      <c r="AW716" t="s">
        <v>74</v>
      </c>
      <c r="AX716" t="s">
        <v>74</v>
      </c>
      <c r="AY716" t="s">
        <v>74</v>
      </c>
      <c r="AZ716" t="s">
        <v>74</v>
      </c>
      <c r="BA716" t="s">
        <v>74</v>
      </c>
      <c r="BB716" t="s">
        <v>74</v>
      </c>
      <c r="BC716" t="s">
        <v>74</v>
      </c>
      <c r="BD716" t="s">
        <v>13892</v>
      </c>
      <c r="BE716" t="s">
        <v>13893</v>
      </c>
      <c r="BF716" t="str">
        <f>HYPERLINK("http://dx.doi.org/10.1051/0004-6361/201732565","http://dx.doi.org/10.1051/0004-6361/201732565")</f>
        <v>http://dx.doi.org/10.1051/0004-6361/201732565</v>
      </c>
      <c r="BG716" t="s">
        <v>74</v>
      </c>
      <c r="BH716" t="s">
        <v>74</v>
      </c>
      <c r="BI716">
        <v>22</v>
      </c>
      <c r="BJ716" t="s">
        <v>2351</v>
      </c>
      <c r="BK716" t="s">
        <v>101</v>
      </c>
      <c r="BL716" t="s">
        <v>2351</v>
      </c>
      <c r="BM716" t="s">
        <v>13894</v>
      </c>
      <c r="BN716" t="s">
        <v>74</v>
      </c>
      <c r="BO716" t="s">
        <v>13895</v>
      </c>
      <c r="BP716" t="s">
        <v>74</v>
      </c>
      <c r="BQ716" t="s">
        <v>74</v>
      </c>
      <c r="BR716" t="s">
        <v>104</v>
      </c>
      <c r="BS716" t="s">
        <v>13896</v>
      </c>
      <c r="BT716" t="str">
        <f>HYPERLINK("https%3A%2F%2Fwww.webofscience.com%2Fwos%2Fwoscc%2Ffull-record%2FWOS:000450392200001","View Full Record in Web of Science")</f>
        <v>View Full Record in Web of Science</v>
      </c>
    </row>
    <row r="717" spans="1:72" x14ac:dyDescent="0.15">
      <c r="A717" t="s">
        <v>72</v>
      </c>
      <c r="B717" t="s">
        <v>13897</v>
      </c>
      <c r="C717" t="s">
        <v>74</v>
      </c>
      <c r="D717" t="s">
        <v>74</v>
      </c>
      <c r="E717" t="s">
        <v>74</v>
      </c>
      <c r="F717" t="s">
        <v>13898</v>
      </c>
      <c r="G717" t="s">
        <v>74</v>
      </c>
      <c r="H717" t="s">
        <v>74</v>
      </c>
      <c r="I717" t="s">
        <v>13899</v>
      </c>
      <c r="J717" t="s">
        <v>7690</v>
      </c>
      <c r="K717" t="s">
        <v>74</v>
      </c>
      <c r="L717" t="s">
        <v>74</v>
      </c>
      <c r="M717" t="s">
        <v>78</v>
      </c>
      <c r="N717" t="s">
        <v>79</v>
      </c>
      <c r="O717" t="s">
        <v>74</v>
      </c>
      <c r="P717" t="s">
        <v>74</v>
      </c>
      <c r="Q717" t="s">
        <v>74</v>
      </c>
      <c r="R717" t="s">
        <v>74</v>
      </c>
      <c r="S717" t="s">
        <v>74</v>
      </c>
      <c r="T717" t="s">
        <v>13900</v>
      </c>
      <c r="U717" t="s">
        <v>13901</v>
      </c>
      <c r="V717" t="s">
        <v>13902</v>
      </c>
      <c r="W717" t="s">
        <v>13903</v>
      </c>
      <c r="X717" t="s">
        <v>13904</v>
      </c>
      <c r="Y717" t="s">
        <v>13905</v>
      </c>
      <c r="Z717" t="s">
        <v>13906</v>
      </c>
      <c r="AA717" t="s">
        <v>13907</v>
      </c>
      <c r="AB717" t="s">
        <v>13908</v>
      </c>
      <c r="AC717" t="s">
        <v>13909</v>
      </c>
      <c r="AD717" t="s">
        <v>13910</v>
      </c>
      <c r="AE717" t="s">
        <v>13911</v>
      </c>
      <c r="AF717" t="s">
        <v>74</v>
      </c>
      <c r="AG717">
        <v>61</v>
      </c>
      <c r="AH717">
        <v>23</v>
      </c>
      <c r="AI717">
        <v>23</v>
      </c>
      <c r="AJ717">
        <v>0</v>
      </c>
      <c r="AK717">
        <v>45</v>
      </c>
      <c r="AL717" t="s">
        <v>7701</v>
      </c>
      <c r="AM717" t="s">
        <v>3008</v>
      </c>
      <c r="AN717" t="s">
        <v>7702</v>
      </c>
      <c r="AO717" t="s">
        <v>7703</v>
      </c>
      <c r="AP717" t="s">
        <v>7704</v>
      </c>
      <c r="AQ717" t="s">
        <v>74</v>
      </c>
      <c r="AR717" t="s">
        <v>7705</v>
      </c>
      <c r="AS717" t="s">
        <v>7706</v>
      </c>
      <c r="AT717" t="s">
        <v>13828</v>
      </c>
      <c r="AU717">
        <v>2018</v>
      </c>
      <c r="AV717">
        <v>212</v>
      </c>
      <c r="AW717" t="s">
        <v>74</v>
      </c>
      <c r="AX717" t="s">
        <v>74</v>
      </c>
      <c r="AY717" t="s">
        <v>74</v>
      </c>
      <c r="AZ717" t="s">
        <v>74</v>
      </c>
      <c r="BA717" t="s">
        <v>74</v>
      </c>
      <c r="BB717">
        <v>40</v>
      </c>
      <c r="BC717">
        <v>50</v>
      </c>
      <c r="BD717" t="s">
        <v>74</v>
      </c>
      <c r="BE717" t="s">
        <v>13912</v>
      </c>
      <c r="BF717" t="str">
        <f>HYPERLINK("http://dx.doi.org/10.1016/j.ecss.2018.06.015","http://dx.doi.org/10.1016/j.ecss.2018.06.015")</f>
        <v>http://dx.doi.org/10.1016/j.ecss.2018.06.015</v>
      </c>
      <c r="BG717" t="s">
        <v>74</v>
      </c>
      <c r="BH717" t="s">
        <v>74</v>
      </c>
      <c r="BI717">
        <v>11</v>
      </c>
      <c r="BJ717" t="s">
        <v>827</v>
      </c>
      <c r="BK717" t="s">
        <v>101</v>
      </c>
      <c r="BL717" t="s">
        <v>827</v>
      </c>
      <c r="BM717" t="s">
        <v>13913</v>
      </c>
      <c r="BN717" t="s">
        <v>74</v>
      </c>
      <c r="BO717" t="s">
        <v>404</v>
      </c>
      <c r="BP717" t="s">
        <v>74</v>
      </c>
      <c r="BQ717" t="s">
        <v>74</v>
      </c>
      <c r="BR717" t="s">
        <v>104</v>
      </c>
      <c r="BS717" t="s">
        <v>13914</v>
      </c>
      <c r="BT717" t="str">
        <f>HYPERLINK("https%3A%2F%2Fwww.webofscience.com%2Fwos%2Fwoscc%2Ffull-record%2FWOS:000446286100005","View Full Record in Web of Science")</f>
        <v>View Full Record in Web of Science</v>
      </c>
    </row>
    <row r="718" spans="1:72" x14ac:dyDescent="0.15">
      <c r="A718" t="s">
        <v>72</v>
      </c>
      <c r="B718" t="s">
        <v>13915</v>
      </c>
      <c r="C718" t="s">
        <v>74</v>
      </c>
      <c r="D718" t="s">
        <v>74</v>
      </c>
      <c r="E718" t="s">
        <v>74</v>
      </c>
      <c r="F718" t="s">
        <v>13916</v>
      </c>
      <c r="G718" t="s">
        <v>74</v>
      </c>
      <c r="H718" t="s">
        <v>74</v>
      </c>
      <c r="I718" t="s">
        <v>13917</v>
      </c>
      <c r="J718" t="s">
        <v>13918</v>
      </c>
      <c r="K718" t="s">
        <v>74</v>
      </c>
      <c r="L718" t="s">
        <v>74</v>
      </c>
      <c r="M718" t="s">
        <v>78</v>
      </c>
      <c r="N718" t="s">
        <v>79</v>
      </c>
      <c r="O718" t="s">
        <v>74</v>
      </c>
      <c r="P718" t="s">
        <v>74</v>
      </c>
      <c r="Q718" t="s">
        <v>74</v>
      </c>
      <c r="R718" t="s">
        <v>74</v>
      </c>
      <c r="S718" t="s">
        <v>74</v>
      </c>
      <c r="T718" t="s">
        <v>13919</v>
      </c>
      <c r="U718" t="s">
        <v>13920</v>
      </c>
      <c r="V718" t="s">
        <v>13921</v>
      </c>
      <c r="W718" t="s">
        <v>13922</v>
      </c>
      <c r="X718" t="s">
        <v>13923</v>
      </c>
      <c r="Y718" t="s">
        <v>13924</v>
      </c>
      <c r="Z718" t="s">
        <v>13925</v>
      </c>
      <c r="AA718" t="s">
        <v>13926</v>
      </c>
      <c r="AB718" t="s">
        <v>13927</v>
      </c>
      <c r="AC718" t="s">
        <v>13928</v>
      </c>
      <c r="AD718" t="s">
        <v>13929</v>
      </c>
      <c r="AE718" t="s">
        <v>13930</v>
      </c>
      <c r="AF718" t="s">
        <v>74</v>
      </c>
      <c r="AG718">
        <v>80</v>
      </c>
      <c r="AH718">
        <v>29</v>
      </c>
      <c r="AI718">
        <v>30</v>
      </c>
      <c r="AJ718">
        <v>2</v>
      </c>
      <c r="AK718">
        <v>32</v>
      </c>
      <c r="AL718" t="s">
        <v>985</v>
      </c>
      <c r="AM718" t="s">
        <v>986</v>
      </c>
      <c r="AN718" t="s">
        <v>987</v>
      </c>
      <c r="AO718" t="s">
        <v>13931</v>
      </c>
      <c r="AP718" t="s">
        <v>13932</v>
      </c>
      <c r="AQ718" t="s">
        <v>74</v>
      </c>
      <c r="AR718" t="s">
        <v>13933</v>
      </c>
      <c r="AS718" t="s">
        <v>13934</v>
      </c>
      <c r="AT718" t="s">
        <v>13828</v>
      </c>
      <c r="AU718">
        <v>2018</v>
      </c>
      <c r="AV718">
        <v>606</v>
      </c>
      <c r="AW718" t="s">
        <v>74</v>
      </c>
      <c r="AX718" t="s">
        <v>74</v>
      </c>
      <c r="AY718" t="s">
        <v>74</v>
      </c>
      <c r="AZ718" t="s">
        <v>74</v>
      </c>
      <c r="BA718" t="s">
        <v>74</v>
      </c>
      <c r="BB718">
        <v>65</v>
      </c>
      <c r="BC718">
        <v>78</v>
      </c>
      <c r="BD718" t="s">
        <v>74</v>
      </c>
      <c r="BE718" t="s">
        <v>13935</v>
      </c>
      <c r="BF718" t="str">
        <f>HYPERLINK("http://dx.doi.org/10.3354/meps12767","http://dx.doi.org/10.3354/meps12767")</f>
        <v>http://dx.doi.org/10.3354/meps12767</v>
      </c>
      <c r="BG718" t="s">
        <v>74</v>
      </c>
      <c r="BH718" t="s">
        <v>74</v>
      </c>
      <c r="BI718">
        <v>14</v>
      </c>
      <c r="BJ718" t="s">
        <v>13936</v>
      </c>
      <c r="BK718" t="s">
        <v>101</v>
      </c>
      <c r="BL718" t="s">
        <v>13937</v>
      </c>
      <c r="BM718" t="s">
        <v>13938</v>
      </c>
      <c r="BN718" t="s">
        <v>74</v>
      </c>
      <c r="BO718" t="s">
        <v>74</v>
      </c>
      <c r="BP718" t="s">
        <v>74</v>
      </c>
      <c r="BQ718" t="s">
        <v>74</v>
      </c>
      <c r="BR718" t="s">
        <v>104</v>
      </c>
      <c r="BS718" t="s">
        <v>13939</v>
      </c>
      <c r="BT718" t="str">
        <f>HYPERLINK("https%3A%2F%2Fwww.webofscience.com%2Fwos%2Fwoscc%2Ffull-record%2FWOS:000450352900006","View Full Record in Web of Science")</f>
        <v>View Full Record in Web of Science</v>
      </c>
    </row>
    <row r="719" spans="1:72" x14ac:dyDescent="0.15">
      <c r="A719" t="s">
        <v>72</v>
      </c>
      <c r="B719" t="s">
        <v>13940</v>
      </c>
      <c r="C719" t="s">
        <v>74</v>
      </c>
      <c r="D719" t="s">
        <v>74</v>
      </c>
      <c r="E719" t="s">
        <v>74</v>
      </c>
      <c r="F719" t="s">
        <v>13941</v>
      </c>
      <c r="G719" t="s">
        <v>74</v>
      </c>
      <c r="H719" t="s">
        <v>74</v>
      </c>
      <c r="I719" t="s">
        <v>13942</v>
      </c>
      <c r="J719" t="s">
        <v>7578</v>
      </c>
      <c r="K719" t="s">
        <v>74</v>
      </c>
      <c r="L719" t="s">
        <v>74</v>
      </c>
      <c r="M719" t="s">
        <v>78</v>
      </c>
      <c r="N719" t="s">
        <v>79</v>
      </c>
      <c r="O719" t="s">
        <v>74</v>
      </c>
      <c r="P719" t="s">
        <v>74</v>
      </c>
      <c r="Q719" t="s">
        <v>74</v>
      </c>
      <c r="R719" t="s">
        <v>74</v>
      </c>
      <c r="S719" t="s">
        <v>74</v>
      </c>
      <c r="T719" t="s">
        <v>13943</v>
      </c>
      <c r="U719" t="s">
        <v>13944</v>
      </c>
      <c r="V719" t="s">
        <v>13945</v>
      </c>
      <c r="W719" t="s">
        <v>13946</v>
      </c>
      <c r="X719" t="s">
        <v>13947</v>
      </c>
      <c r="Y719" t="s">
        <v>13948</v>
      </c>
      <c r="Z719" t="s">
        <v>13949</v>
      </c>
      <c r="AA719" t="s">
        <v>13950</v>
      </c>
      <c r="AB719" t="s">
        <v>13951</v>
      </c>
      <c r="AC719" t="s">
        <v>13952</v>
      </c>
      <c r="AD719" t="s">
        <v>13953</v>
      </c>
      <c r="AE719" t="s">
        <v>13954</v>
      </c>
      <c r="AF719" t="s">
        <v>74</v>
      </c>
      <c r="AG719">
        <v>88</v>
      </c>
      <c r="AH719">
        <v>73</v>
      </c>
      <c r="AI719">
        <v>73</v>
      </c>
      <c r="AJ719">
        <v>2</v>
      </c>
      <c r="AK719">
        <v>32</v>
      </c>
      <c r="AL719" t="s">
        <v>3352</v>
      </c>
      <c r="AM719" t="s">
        <v>3353</v>
      </c>
      <c r="AN719" t="s">
        <v>3354</v>
      </c>
      <c r="AO719" t="s">
        <v>7591</v>
      </c>
      <c r="AP719" t="s">
        <v>7592</v>
      </c>
      <c r="AQ719" t="s">
        <v>74</v>
      </c>
      <c r="AR719" t="s">
        <v>7593</v>
      </c>
      <c r="AS719" t="s">
        <v>7594</v>
      </c>
      <c r="AT719" t="s">
        <v>13828</v>
      </c>
      <c r="AU719">
        <v>2018</v>
      </c>
      <c r="AV719">
        <v>241</v>
      </c>
      <c r="AW719" t="s">
        <v>74</v>
      </c>
      <c r="AX719" t="s">
        <v>74</v>
      </c>
      <c r="AY719" t="s">
        <v>74</v>
      </c>
      <c r="AZ719" t="s">
        <v>74</v>
      </c>
      <c r="BA719" t="s">
        <v>74</v>
      </c>
      <c r="BB719">
        <v>17</v>
      </c>
      <c r="BC719">
        <v>37</v>
      </c>
      <c r="BD719" t="s">
        <v>74</v>
      </c>
      <c r="BE719" t="s">
        <v>13955</v>
      </c>
      <c r="BF719" t="str">
        <f>HYPERLINK("http://dx.doi.org/10.1016/j.gca.2018.08.029","http://dx.doi.org/10.1016/j.gca.2018.08.029")</f>
        <v>http://dx.doi.org/10.1016/j.gca.2018.08.029</v>
      </c>
      <c r="BG719" t="s">
        <v>74</v>
      </c>
      <c r="BH719" t="s">
        <v>74</v>
      </c>
      <c r="BI719">
        <v>21</v>
      </c>
      <c r="BJ719" t="s">
        <v>746</v>
      </c>
      <c r="BK719" t="s">
        <v>101</v>
      </c>
      <c r="BL719" t="s">
        <v>746</v>
      </c>
      <c r="BM719" t="s">
        <v>13956</v>
      </c>
      <c r="BN719" t="s">
        <v>74</v>
      </c>
      <c r="BO719" t="s">
        <v>3810</v>
      </c>
      <c r="BP719" t="s">
        <v>74</v>
      </c>
      <c r="BQ719" t="s">
        <v>74</v>
      </c>
      <c r="BR719" t="s">
        <v>104</v>
      </c>
      <c r="BS719" t="s">
        <v>13957</v>
      </c>
      <c r="BT719" t="str">
        <f>HYPERLINK("https%3A%2F%2Fwww.webofscience.com%2Fwos%2Fwoscc%2Ffull-record%2FWOS:000445909200002","View Full Record in Web of Science")</f>
        <v>View Full Record in Web of Science</v>
      </c>
    </row>
    <row r="720" spans="1:72" x14ac:dyDescent="0.15">
      <c r="A720" t="s">
        <v>72</v>
      </c>
      <c r="B720" t="s">
        <v>13958</v>
      </c>
      <c r="C720" t="s">
        <v>74</v>
      </c>
      <c r="D720" t="s">
        <v>74</v>
      </c>
      <c r="E720" t="s">
        <v>74</v>
      </c>
      <c r="F720" t="s">
        <v>13959</v>
      </c>
      <c r="G720" t="s">
        <v>74</v>
      </c>
      <c r="H720" t="s">
        <v>74</v>
      </c>
      <c r="I720" t="s">
        <v>13960</v>
      </c>
      <c r="J720" t="s">
        <v>13961</v>
      </c>
      <c r="K720" t="s">
        <v>74</v>
      </c>
      <c r="L720" t="s">
        <v>74</v>
      </c>
      <c r="M720" t="s">
        <v>78</v>
      </c>
      <c r="N720" t="s">
        <v>79</v>
      </c>
      <c r="O720" t="s">
        <v>74</v>
      </c>
      <c r="P720" t="s">
        <v>74</v>
      </c>
      <c r="Q720" t="s">
        <v>74</v>
      </c>
      <c r="R720" t="s">
        <v>74</v>
      </c>
      <c r="S720" t="s">
        <v>74</v>
      </c>
      <c r="T720" t="s">
        <v>13962</v>
      </c>
      <c r="U720" t="s">
        <v>13963</v>
      </c>
      <c r="V720" t="s">
        <v>13964</v>
      </c>
      <c r="W720" t="s">
        <v>13965</v>
      </c>
      <c r="X720" t="s">
        <v>13966</v>
      </c>
      <c r="Y720" t="s">
        <v>13967</v>
      </c>
      <c r="Z720" t="s">
        <v>13968</v>
      </c>
      <c r="AA720" t="s">
        <v>74</v>
      </c>
      <c r="AB720" t="s">
        <v>74</v>
      </c>
      <c r="AC720" t="s">
        <v>13969</v>
      </c>
      <c r="AD720" t="s">
        <v>13969</v>
      </c>
      <c r="AE720" t="s">
        <v>13970</v>
      </c>
      <c r="AF720" t="s">
        <v>74</v>
      </c>
      <c r="AG720">
        <v>30</v>
      </c>
      <c r="AH720">
        <v>0</v>
      </c>
      <c r="AI720">
        <v>0</v>
      </c>
      <c r="AJ720">
        <v>0</v>
      </c>
      <c r="AK720">
        <v>3</v>
      </c>
      <c r="AL720" t="s">
        <v>2519</v>
      </c>
      <c r="AM720" t="s">
        <v>2520</v>
      </c>
      <c r="AN720" t="s">
        <v>3313</v>
      </c>
      <c r="AO720" t="s">
        <v>13971</v>
      </c>
      <c r="AP720" t="s">
        <v>13972</v>
      </c>
      <c r="AQ720" t="s">
        <v>74</v>
      </c>
      <c r="AR720" t="s">
        <v>13973</v>
      </c>
      <c r="AS720" t="s">
        <v>13974</v>
      </c>
      <c r="AT720" t="s">
        <v>13828</v>
      </c>
      <c r="AU720">
        <v>2018</v>
      </c>
      <c r="AV720">
        <v>510</v>
      </c>
      <c r="AW720" t="s">
        <v>74</v>
      </c>
      <c r="AX720" t="s">
        <v>74</v>
      </c>
      <c r="AY720" t="s">
        <v>74</v>
      </c>
      <c r="AZ720" t="s">
        <v>74</v>
      </c>
      <c r="BA720" t="s">
        <v>74</v>
      </c>
      <c r="BB720">
        <v>290</v>
      </c>
      <c r="BC720">
        <v>301</v>
      </c>
      <c r="BD720" t="s">
        <v>74</v>
      </c>
      <c r="BE720" t="s">
        <v>13975</v>
      </c>
      <c r="BF720" t="str">
        <f>HYPERLINK("http://dx.doi.org/10.1016/j.physa.2018.06.071","http://dx.doi.org/10.1016/j.physa.2018.06.071")</f>
        <v>http://dx.doi.org/10.1016/j.physa.2018.06.071</v>
      </c>
      <c r="BG720" t="s">
        <v>74</v>
      </c>
      <c r="BH720" t="s">
        <v>74</v>
      </c>
      <c r="BI720">
        <v>12</v>
      </c>
      <c r="BJ720" t="s">
        <v>2448</v>
      </c>
      <c r="BK720" t="s">
        <v>3493</v>
      </c>
      <c r="BL720" t="s">
        <v>2449</v>
      </c>
      <c r="BM720" t="s">
        <v>13976</v>
      </c>
      <c r="BN720" t="s">
        <v>74</v>
      </c>
      <c r="BO720" t="s">
        <v>74</v>
      </c>
      <c r="BP720" t="s">
        <v>74</v>
      </c>
      <c r="BQ720" t="s">
        <v>74</v>
      </c>
      <c r="BR720" t="s">
        <v>104</v>
      </c>
      <c r="BS720" t="s">
        <v>13977</v>
      </c>
      <c r="BT720" t="str">
        <f>HYPERLINK("https%3A%2F%2Fwww.webofscience.com%2Fwos%2Fwoscc%2Ffull-record%2FWOS:000442712000026","View Full Record in Web of Science")</f>
        <v>View Full Record in Web of Science</v>
      </c>
    </row>
    <row r="721" spans="1:72" x14ac:dyDescent="0.15">
      <c r="A721" t="s">
        <v>72</v>
      </c>
      <c r="B721" t="s">
        <v>13978</v>
      </c>
      <c r="C721" t="s">
        <v>74</v>
      </c>
      <c r="D721" t="s">
        <v>74</v>
      </c>
      <c r="E721" t="s">
        <v>74</v>
      </c>
      <c r="F721" t="s">
        <v>13979</v>
      </c>
      <c r="G721" t="s">
        <v>74</v>
      </c>
      <c r="H721" t="s">
        <v>74</v>
      </c>
      <c r="I721" t="s">
        <v>13980</v>
      </c>
      <c r="J721" t="s">
        <v>198</v>
      </c>
      <c r="K721" t="s">
        <v>74</v>
      </c>
      <c r="L721" t="s">
        <v>74</v>
      </c>
      <c r="M721" t="s">
        <v>78</v>
      </c>
      <c r="N721" t="s">
        <v>79</v>
      </c>
      <c r="O721" t="s">
        <v>74</v>
      </c>
      <c r="P721" t="s">
        <v>74</v>
      </c>
      <c r="Q721" t="s">
        <v>74</v>
      </c>
      <c r="R721" t="s">
        <v>74</v>
      </c>
      <c r="S721" t="s">
        <v>74</v>
      </c>
      <c r="T721" t="s">
        <v>13981</v>
      </c>
      <c r="U721" t="s">
        <v>13982</v>
      </c>
      <c r="V721" t="s">
        <v>13983</v>
      </c>
      <c r="W721" t="s">
        <v>13984</v>
      </c>
      <c r="X721" t="s">
        <v>13985</v>
      </c>
      <c r="Y721" t="s">
        <v>13986</v>
      </c>
      <c r="Z721" t="s">
        <v>13987</v>
      </c>
      <c r="AA721" t="s">
        <v>13988</v>
      </c>
      <c r="AB721" t="s">
        <v>13989</v>
      </c>
      <c r="AC721" t="s">
        <v>13990</v>
      </c>
      <c r="AD721" t="s">
        <v>13991</v>
      </c>
      <c r="AE721" t="s">
        <v>13992</v>
      </c>
      <c r="AF721" t="s">
        <v>74</v>
      </c>
      <c r="AG721">
        <v>40</v>
      </c>
      <c r="AH721">
        <v>0</v>
      </c>
      <c r="AI721">
        <v>0</v>
      </c>
      <c r="AJ721">
        <v>0</v>
      </c>
      <c r="AK721">
        <v>4</v>
      </c>
      <c r="AL721" t="s">
        <v>210</v>
      </c>
      <c r="AM721" t="s">
        <v>211</v>
      </c>
      <c r="AN721" t="s">
        <v>212</v>
      </c>
      <c r="AO721" t="s">
        <v>213</v>
      </c>
      <c r="AP721" t="s">
        <v>214</v>
      </c>
      <c r="AQ721" t="s">
        <v>74</v>
      </c>
      <c r="AR721" t="s">
        <v>215</v>
      </c>
      <c r="AS721" t="s">
        <v>216</v>
      </c>
      <c r="AT721" t="s">
        <v>13993</v>
      </c>
      <c r="AU721">
        <v>2018</v>
      </c>
      <c r="AV721">
        <v>50</v>
      </c>
      <c r="AW721">
        <v>1</v>
      </c>
      <c r="AX721" t="s">
        <v>74</v>
      </c>
      <c r="AY721" t="s">
        <v>74</v>
      </c>
      <c r="AZ721" t="s">
        <v>74</v>
      </c>
      <c r="BA721" t="s">
        <v>74</v>
      </c>
      <c r="BB721" t="s">
        <v>74</v>
      </c>
      <c r="BC721" t="s">
        <v>74</v>
      </c>
      <c r="BD721" t="s">
        <v>13994</v>
      </c>
      <c r="BE721" t="s">
        <v>13995</v>
      </c>
      <c r="BF721" t="str">
        <f>HYPERLINK("http://dx.doi.org/10.1080/15230430.2018.1542209","http://dx.doi.org/10.1080/15230430.2018.1542209")</f>
        <v>http://dx.doi.org/10.1080/15230430.2018.1542209</v>
      </c>
      <c r="BG721" t="s">
        <v>74</v>
      </c>
      <c r="BH721" t="s">
        <v>74</v>
      </c>
      <c r="BI721">
        <v>12</v>
      </c>
      <c r="BJ721" t="s">
        <v>218</v>
      </c>
      <c r="BK721" t="s">
        <v>101</v>
      </c>
      <c r="BL721" t="s">
        <v>219</v>
      </c>
      <c r="BM721" t="s">
        <v>13996</v>
      </c>
      <c r="BN721" t="s">
        <v>74</v>
      </c>
      <c r="BO721" t="s">
        <v>131</v>
      </c>
      <c r="BP721" t="s">
        <v>74</v>
      </c>
      <c r="BQ721" t="s">
        <v>74</v>
      </c>
      <c r="BR721" t="s">
        <v>104</v>
      </c>
      <c r="BS721" t="s">
        <v>13997</v>
      </c>
      <c r="BT721" t="str">
        <f>HYPERLINK("https%3A%2F%2Fwww.webofscience.com%2Fwos%2Fwoscc%2Ffull-record%2FWOS:000454393200001","View Full Record in Web of Science")</f>
        <v>View Full Record in Web of Science</v>
      </c>
    </row>
    <row r="722" spans="1:72" x14ac:dyDescent="0.15">
      <c r="A722" t="s">
        <v>72</v>
      </c>
      <c r="B722" t="s">
        <v>13998</v>
      </c>
      <c r="C722" t="s">
        <v>74</v>
      </c>
      <c r="D722" t="s">
        <v>74</v>
      </c>
      <c r="E722" t="s">
        <v>74</v>
      </c>
      <c r="F722" t="s">
        <v>13999</v>
      </c>
      <c r="G722" t="s">
        <v>74</v>
      </c>
      <c r="H722" t="s">
        <v>74</v>
      </c>
      <c r="I722" t="s">
        <v>14000</v>
      </c>
      <c r="J722" t="s">
        <v>8794</v>
      </c>
      <c r="K722" t="s">
        <v>74</v>
      </c>
      <c r="L722" t="s">
        <v>74</v>
      </c>
      <c r="M722" t="s">
        <v>78</v>
      </c>
      <c r="N722" t="s">
        <v>79</v>
      </c>
      <c r="O722" t="s">
        <v>74</v>
      </c>
      <c r="P722" t="s">
        <v>74</v>
      </c>
      <c r="Q722" t="s">
        <v>74</v>
      </c>
      <c r="R722" t="s">
        <v>74</v>
      </c>
      <c r="S722" t="s">
        <v>74</v>
      </c>
      <c r="T722" t="s">
        <v>14001</v>
      </c>
      <c r="U722" t="s">
        <v>14002</v>
      </c>
      <c r="V722" t="s">
        <v>14003</v>
      </c>
      <c r="W722" t="s">
        <v>14004</v>
      </c>
      <c r="X722" t="s">
        <v>14005</v>
      </c>
      <c r="Y722" t="s">
        <v>14006</v>
      </c>
      <c r="Z722" t="s">
        <v>14007</v>
      </c>
      <c r="AA722" t="s">
        <v>14008</v>
      </c>
      <c r="AB722" t="s">
        <v>14009</v>
      </c>
      <c r="AC722" t="s">
        <v>14010</v>
      </c>
      <c r="AD722" t="s">
        <v>14011</v>
      </c>
      <c r="AE722" t="s">
        <v>14012</v>
      </c>
      <c r="AF722" t="s">
        <v>74</v>
      </c>
      <c r="AG722">
        <v>70</v>
      </c>
      <c r="AH722">
        <v>26</v>
      </c>
      <c r="AI722">
        <v>26</v>
      </c>
      <c r="AJ722">
        <v>0</v>
      </c>
      <c r="AK722">
        <v>14</v>
      </c>
      <c r="AL722" t="s">
        <v>8807</v>
      </c>
      <c r="AM722" t="s">
        <v>8808</v>
      </c>
      <c r="AN722" t="s">
        <v>8809</v>
      </c>
      <c r="AO722" t="s">
        <v>8810</v>
      </c>
      <c r="AP722" t="s">
        <v>8811</v>
      </c>
      <c r="AQ722" t="s">
        <v>74</v>
      </c>
      <c r="AR722" t="s">
        <v>8812</v>
      </c>
      <c r="AS722" t="s">
        <v>8813</v>
      </c>
      <c r="AT722" t="s">
        <v>13993</v>
      </c>
      <c r="AU722">
        <v>2018</v>
      </c>
      <c r="AV722">
        <v>51</v>
      </c>
      <c r="AW722" t="s">
        <v>74</v>
      </c>
      <c r="AX722" t="s">
        <v>74</v>
      </c>
      <c r="AY722" t="s">
        <v>74</v>
      </c>
      <c r="AZ722" t="s">
        <v>74</v>
      </c>
      <c r="BA722" t="s">
        <v>74</v>
      </c>
      <c r="BB722" t="s">
        <v>74</v>
      </c>
      <c r="BC722" t="s">
        <v>74</v>
      </c>
      <c r="BD722">
        <v>48</v>
      </c>
      <c r="BE722" t="s">
        <v>14013</v>
      </c>
      <c r="BF722" t="str">
        <f>HYPERLINK("http://dx.doi.org/10.1186/s40659-018-0197-0","http://dx.doi.org/10.1186/s40659-018-0197-0")</f>
        <v>http://dx.doi.org/10.1186/s40659-018-0197-0</v>
      </c>
      <c r="BG722" t="s">
        <v>74</v>
      </c>
      <c r="BH722" t="s">
        <v>74</v>
      </c>
      <c r="BI722">
        <v>10</v>
      </c>
      <c r="BJ722" t="s">
        <v>598</v>
      </c>
      <c r="BK722" t="s">
        <v>101</v>
      </c>
      <c r="BL722" t="s">
        <v>599</v>
      </c>
      <c r="BM722" t="s">
        <v>14014</v>
      </c>
      <c r="BN722">
        <v>30428921</v>
      </c>
      <c r="BO722" t="s">
        <v>193</v>
      </c>
      <c r="BP722" t="s">
        <v>74</v>
      </c>
      <c r="BQ722" t="s">
        <v>74</v>
      </c>
      <c r="BR722" t="s">
        <v>104</v>
      </c>
      <c r="BS722" t="s">
        <v>14015</v>
      </c>
      <c r="BT722" t="str">
        <f>HYPERLINK("https%3A%2F%2Fwww.webofscience.com%2Fwos%2Fwoscc%2Ffull-record%2FWOS:000450360100002","View Full Record in Web of Science")</f>
        <v>View Full Record in Web of Science</v>
      </c>
    </row>
    <row r="723" spans="1:72" x14ac:dyDescent="0.15">
      <c r="A723" t="s">
        <v>72</v>
      </c>
      <c r="B723" t="s">
        <v>14016</v>
      </c>
      <c r="C723" t="s">
        <v>74</v>
      </c>
      <c r="D723" t="s">
        <v>74</v>
      </c>
      <c r="E723" t="s">
        <v>74</v>
      </c>
      <c r="F723" t="s">
        <v>14017</v>
      </c>
      <c r="G723" t="s">
        <v>74</v>
      </c>
      <c r="H723" t="s">
        <v>74</v>
      </c>
      <c r="I723" t="s">
        <v>14018</v>
      </c>
      <c r="J723" t="s">
        <v>8160</v>
      </c>
      <c r="K723" t="s">
        <v>74</v>
      </c>
      <c r="L723" t="s">
        <v>74</v>
      </c>
      <c r="M723" t="s">
        <v>78</v>
      </c>
      <c r="N723" t="s">
        <v>79</v>
      </c>
      <c r="O723" t="s">
        <v>74</v>
      </c>
      <c r="P723" t="s">
        <v>74</v>
      </c>
      <c r="Q723" t="s">
        <v>74</v>
      </c>
      <c r="R723" t="s">
        <v>74</v>
      </c>
      <c r="S723" t="s">
        <v>74</v>
      </c>
      <c r="T723" t="s">
        <v>14019</v>
      </c>
      <c r="U723" t="s">
        <v>14020</v>
      </c>
      <c r="V723" t="s">
        <v>14021</v>
      </c>
      <c r="W723" t="s">
        <v>14022</v>
      </c>
      <c r="X723" t="s">
        <v>14023</v>
      </c>
      <c r="Y723" t="s">
        <v>14024</v>
      </c>
      <c r="Z723" t="s">
        <v>14025</v>
      </c>
      <c r="AA723" t="s">
        <v>14026</v>
      </c>
      <c r="AB723" t="s">
        <v>14027</v>
      </c>
      <c r="AC723" t="s">
        <v>14028</v>
      </c>
      <c r="AD723" t="s">
        <v>874</v>
      </c>
      <c r="AE723" t="s">
        <v>14029</v>
      </c>
      <c r="AF723" t="s">
        <v>74</v>
      </c>
      <c r="AG723">
        <v>32</v>
      </c>
      <c r="AH723">
        <v>1</v>
      </c>
      <c r="AI723">
        <v>1</v>
      </c>
      <c r="AJ723">
        <v>0</v>
      </c>
      <c r="AK723">
        <v>6</v>
      </c>
      <c r="AL723" t="s">
        <v>210</v>
      </c>
      <c r="AM723" t="s">
        <v>211</v>
      </c>
      <c r="AN723" t="s">
        <v>212</v>
      </c>
      <c r="AO723" t="s">
        <v>8169</v>
      </c>
      <c r="AP723" t="s">
        <v>8170</v>
      </c>
      <c r="AQ723" t="s">
        <v>74</v>
      </c>
      <c r="AR723" t="s">
        <v>8171</v>
      </c>
      <c r="AS723" t="s">
        <v>8172</v>
      </c>
      <c r="AT723" t="s">
        <v>13993</v>
      </c>
      <c r="AU723">
        <v>2018</v>
      </c>
      <c r="AV723">
        <v>37</v>
      </c>
      <c r="AW723">
        <v>1</v>
      </c>
      <c r="AX723" t="s">
        <v>74</v>
      </c>
      <c r="AY723" t="s">
        <v>74</v>
      </c>
      <c r="AZ723" t="s">
        <v>74</v>
      </c>
      <c r="BA723" t="s">
        <v>74</v>
      </c>
      <c r="BB723" t="s">
        <v>74</v>
      </c>
      <c r="BC723" t="s">
        <v>74</v>
      </c>
      <c r="BD723">
        <v>1540244</v>
      </c>
      <c r="BE723" t="s">
        <v>14030</v>
      </c>
      <c r="BF723" t="str">
        <f>HYPERLINK("http://dx.doi.org/10.1080/17518369.2018.1540244","http://dx.doi.org/10.1080/17518369.2018.1540244")</f>
        <v>http://dx.doi.org/10.1080/17518369.2018.1540244</v>
      </c>
      <c r="BG723" t="s">
        <v>74</v>
      </c>
      <c r="BH723" t="s">
        <v>74</v>
      </c>
      <c r="BI723">
        <v>5</v>
      </c>
      <c r="BJ723" t="s">
        <v>8175</v>
      </c>
      <c r="BK723" t="s">
        <v>101</v>
      </c>
      <c r="BL723" t="s">
        <v>8176</v>
      </c>
      <c r="BM723" t="s">
        <v>14031</v>
      </c>
      <c r="BN723" t="s">
        <v>74</v>
      </c>
      <c r="BO723" t="s">
        <v>131</v>
      </c>
      <c r="BP723" t="s">
        <v>74</v>
      </c>
      <c r="BQ723" t="s">
        <v>74</v>
      </c>
      <c r="BR723" t="s">
        <v>104</v>
      </c>
      <c r="BS723" t="s">
        <v>14032</v>
      </c>
      <c r="BT723" t="str">
        <f>HYPERLINK("https%3A%2F%2Fwww.webofscience.com%2Fwos%2Fwoscc%2Ffull-record%2FWOS:000450607000001","View Full Record in Web of Science")</f>
        <v>View Full Record in Web of Science</v>
      </c>
    </row>
    <row r="724" spans="1:72" x14ac:dyDescent="0.15">
      <c r="A724" t="s">
        <v>72</v>
      </c>
      <c r="B724" t="s">
        <v>14033</v>
      </c>
      <c r="C724" t="s">
        <v>74</v>
      </c>
      <c r="D724" t="s">
        <v>74</v>
      </c>
      <c r="E724" t="s">
        <v>74</v>
      </c>
      <c r="F724" t="s">
        <v>14034</v>
      </c>
      <c r="G724" t="s">
        <v>74</v>
      </c>
      <c r="H724" t="s">
        <v>74</v>
      </c>
      <c r="I724" t="s">
        <v>14035</v>
      </c>
      <c r="J724" t="s">
        <v>8034</v>
      </c>
      <c r="K724" t="s">
        <v>74</v>
      </c>
      <c r="L724" t="s">
        <v>74</v>
      </c>
      <c r="M724" t="s">
        <v>78</v>
      </c>
      <c r="N724" t="s">
        <v>79</v>
      </c>
      <c r="O724" t="s">
        <v>74</v>
      </c>
      <c r="P724" t="s">
        <v>74</v>
      </c>
      <c r="Q724" t="s">
        <v>74</v>
      </c>
      <c r="R724" t="s">
        <v>74</v>
      </c>
      <c r="S724" t="s">
        <v>74</v>
      </c>
      <c r="T724" t="s">
        <v>74</v>
      </c>
      <c r="U724" t="s">
        <v>14036</v>
      </c>
      <c r="V724" t="s">
        <v>14037</v>
      </c>
      <c r="W724" t="s">
        <v>14038</v>
      </c>
      <c r="X724" t="s">
        <v>14039</v>
      </c>
      <c r="Y724" t="s">
        <v>14040</v>
      </c>
      <c r="Z724" t="s">
        <v>14041</v>
      </c>
      <c r="AA724" t="s">
        <v>14042</v>
      </c>
      <c r="AB724" t="s">
        <v>14043</v>
      </c>
      <c r="AC724" t="s">
        <v>14044</v>
      </c>
      <c r="AD724" t="s">
        <v>14045</v>
      </c>
      <c r="AE724" t="s">
        <v>14046</v>
      </c>
      <c r="AF724" t="s">
        <v>74</v>
      </c>
      <c r="AG724">
        <v>57</v>
      </c>
      <c r="AH724">
        <v>37</v>
      </c>
      <c r="AI724">
        <v>39</v>
      </c>
      <c r="AJ724">
        <v>0</v>
      </c>
      <c r="AK724">
        <v>14</v>
      </c>
      <c r="AL724" t="s">
        <v>8045</v>
      </c>
      <c r="AM724" t="s">
        <v>6186</v>
      </c>
      <c r="AN724" t="s">
        <v>6187</v>
      </c>
      <c r="AO724" t="s">
        <v>8046</v>
      </c>
      <c r="AP724" t="s">
        <v>74</v>
      </c>
      <c r="AQ724" t="s">
        <v>74</v>
      </c>
      <c r="AR724" t="s">
        <v>8047</v>
      </c>
      <c r="AS724" t="s">
        <v>8048</v>
      </c>
      <c r="AT724" t="s">
        <v>13993</v>
      </c>
      <c r="AU724">
        <v>2018</v>
      </c>
      <c r="AV724">
        <v>8</v>
      </c>
      <c r="AW724" t="s">
        <v>74</v>
      </c>
      <c r="AX724" t="s">
        <v>74</v>
      </c>
      <c r="AY724" t="s">
        <v>74</v>
      </c>
      <c r="AZ724" t="s">
        <v>74</v>
      </c>
      <c r="BA724" t="s">
        <v>74</v>
      </c>
      <c r="BB724" t="s">
        <v>74</v>
      </c>
      <c r="BC724" t="s">
        <v>74</v>
      </c>
      <c r="BD724">
        <v>16785</v>
      </c>
      <c r="BE724" t="s">
        <v>14047</v>
      </c>
      <c r="BF724" t="str">
        <f>HYPERLINK("http://dx.doi.org/10.1038/s41598-018-35182-0","http://dx.doi.org/10.1038/s41598-018-35182-0")</f>
        <v>http://dx.doi.org/10.1038/s41598-018-35182-0</v>
      </c>
      <c r="BG724" t="s">
        <v>74</v>
      </c>
      <c r="BH724" t="s">
        <v>74</v>
      </c>
      <c r="BI724">
        <v>8</v>
      </c>
      <c r="BJ724" t="s">
        <v>855</v>
      </c>
      <c r="BK724" t="s">
        <v>101</v>
      </c>
      <c r="BL724" t="s">
        <v>856</v>
      </c>
      <c r="BM724" t="s">
        <v>14048</v>
      </c>
      <c r="BN724">
        <v>30429526</v>
      </c>
      <c r="BO724" t="s">
        <v>7920</v>
      </c>
      <c r="BP724" t="s">
        <v>74</v>
      </c>
      <c r="BQ724" t="s">
        <v>74</v>
      </c>
      <c r="BR724" t="s">
        <v>104</v>
      </c>
      <c r="BS724" t="s">
        <v>14049</v>
      </c>
      <c r="BT724" t="str">
        <f>HYPERLINK("https%3A%2F%2Fwww.webofscience.com%2Fwos%2Fwoscc%2Ffull-record%2FWOS:000450069300006","View Full Record in Web of Science")</f>
        <v>View Full Record in Web of Science</v>
      </c>
    </row>
    <row r="725" spans="1:72" x14ac:dyDescent="0.15">
      <c r="A725" t="s">
        <v>72</v>
      </c>
      <c r="B725" t="s">
        <v>14050</v>
      </c>
      <c r="C725" t="s">
        <v>74</v>
      </c>
      <c r="D725" t="s">
        <v>74</v>
      </c>
      <c r="E725" t="s">
        <v>74</v>
      </c>
      <c r="F725" t="s">
        <v>14051</v>
      </c>
      <c r="G725" t="s">
        <v>74</v>
      </c>
      <c r="H725" t="s">
        <v>74</v>
      </c>
      <c r="I725" t="s">
        <v>14052</v>
      </c>
      <c r="J725" t="s">
        <v>14053</v>
      </c>
      <c r="K725" t="s">
        <v>74</v>
      </c>
      <c r="L725" t="s">
        <v>74</v>
      </c>
      <c r="M725" t="s">
        <v>78</v>
      </c>
      <c r="N725" t="s">
        <v>79</v>
      </c>
      <c r="O725" t="s">
        <v>74</v>
      </c>
      <c r="P725" t="s">
        <v>74</v>
      </c>
      <c r="Q725" t="s">
        <v>74</v>
      </c>
      <c r="R725" t="s">
        <v>74</v>
      </c>
      <c r="S725" t="s">
        <v>74</v>
      </c>
      <c r="T725" t="s">
        <v>14054</v>
      </c>
      <c r="U725" t="s">
        <v>74</v>
      </c>
      <c r="V725" t="s">
        <v>14055</v>
      </c>
      <c r="W725" t="s">
        <v>14056</v>
      </c>
      <c r="X725" t="s">
        <v>14057</v>
      </c>
      <c r="Y725" t="s">
        <v>14058</v>
      </c>
      <c r="Z725" t="s">
        <v>14059</v>
      </c>
      <c r="AA725" t="s">
        <v>74</v>
      </c>
      <c r="AB725" t="s">
        <v>14060</v>
      </c>
      <c r="AC725" t="s">
        <v>14061</v>
      </c>
      <c r="AD725" t="s">
        <v>14061</v>
      </c>
      <c r="AE725" t="s">
        <v>14062</v>
      </c>
      <c r="AF725" t="s">
        <v>74</v>
      </c>
      <c r="AG725">
        <v>22</v>
      </c>
      <c r="AH725">
        <v>2</v>
      </c>
      <c r="AI725">
        <v>2</v>
      </c>
      <c r="AJ725">
        <v>0</v>
      </c>
      <c r="AK725">
        <v>2</v>
      </c>
      <c r="AL725" t="s">
        <v>14063</v>
      </c>
      <c r="AM725" t="s">
        <v>3008</v>
      </c>
      <c r="AN725" t="s">
        <v>14064</v>
      </c>
      <c r="AO725" t="s">
        <v>14065</v>
      </c>
      <c r="AP725" t="s">
        <v>14066</v>
      </c>
      <c r="AQ725" t="s">
        <v>74</v>
      </c>
      <c r="AR725" t="s">
        <v>14067</v>
      </c>
      <c r="AS725" t="s">
        <v>14068</v>
      </c>
      <c r="AT725" t="s">
        <v>13993</v>
      </c>
      <c r="AU725">
        <v>2018</v>
      </c>
      <c r="AV725">
        <v>16</v>
      </c>
      <c r="AW725">
        <v>1</v>
      </c>
      <c r="AX725" t="s">
        <v>74</v>
      </c>
      <c r="AY725" t="s">
        <v>74</v>
      </c>
      <c r="AZ725" t="s">
        <v>74</v>
      </c>
      <c r="BA725" t="s">
        <v>74</v>
      </c>
      <c r="BB725" t="s">
        <v>74</v>
      </c>
      <c r="BC725" t="s">
        <v>74</v>
      </c>
      <c r="BD725">
        <v>4</v>
      </c>
      <c r="BE725" t="s">
        <v>14069</v>
      </c>
      <c r="BF725" t="str">
        <f>HYPERLINK("http://dx.doi.org/10.5334/jcms.166","http://dx.doi.org/10.5334/jcms.166")</f>
        <v>http://dx.doi.org/10.5334/jcms.166</v>
      </c>
      <c r="BG725" t="s">
        <v>74</v>
      </c>
      <c r="BH725" t="s">
        <v>74</v>
      </c>
      <c r="BI725">
        <v>14</v>
      </c>
      <c r="BJ725" t="s">
        <v>2484</v>
      </c>
      <c r="BK725" t="s">
        <v>349</v>
      </c>
      <c r="BL725" t="s">
        <v>2485</v>
      </c>
      <c r="BM725" t="s">
        <v>14070</v>
      </c>
      <c r="BN725" t="s">
        <v>74</v>
      </c>
      <c r="BO725" t="s">
        <v>949</v>
      </c>
      <c r="BP725" t="s">
        <v>74</v>
      </c>
      <c r="BQ725" t="s">
        <v>74</v>
      </c>
      <c r="BR725" t="s">
        <v>104</v>
      </c>
      <c r="BS725" t="s">
        <v>14071</v>
      </c>
      <c r="BT725" t="str">
        <f>HYPERLINK("https%3A%2F%2Fwww.webofscience.com%2Fwos%2Fwoscc%2Ffull-record%2FWOS:000451139900001","View Full Record in Web of Science")</f>
        <v>View Full Record in Web of Science</v>
      </c>
    </row>
    <row r="726" spans="1:72" x14ac:dyDescent="0.15">
      <c r="A726" t="s">
        <v>72</v>
      </c>
      <c r="B726" t="s">
        <v>14072</v>
      </c>
      <c r="C726" t="s">
        <v>74</v>
      </c>
      <c r="D726" t="s">
        <v>74</v>
      </c>
      <c r="E726" t="s">
        <v>74</v>
      </c>
      <c r="F726" t="s">
        <v>14073</v>
      </c>
      <c r="G726" t="s">
        <v>74</v>
      </c>
      <c r="H726" t="s">
        <v>74</v>
      </c>
      <c r="I726" t="s">
        <v>14074</v>
      </c>
      <c r="J726" t="s">
        <v>7857</v>
      </c>
      <c r="K726" t="s">
        <v>74</v>
      </c>
      <c r="L726" t="s">
        <v>74</v>
      </c>
      <c r="M726" t="s">
        <v>78</v>
      </c>
      <c r="N726" t="s">
        <v>79</v>
      </c>
      <c r="O726" t="s">
        <v>74</v>
      </c>
      <c r="P726" t="s">
        <v>74</v>
      </c>
      <c r="Q726" t="s">
        <v>74</v>
      </c>
      <c r="R726" t="s">
        <v>74</v>
      </c>
      <c r="S726" t="s">
        <v>74</v>
      </c>
      <c r="T726" t="s">
        <v>74</v>
      </c>
      <c r="U726" t="s">
        <v>14075</v>
      </c>
      <c r="V726" t="s">
        <v>14076</v>
      </c>
      <c r="W726" t="s">
        <v>14077</v>
      </c>
      <c r="X726" t="s">
        <v>14078</v>
      </c>
      <c r="Y726" t="s">
        <v>14079</v>
      </c>
      <c r="Z726" t="s">
        <v>14080</v>
      </c>
      <c r="AA726" t="s">
        <v>14081</v>
      </c>
      <c r="AB726" t="s">
        <v>14082</v>
      </c>
      <c r="AC726" t="s">
        <v>14083</v>
      </c>
      <c r="AD726" t="s">
        <v>14084</v>
      </c>
      <c r="AE726" t="s">
        <v>14085</v>
      </c>
      <c r="AF726" t="s">
        <v>74</v>
      </c>
      <c r="AG726">
        <v>77</v>
      </c>
      <c r="AH726">
        <v>11</v>
      </c>
      <c r="AI726">
        <v>12</v>
      </c>
      <c r="AJ726">
        <v>0</v>
      </c>
      <c r="AK726">
        <v>6</v>
      </c>
      <c r="AL726" t="s">
        <v>7866</v>
      </c>
      <c r="AM726" t="s">
        <v>7867</v>
      </c>
      <c r="AN726" t="s">
        <v>7868</v>
      </c>
      <c r="AO726" t="s">
        <v>7869</v>
      </c>
      <c r="AP726" t="s">
        <v>7870</v>
      </c>
      <c r="AQ726" t="s">
        <v>74</v>
      </c>
      <c r="AR726" t="s">
        <v>7871</v>
      </c>
      <c r="AS726" t="s">
        <v>7872</v>
      </c>
      <c r="AT726" t="s">
        <v>14086</v>
      </c>
      <c r="AU726">
        <v>2018</v>
      </c>
      <c r="AV726">
        <v>14</v>
      </c>
      <c r="AW726">
        <v>11</v>
      </c>
      <c r="AX726" t="s">
        <v>74</v>
      </c>
      <c r="AY726" t="s">
        <v>74</v>
      </c>
      <c r="AZ726" t="s">
        <v>74</v>
      </c>
      <c r="BA726" t="s">
        <v>74</v>
      </c>
      <c r="BB726">
        <v>1727</v>
      </c>
      <c r="BC726">
        <v>1738</v>
      </c>
      <c r="BD726" t="s">
        <v>74</v>
      </c>
      <c r="BE726" t="s">
        <v>14087</v>
      </c>
      <c r="BF726" t="str">
        <f>HYPERLINK("http://dx.doi.org/10.5194/cp-14-1727-2018","http://dx.doi.org/10.5194/cp-14-1727-2018")</f>
        <v>http://dx.doi.org/10.5194/cp-14-1727-2018</v>
      </c>
      <c r="BG726" t="s">
        <v>74</v>
      </c>
      <c r="BH726" t="s">
        <v>74</v>
      </c>
      <c r="BI726">
        <v>12</v>
      </c>
      <c r="BJ726" t="s">
        <v>7874</v>
      </c>
      <c r="BK726" t="s">
        <v>101</v>
      </c>
      <c r="BL726" t="s">
        <v>7875</v>
      </c>
      <c r="BM726" t="s">
        <v>14088</v>
      </c>
      <c r="BN726" t="s">
        <v>74</v>
      </c>
      <c r="BO726" t="s">
        <v>14089</v>
      </c>
      <c r="BP726" t="s">
        <v>74</v>
      </c>
      <c r="BQ726" t="s">
        <v>74</v>
      </c>
      <c r="BR726" t="s">
        <v>104</v>
      </c>
      <c r="BS726" t="s">
        <v>14090</v>
      </c>
      <c r="BT726" t="str">
        <f>HYPERLINK("https%3A%2F%2Fwww.webofscience.com%2Fwos%2Fwoscc%2Ffull-record%2FWOS:000450179800001","View Full Record in Web of Science")</f>
        <v>View Full Record in Web of Science</v>
      </c>
    </row>
    <row r="727" spans="1:72" x14ac:dyDescent="0.15">
      <c r="A727" t="s">
        <v>72</v>
      </c>
      <c r="B727" t="s">
        <v>14091</v>
      </c>
      <c r="C727" t="s">
        <v>74</v>
      </c>
      <c r="D727" t="s">
        <v>74</v>
      </c>
      <c r="E727" t="s">
        <v>74</v>
      </c>
      <c r="F727" t="s">
        <v>14092</v>
      </c>
      <c r="G727" t="s">
        <v>74</v>
      </c>
      <c r="H727" t="s">
        <v>74</v>
      </c>
      <c r="I727" t="s">
        <v>14093</v>
      </c>
      <c r="J727" t="s">
        <v>8182</v>
      </c>
      <c r="K727" t="s">
        <v>74</v>
      </c>
      <c r="L727" t="s">
        <v>74</v>
      </c>
      <c r="M727" t="s">
        <v>78</v>
      </c>
      <c r="N727" t="s">
        <v>79</v>
      </c>
      <c r="O727" t="s">
        <v>74</v>
      </c>
      <c r="P727" t="s">
        <v>74</v>
      </c>
      <c r="Q727" t="s">
        <v>74</v>
      </c>
      <c r="R727" t="s">
        <v>74</v>
      </c>
      <c r="S727" t="s">
        <v>74</v>
      </c>
      <c r="T727" t="s">
        <v>74</v>
      </c>
      <c r="U727" t="s">
        <v>14094</v>
      </c>
      <c r="V727" t="s">
        <v>14095</v>
      </c>
      <c r="W727" t="s">
        <v>14096</v>
      </c>
      <c r="X727" t="s">
        <v>14097</v>
      </c>
      <c r="Y727" t="s">
        <v>14098</v>
      </c>
      <c r="Z727" t="s">
        <v>14099</v>
      </c>
      <c r="AA727" t="s">
        <v>14100</v>
      </c>
      <c r="AB727" t="s">
        <v>14101</v>
      </c>
      <c r="AC727" t="s">
        <v>14102</v>
      </c>
      <c r="AD727" t="s">
        <v>14103</v>
      </c>
      <c r="AE727" t="s">
        <v>14104</v>
      </c>
      <c r="AF727" t="s">
        <v>74</v>
      </c>
      <c r="AG727">
        <v>61</v>
      </c>
      <c r="AH727">
        <v>21</v>
      </c>
      <c r="AI727">
        <v>21</v>
      </c>
      <c r="AJ727">
        <v>0</v>
      </c>
      <c r="AK727">
        <v>20</v>
      </c>
      <c r="AL727" t="s">
        <v>7866</v>
      </c>
      <c r="AM727" t="s">
        <v>7867</v>
      </c>
      <c r="AN727" t="s">
        <v>7868</v>
      </c>
      <c r="AO727" t="s">
        <v>8194</v>
      </c>
      <c r="AP727" t="s">
        <v>8195</v>
      </c>
      <c r="AQ727" t="s">
        <v>74</v>
      </c>
      <c r="AR727" t="s">
        <v>8196</v>
      </c>
      <c r="AS727" t="s">
        <v>8197</v>
      </c>
      <c r="AT727" t="s">
        <v>14086</v>
      </c>
      <c r="AU727">
        <v>2018</v>
      </c>
      <c r="AV727">
        <v>18</v>
      </c>
      <c r="AW727">
        <v>21</v>
      </c>
      <c r="AX727" t="s">
        <v>74</v>
      </c>
      <c r="AY727" t="s">
        <v>74</v>
      </c>
      <c r="AZ727" t="s">
        <v>74</v>
      </c>
      <c r="BA727" t="s">
        <v>74</v>
      </c>
      <c r="BB727">
        <v>16155</v>
      </c>
      <c r="BC727">
        <v>16172</v>
      </c>
      <c r="BD727" t="s">
        <v>74</v>
      </c>
      <c r="BE727" t="s">
        <v>14105</v>
      </c>
      <c r="BF727" t="str">
        <f>HYPERLINK("http://dx.doi.org/10.5194/acp-18-16155-2018","http://dx.doi.org/10.5194/acp-18-16155-2018")</f>
        <v>http://dx.doi.org/10.5194/acp-18-16155-2018</v>
      </c>
      <c r="BG727" t="s">
        <v>74</v>
      </c>
      <c r="BH727" t="s">
        <v>74</v>
      </c>
      <c r="BI727">
        <v>18</v>
      </c>
      <c r="BJ727" t="s">
        <v>2635</v>
      </c>
      <c r="BK727" t="s">
        <v>101</v>
      </c>
      <c r="BL727" t="s">
        <v>2636</v>
      </c>
      <c r="BM727" t="s">
        <v>14106</v>
      </c>
      <c r="BN727">
        <v>32742283</v>
      </c>
      <c r="BO727" t="s">
        <v>14107</v>
      </c>
      <c r="BP727" t="s">
        <v>74</v>
      </c>
      <c r="BQ727" t="s">
        <v>74</v>
      </c>
      <c r="BR727" t="s">
        <v>104</v>
      </c>
      <c r="BS727" t="s">
        <v>14108</v>
      </c>
      <c r="BT727" t="str">
        <f>HYPERLINK("https%3A%2F%2Fwww.webofscience.com%2Fwos%2Fwoscc%2Ffull-record%2FWOS:000450003300001","View Full Record in Web of Science")</f>
        <v>View Full Record in Web of Science</v>
      </c>
    </row>
    <row r="728" spans="1:72" x14ac:dyDescent="0.15">
      <c r="A728" t="s">
        <v>72</v>
      </c>
      <c r="B728" t="s">
        <v>14109</v>
      </c>
      <c r="C728" t="s">
        <v>74</v>
      </c>
      <c r="D728" t="s">
        <v>74</v>
      </c>
      <c r="E728" t="s">
        <v>74</v>
      </c>
      <c r="F728" t="s">
        <v>14110</v>
      </c>
      <c r="G728" t="s">
        <v>74</v>
      </c>
      <c r="H728" t="s">
        <v>74</v>
      </c>
      <c r="I728" t="s">
        <v>14111</v>
      </c>
      <c r="J728" t="s">
        <v>8100</v>
      </c>
      <c r="K728" t="s">
        <v>74</v>
      </c>
      <c r="L728" t="s">
        <v>74</v>
      </c>
      <c r="M728" t="s">
        <v>78</v>
      </c>
      <c r="N728" t="s">
        <v>79</v>
      </c>
      <c r="O728" t="s">
        <v>74</v>
      </c>
      <c r="P728" t="s">
        <v>74</v>
      </c>
      <c r="Q728" t="s">
        <v>74</v>
      </c>
      <c r="R728" t="s">
        <v>74</v>
      </c>
      <c r="S728" t="s">
        <v>74</v>
      </c>
      <c r="T728" t="s">
        <v>74</v>
      </c>
      <c r="U728" t="s">
        <v>14112</v>
      </c>
      <c r="V728" t="s">
        <v>14113</v>
      </c>
      <c r="W728" t="s">
        <v>14114</v>
      </c>
      <c r="X728" t="s">
        <v>14115</v>
      </c>
      <c r="Y728" t="s">
        <v>14116</v>
      </c>
      <c r="Z728" t="s">
        <v>14117</v>
      </c>
      <c r="AA728" t="s">
        <v>14118</v>
      </c>
      <c r="AB728" t="s">
        <v>14119</v>
      </c>
      <c r="AC728" t="s">
        <v>14120</v>
      </c>
      <c r="AD728" t="s">
        <v>14120</v>
      </c>
      <c r="AE728" t="s">
        <v>14121</v>
      </c>
      <c r="AF728" t="s">
        <v>74</v>
      </c>
      <c r="AG728">
        <v>85</v>
      </c>
      <c r="AH728">
        <v>45</v>
      </c>
      <c r="AI728">
        <v>48</v>
      </c>
      <c r="AJ728">
        <v>0</v>
      </c>
      <c r="AK728">
        <v>20</v>
      </c>
      <c r="AL728" t="s">
        <v>7866</v>
      </c>
      <c r="AM728" t="s">
        <v>7867</v>
      </c>
      <c r="AN728" t="s">
        <v>7868</v>
      </c>
      <c r="AO728" t="s">
        <v>8112</v>
      </c>
      <c r="AP728" t="s">
        <v>8113</v>
      </c>
      <c r="AQ728" t="s">
        <v>74</v>
      </c>
      <c r="AR728" t="s">
        <v>8100</v>
      </c>
      <c r="AS728" t="s">
        <v>8114</v>
      </c>
      <c r="AT728" t="s">
        <v>14122</v>
      </c>
      <c r="AU728">
        <v>2018</v>
      </c>
      <c r="AV728">
        <v>12</v>
      </c>
      <c r="AW728">
        <v>11</v>
      </c>
      <c r="AX728" t="s">
        <v>74</v>
      </c>
      <c r="AY728" t="s">
        <v>74</v>
      </c>
      <c r="AZ728" t="s">
        <v>74</v>
      </c>
      <c r="BA728" t="s">
        <v>74</v>
      </c>
      <c r="BB728">
        <v>3511</v>
      </c>
      <c r="BC728">
        <v>3534</v>
      </c>
      <c r="BD728" t="s">
        <v>74</v>
      </c>
      <c r="BE728" t="s">
        <v>14123</v>
      </c>
      <c r="BF728" t="str">
        <f>HYPERLINK("http://dx.doi.org/10.5194/tc-12-3511-2018","http://dx.doi.org/10.5194/tc-12-3511-2018")</f>
        <v>http://dx.doi.org/10.5194/tc-12-3511-2018</v>
      </c>
      <c r="BG728" t="s">
        <v>74</v>
      </c>
      <c r="BH728" t="s">
        <v>74</v>
      </c>
      <c r="BI728">
        <v>24</v>
      </c>
      <c r="BJ728" t="s">
        <v>1480</v>
      </c>
      <c r="BK728" t="s">
        <v>101</v>
      </c>
      <c r="BL728" t="s">
        <v>1481</v>
      </c>
      <c r="BM728" t="s">
        <v>14124</v>
      </c>
      <c r="BN728" t="s">
        <v>74</v>
      </c>
      <c r="BO728" t="s">
        <v>13129</v>
      </c>
      <c r="BP728" t="s">
        <v>74</v>
      </c>
      <c r="BQ728" t="s">
        <v>74</v>
      </c>
      <c r="BR728" t="s">
        <v>104</v>
      </c>
      <c r="BS728" t="s">
        <v>14125</v>
      </c>
      <c r="BT728" t="str">
        <f>HYPERLINK("https%3A%2F%2Fwww.webofscience.com%2Fwos%2Fwoscc%2Ffull-record%2FWOS:000449788800001","View Full Record in Web of Science")</f>
        <v>View Full Record in Web of Science</v>
      </c>
    </row>
    <row r="729" spans="1:72" x14ac:dyDescent="0.15">
      <c r="A729" t="s">
        <v>72</v>
      </c>
      <c r="B729" t="s">
        <v>14126</v>
      </c>
      <c r="C729" t="s">
        <v>74</v>
      </c>
      <c r="D729" t="s">
        <v>74</v>
      </c>
      <c r="E729" t="s">
        <v>74</v>
      </c>
      <c r="F729" t="s">
        <v>14127</v>
      </c>
      <c r="G729" t="s">
        <v>74</v>
      </c>
      <c r="H729" t="s">
        <v>74</v>
      </c>
      <c r="I729" t="s">
        <v>14128</v>
      </c>
      <c r="J729" t="s">
        <v>14129</v>
      </c>
      <c r="K729" t="s">
        <v>74</v>
      </c>
      <c r="L729" t="s">
        <v>74</v>
      </c>
      <c r="M729" t="s">
        <v>78</v>
      </c>
      <c r="N729" t="s">
        <v>79</v>
      </c>
      <c r="O729" t="s">
        <v>74</v>
      </c>
      <c r="P729" t="s">
        <v>74</v>
      </c>
      <c r="Q729" t="s">
        <v>74</v>
      </c>
      <c r="R729" t="s">
        <v>74</v>
      </c>
      <c r="S729" t="s">
        <v>74</v>
      </c>
      <c r="T729" t="s">
        <v>14130</v>
      </c>
      <c r="U729" t="s">
        <v>74</v>
      </c>
      <c r="V729" t="s">
        <v>14131</v>
      </c>
      <c r="W729" t="s">
        <v>14132</v>
      </c>
      <c r="X729" t="s">
        <v>14133</v>
      </c>
      <c r="Y729" t="s">
        <v>14134</v>
      </c>
      <c r="Z729" t="s">
        <v>14135</v>
      </c>
      <c r="AA729" t="s">
        <v>14136</v>
      </c>
      <c r="AB729" t="s">
        <v>74</v>
      </c>
      <c r="AC729" t="s">
        <v>14137</v>
      </c>
      <c r="AD729" t="s">
        <v>14138</v>
      </c>
      <c r="AE729" t="s">
        <v>14139</v>
      </c>
      <c r="AF729" t="s">
        <v>74</v>
      </c>
      <c r="AG729">
        <v>7</v>
      </c>
      <c r="AH729">
        <v>1</v>
      </c>
      <c r="AI729">
        <v>2</v>
      </c>
      <c r="AJ729">
        <v>1</v>
      </c>
      <c r="AK729">
        <v>5</v>
      </c>
      <c r="AL729" t="s">
        <v>11215</v>
      </c>
      <c r="AM729" t="s">
        <v>11216</v>
      </c>
      <c r="AN729" t="s">
        <v>11217</v>
      </c>
      <c r="AO729" t="s">
        <v>14140</v>
      </c>
      <c r="AP729" t="s">
        <v>74</v>
      </c>
      <c r="AQ729" t="s">
        <v>74</v>
      </c>
      <c r="AR729" t="s">
        <v>14141</v>
      </c>
      <c r="AS729" t="s">
        <v>14142</v>
      </c>
      <c r="AT729" t="s">
        <v>14143</v>
      </c>
      <c r="AU729">
        <v>2018</v>
      </c>
      <c r="AV729">
        <v>115</v>
      </c>
      <c r="AW729">
        <v>9</v>
      </c>
      <c r="AX729" t="s">
        <v>74</v>
      </c>
      <c r="AY729" t="s">
        <v>74</v>
      </c>
      <c r="AZ729" t="s">
        <v>74</v>
      </c>
      <c r="BA729" t="s">
        <v>74</v>
      </c>
      <c r="BB729">
        <v>1684</v>
      </c>
      <c r="BC729">
        <v>1689</v>
      </c>
      <c r="BD729" t="s">
        <v>74</v>
      </c>
      <c r="BE729" t="s">
        <v>14144</v>
      </c>
      <c r="BF729" t="str">
        <f>HYPERLINK("http://dx.doi.org/10.18520/cs/v115/i9/1684-1689","http://dx.doi.org/10.18520/cs/v115/i9/1684-1689")</f>
        <v>http://dx.doi.org/10.18520/cs/v115/i9/1684-1689</v>
      </c>
      <c r="BG729" t="s">
        <v>74</v>
      </c>
      <c r="BH729" t="s">
        <v>74</v>
      </c>
      <c r="BI729">
        <v>6</v>
      </c>
      <c r="BJ729" t="s">
        <v>855</v>
      </c>
      <c r="BK729" t="s">
        <v>101</v>
      </c>
      <c r="BL729" t="s">
        <v>856</v>
      </c>
      <c r="BM729" t="s">
        <v>14145</v>
      </c>
      <c r="BN729" t="s">
        <v>74</v>
      </c>
      <c r="BO729" t="s">
        <v>4688</v>
      </c>
      <c r="BP729" t="s">
        <v>74</v>
      </c>
      <c r="BQ729" t="s">
        <v>74</v>
      </c>
      <c r="BR729" t="s">
        <v>104</v>
      </c>
      <c r="BS729" t="s">
        <v>14146</v>
      </c>
      <c r="BT729" t="str">
        <f>HYPERLINK("https%3A%2F%2Fwww.webofscience.com%2Fwos%2Fwoscc%2Ffull-record%2FWOS:000449515300025","View Full Record in Web of Science")</f>
        <v>View Full Record in Web of Science</v>
      </c>
    </row>
    <row r="730" spans="1:72" x14ac:dyDescent="0.15">
      <c r="A730" t="s">
        <v>72</v>
      </c>
      <c r="B730" t="s">
        <v>14147</v>
      </c>
      <c r="C730" t="s">
        <v>74</v>
      </c>
      <c r="D730" t="s">
        <v>74</v>
      </c>
      <c r="E730" t="s">
        <v>74</v>
      </c>
      <c r="F730" t="s">
        <v>14148</v>
      </c>
      <c r="G730" t="s">
        <v>74</v>
      </c>
      <c r="H730" t="s">
        <v>74</v>
      </c>
      <c r="I730" t="s">
        <v>14149</v>
      </c>
      <c r="J730" t="s">
        <v>14129</v>
      </c>
      <c r="K730" t="s">
        <v>74</v>
      </c>
      <c r="L730" t="s">
        <v>74</v>
      </c>
      <c r="M730" t="s">
        <v>78</v>
      </c>
      <c r="N730" t="s">
        <v>79</v>
      </c>
      <c r="O730" t="s">
        <v>74</v>
      </c>
      <c r="P730" t="s">
        <v>74</v>
      </c>
      <c r="Q730" t="s">
        <v>74</v>
      </c>
      <c r="R730" t="s">
        <v>74</v>
      </c>
      <c r="S730" t="s">
        <v>74</v>
      </c>
      <c r="T730" t="s">
        <v>14150</v>
      </c>
      <c r="U730" t="s">
        <v>14151</v>
      </c>
      <c r="V730" t="s">
        <v>14152</v>
      </c>
      <c r="W730" t="s">
        <v>14153</v>
      </c>
      <c r="X730" t="s">
        <v>14154</v>
      </c>
      <c r="Y730" t="s">
        <v>14155</v>
      </c>
      <c r="Z730" t="s">
        <v>14156</v>
      </c>
      <c r="AA730" t="s">
        <v>14157</v>
      </c>
      <c r="AB730" t="s">
        <v>14158</v>
      </c>
      <c r="AC730" t="s">
        <v>14159</v>
      </c>
      <c r="AD730" t="s">
        <v>14160</v>
      </c>
      <c r="AE730" t="s">
        <v>14161</v>
      </c>
      <c r="AF730" t="s">
        <v>74</v>
      </c>
      <c r="AG730">
        <v>15</v>
      </c>
      <c r="AH730">
        <v>4</v>
      </c>
      <c r="AI730">
        <v>6</v>
      </c>
      <c r="AJ730">
        <v>2</v>
      </c>
      <c r="AK730">
        <v>34</v>
      </c>
      <c r="AL730" t="s">
        <v>11215</v>
      </c>
      <c r="AM730" t="s">
        <v>11216</v>
      </c>
      <c r="AN730" t="s">
        <v>11217</v>
      </c>
      <c r="AO730" t="s">
        <v>14140</v>
      </c>
      <c r="AP730" t="s">
        <v>74</v>
      </c>
      <c r="AQ730" t="s">
        <v>74</v>
      </c>
      <c r="AR730" t="s">
        <v>14141</v>
      </c>
      <c r="AS730" t="s">
        <v>14142</v>
      </c>
      <c r="AT730" t="s">
        <v>14143</v>
      </c>
      <c r="AU730">
        <v>2018</v>
      </c>
      <c r="AV730">
        <v>115</v>
      </c>
      <c r="AW730">
        <v>9</v>
      </c>
      <c r="AX730" t="s">
        <v>74</v>
      </c>
      <c r="AY730" t="s">
        <v>74</v>
      </c>
      <c r="AZ730" t="s">
        <v>74</v>
      </c>
      <c r="BA730" t="s">
        <v>74</v>
      </c>
      <c r="BB730">
        <v>1697</v>
      </c>
      <c r="BC730">
        <v>1700</v>
      </c>
      <c r="BD730" t="s">
        <v>74</v>
      </c>
      <c r="BE730" t="s">
        <v>14162</v>
      </c>
      <c r="BF730" t="str">
        <f>HYPERLINK("http://dx.doi.org/10.18520/cs/v115/i9/1697-1700","http://dx.doi.org/10.18520/cs/v115/i9/1697-1700")</f>
        <v>http://dx.doi.org/10.18520/cs/v115/i9/1697-1700</v>
      </c>
      <c r="BG730" t="s">
        <v>74</v>
      </c>
      <c r="BH730" t="s">
        <v>74</v>
      </c>
      <c r="BI730">
        <v>4</v>
      </c>
      <c r="BJ730" t="s">
        <v>855</v>
      </c>
      <c r="BK730" t="s">
        <v>101</v>
      </c>
      <c r="BL730" t="s">
        <v>856</v>
      </c>
      <c r="BM730" t="s">
        <v>14145</v>
      </c>
      <c r="BN730" t="s">
        <v>74</v>
      </c>
      <c r="BO730" t="s">
        <v>4688</v>
      </c>
      <c r="BP730" t="s">
        <v>74</v>
      </c>
      <c r="BQ730" t="s">
        <v>74</v>
      </c>
      <c r="BR730" t="s">
        <v>104</v>
      </c>
      <c r="BS730" t="s">
        <v>14163</v>
      </c>
      <c r="BT730" t="str">
        <f>HYPERLINK("https%3A%2F%2Fwww.webofscience.com%2Fwos%2Fwoscc%2Ffull-record%2FWOS:000449515300028","View Full Record in Web of Science")</f>
        <v>View Full Record in Web of Science</v>
      </c>
    </row>
    <row r="731" spans="1:72" x14ac:dyDescent="0.15">
      <c r="A731" t="s">
        <v>72</v>
      </c>
      <c r="B731" t="s">
        <v>14164</v>
      </c>
      <c r="C731" t="s">
        <v>74</v>
      </c>
      <c r="D731" t="s">
        <v>74</v>
      </c>
      <c r="E731" t="s">
        <v>74</v>
      </c>
      <c r="F731" t="s">
        <v>14165</v>
      </c>
      <c r="G731" t="s">
        <v>74</v>
      </c>
      <c r="H731" t="s">
        <v>74</v>
      </c>
      <c r="I731" t="s">
        <v>14166</v>
      </c>
      <c r="J731" t="s">
        <v>14167</v>
      </c>
      <c r="K731" t="s">
        <v>74</v>
      </c>
      <c r="L731" t="s">
        <v>74</v>
      </c>
      <c r="M731" t="s">
        <v>78</v>
      </c>
      <c r="N731" t="s">
        <v>79</v>
      </c>
      <c r="O731" t="s">
        <v>74</v>
      </c>
      <c r="P731" t="s">
        <v>74</v>
      </c>
      <c r="Q731" t="s">
        <v>74</v>
      </c>
      <c r="R731" t="s">
        <v>74</v>
      </c>
      <c r="S731" t="s">
        <v>74</v>
      </c>
      <c r="T731" t="s">
        <v>14168</v>
      </c>
      <c r="U731" t="s">
        <v>14169</v>
      </c>
      <c r="V731" t="s">
        <v>14170</v>
      </c>
      <c r="W731" t="s">
        <v>14171</v>
      </c>
      <c r="X731" t="s">
        <v>14172</v>
      </c>
      <c r="Y731" t="s">
        <v>14173</v>
      </c>
      <c r="Z731" t="s">
        <v>14174</v>
      </c>
      <c r="AA731" t="s">
        <v>14175</v>
      </c>
      <c r="AB731" t="s">
        <v>14176</v>
      </c>
      <c r="AC731" t="s">
        <v>14177</v>
      </c>
      <c r="AD731" t="s">
        <v>14178</v>
      </c>
      <c r="AE731" t="s">
        <v>14179</v>
      </c>
      <c r="AF731" t="s">
        <v>74</v>
      </c>
      <c r="AG731">
        <v>49</v>
      </c>
      <c r="AH731">
        <v>23</v>
      </c>
      <c r="AI731">
        <v>25</v>
      </c>
      <c r="AJ731">
        <v>3</v>
      </c>
      <c r="AK731">
        <v>25</v>
      </c>
      <c r="AL731" t="s">
        <v>2519</v>
      </c>
      <c r="AM731" t="s">
        <v>2520</v>
      </c>
      <c r="AN731" t="s">
        <v>3313</v>
      </c>
      <c r="AO731" t="s">
        <v>14180</v>
      </c>
      <c r="AP731" t="s">
        <v>14181</v>
      </c>
      <c r="AQ731" t="s">
        <v>74</v>
      </c>
      <c r="AR731" t="s">
        <v>14182</v>
      </c>
      <c r="AS731" t="s">
        <v>14183</v>
      </c>
      <c r="AT731" t="s">
        <v>14143</v>
      </c>
      <c r="AU731">
        <v>2018</v>
      </c>
      <c r="AV731">
        <v>387</v>
      </c>
      <c r="AW731" t="s">
        <v>74</v>
      </c>
      <c r="AX731" t="s">
        <v>74</v>
      </c>
      <c r="AY731" t="s">
        <v>74</v>
      </c>
      <c r="AZ731" t="s">
        <v>74</v>
      </c>
      <c r="BA731" t="s">
        <v>74</v>
      </c>
      <c r="BB731">
        <v>17</v>
      </c>
      <c r="BC731">
        <v>26</v>
      </c>
      <c r="BD731" t="s">
        <v>74</v>
      </c>
      <c r="BE731" t="s">
        <v>14184</v>
      </c>
      <c r="BF731" t="str">
        <f>HYPERLINK("http://dx.doi.org/10.1016/j.ecolmodel.2018.08.017","http://dx.doi.org/10.1016/j.ecolmodel.2018.08.017")</f>
        <v>http://dx.doi.org/10.1016/j.ecolmodel.2018.08.017</v>
      </c>
      <c r="BG731" t="s">
        <v>74</v>
      </c>
      <c r="BH731" t="s">
        <v>74</v>
      </c>
      <c r="BI731">
        <v>10</v>
      </c>
      <c r="BJ731" t="s">
        <v>2400</v>
      </c>
      <c r="BK731" t="s">
        <v>101</v>
      </c>
      <c r="BL731" t="s">
        <v>799</v>
      </c>
      <c r="BM731" t="s">
        <v>14185</v>
      </c>
      <c r="BN731" t="s">
        <v>74</v>
      </c>
      <c r="BO731" t="s">
        <v>1089</v>
      </c>
      <c r="BP731" t="s">
        <v>74</v>
      </c>
      <c r="BQ731" t="s">
        <v>74</v>
      </c>
      <c r="BR731" t="s">
        <v>104</v>
      </c>
      <c r="BS731" t="s">
        <v>14186</v>
      </c>
      <c r="BT731" t="str">
        <f>HYPERLINK("https%3A%2F%2Fwww.webofscience.com%2Fwos%2Fwoscc%2Ffull-record%2FWOS:000451653800003","View Full Record in Web of Science")</f>
        <v>View Full Record in Web of Science</v>
      </c>
    </row>
    <row r="732" spans="1:72" x14ac:dyDescent="0.15">
      <c r="A732" t="s">
        <v>72</v>
      </c>
      <c r="B732" t="s">
        <v>14187</v>
      </c>
      <c r="C732" t="s">
        <v>74</v>
      </c>
      <c r="D732" t="s">
        <v>74</v>
      </c>
      <c r="E732" t="s">
        <v>74</v>
      </c>
      <c r="F732" t="s">
        <v>14188</v>
      </c>
      <c r="G732" t="s">
        <v>74</v>
      </c>
      <c r="H732" t="s">
        <v>74</v>
      </c>
      <c r="I732" t="s">
        <v>14189</v>
      </c>
      <c r="J732" t="s">
        <v>14190</v>
      </c>
      <c r="K732" t="s">
        <v>74</v>
      </c>
      <c r="L732" t="s">
        <v>74</v>
      </c>
      <c r="M732" t="s">
        <v>78</v>
      </c>
      <c r="N732" t="s">
        <v>79</v>
      </c>
      <c r="O732" t="s">
        <v>74</v>
      </c>
      <c r="P732" t="s">
        <v>74</v>
      </c>
      <c r="Q732" t="s">
        <v>74</v>
      </c>
      <c r="R732" t="s">
        <v>74</v>
      </c>
      <c r="S732" t="s">
        <v>74</v>
      </c>
      <c r="T732" t="s">
        <v>14191</v>
      </c>
      <c r="U732" t="s">
        <v>14192</v>
      </c>
      <c r="V732" t="s">
        <v>14193</v>
      </c>
      <c r="W732" t="s">
        <v>14194</v>
      </c>
      <c r="X732" t="s">
        <v>14195</v>
      </c>
      <c r="Y732" t="s">
        <v>14196</v>
      </c>
      <c r="Z732" t="s">
        <v>14197</v>
      </c>
      <c r="AA732" t="s">
        <v>14198</v>
      </c>
      <c r="AB732" t="s">
        <v>14199</v>
      </c>
      <c r="AC732" t="s">
        <v>14200</v>
      </c>
      <c r="AD732" t="s">
        <v>14201</v>
      </c>
      <c r="AE732" t="s">
        <v>14202</v>
      </c>
      <c r="AF732" t="s">
        <v>74</v>
      </c>
      <c r="AG732">
        <v>28</v>
      </c>
      <c r="AH732">
        <v>16</v>
      </c>
      <c r="AI732">
        <v>16</v>
      </c>
      <c r="AJ732">
        <v>1</v>
      </c>
      <c r="AK732">
        <v>97</v>
      </c>
      <c r="AL732" t="s">
        <v>14203</v>
      </c>
      <c r="AM732" t="s">
        <v>7950</v>
      </c>
      <c r="AN732" t="s">
        <v>14204</v>
      </c>
      <c r="AO732" t="s">
        <v>74</v>
      </c>
      <c r="AP732" t="s">
        <v>14205</v>
      </c>
      <c r="AQ732" t="s">
        <v>74</v>
      </c>
      <c r="AR732" t="s">
        <v>14206</v>
      </c>
      <c r="AS732" t="s">
        <v>14207</v>
      </c>
      <c r="AT732" t="s">
        <v>14143</v>
      </c>
      <c r="AU732">
        <v>2018</v>
      </c>
      <c r="AV732">
        <v>273</v>
      </c>
      <c r="AW732" t="s">
        <v>74</v>
      </c>
      <c r="AX732" t="s">
        <v>74</v>
      </c>
      <c r="AY732" t="s">
        <v>74</v>
      </c>
      <c r="AZ732" t="s">
        <v>74</v>
      </c>
      <c r="BA732" t="s">
        <v>74</v>
      </c>
      <c r="BB732">
        <v>610</v>
      </c>
      <c r="BC732">
        <v>615</v>
      </c>
      <c r="BD732" t="s">
        <v>74</v>
      </c>
      <c r="BE732" t="s">
        <v>14208</v>
      </c>
      <c r="BF732" t="str">
        <f>HYPERLINK("http://dx.doi.org/10.1016/j.snb.2018.06.084","http://dx.doi.org/10.1016/j.snb.2018.06.084")</f>
        <v>http://dx.doi.org/10.1016/j.snb.2018.06.084</v>
      </c>
      <c r="BG732" t="s">
        <v>74</v>
      </c>
      <c r="BH732" t="s">
        <v>74</v>
      </c>
      <c r="BI732">
        <v>6</v>
      </c>
      <c r="BJ732" t="s">
        <v>14209</v>
      </c>
      <c r="BK732" t="s">
        <v>101</v>
      </c>
      <c r="BL732" t="s">
        <v>14210</v>
      </c>
      <c r="BM732" t="s">
        <v>14211</v>
      </c>
      <c r="BN732" t="s">
        <v>74</v>
      </c>
      <c r="BO732" t="s">
        <v>74</v>
      </c>
      <c r="BP732" t="s">
        <v>74</v>
      </c>
      <c r="BQ732" t="s">
        <v>74</v>
      </c>
      <c r="BR732" t="s">
        <v>104</v>
      </c>
      <c r="BS732" t="s">
        <v>14212</v>
      </c>
      <c r="BT732" t="str">
        <f>HYPERLINK("https%3A%2F%2Fwww.webofscience.com%2Fwos%2Fwoscc%2Ffull-record%2FWOS:000441519000076","View Full Record in Web of Science")</f>
        <v>View Full Record in Web of Science</v>
      </c>
    </row>
    <row r="733" spans="1:72" x14ac:dyDescent="0.15">
      <c r="A733" t="s">
        <v>72</v>
      </c>
      <c r="B733" t="s">
        <v>14213</v>
      </c>
      <c r="C733" t="s">
        <v>74</v>
      </c>
      <c r="D733" t="s">
        <v>74</v>
      </c>
      <c r="E733" t="s">
        <v>74</v>
      </c>
      <c r="F733" t="s">
        <v>14214</v>
      </c>
      <c r="G733" t="s">
        <v>74</v>
      </c>
      <c r="H733" t="s">
        <v>74</v>
      </c>
      <c r="I733" t="s">
        <v>14215</v>
      </c>
      <c r="J733" t="s">
        <v>14129</v>
      </c>
      <c r="K733" t="s">
        <v>74</v>
      </c>
      <c r="L733" t="s">
        <v>74</v>
      </c>
      <c r="M733" t="s">
        <v>78</v>
      </c>
      <c r="N733" t="s">
        <v>79</v>
      </c>
      <c r="O733" t="s">
        <v>74</v>
      </c>
      <c r="P733" t="s">
        <v>74</v>
      </c>
      <c r="Q733" t="s">
        <v>74</v>
      </c>
      <c r="R733" t="s">
        <v>74</v>
      </c>
      <c r="S733" t="s">
        <v>74</v>
      </c>
      <c r="T733" t="s">
        <v>14216</v>
      </c>
      <c r="U733" t="s">
        <v>14217</v>
      </c>
      <c r="V733" t="s">
        <v>14218</v>
      </c>
      <c r="W733" t="s">
        <v>14219</v>
      </c>
      <c r="X733" t="s">
        <v>14220</v>
      </c>
      <c r="Y733" t="s">
        <v>14221</v>
      </c>
      <c r="Z733" t="s">
        <v>14222</v>
      </c>
      <c r="AA733" t="s">
        <v>14223</v>
      </c>
      <c r="AB733" t="s">
        <v>14224</v>
      </c>
      <c r="AC733" t="s">
        <v>8232</v>
      </c>
      <c r="AD733" t="s">
        <v>8233</v>
      </c>
      <c r="AE733" t="s">
        <v>14225</v>
      </c>
      <c r="AF733" t="s">
        <v>74</v>
      </c>
      <c r="AG733">
        <v>8</v>
      </c>
      <c r="AH733">
        <v>3</v>
      </c>
      <c r="AI733">
        <v>3</v>
      </c>
      <c r="AJ733">
        <v>0</v>
      </c>
      <c r="AK733">
        <v>7</v>
      </c>
      <c r="AL733" t="s">
        <v>11215</v>
      </c>
      <c r="AM733" t="s">
        <v>11216</v>
      </c>
      <c r="AN733" t="s">
        <v>11217</v>
      </c>
      <c r="AO733" t="s">
        <v>14140</v>
      </c>
      <c r="AP733" t="s">
        <v>74</v>
      </c>
      <c r="AQ733" t="s">
        <v>74</v>
      </c>
      <c r="AR733" t="s">
        <v>14141</v>
      </c>
      <c r="AS733" t="s">
        <v>14142</v>
      </c>
      <c r="AT733" t="s">
        <v>14143</v>
      </c>
      <c r="AU733">
        <v>2018</v>
      </c>
      <c r="AV733">
        <v>115</v>
      </c>
      <c r="AW733">
        <v>9</v>
      </c>
      <c r="AX733" t="s">
        <v>74</v>
      </c>
      <c r="AY733" t="s">
        <v>74</v>
      </c>
      <c r="AZ733" t="s">
        <v>74</v>
      </c>
      <c r="BA733" t="s">
        <v>74</v>
      </c>
      <c r="BB733">
        <v>1674</v>
      </c>
      <c r="BC733">
        <v>1678</v>
      </c>
      <c r="BD733" t="s">
        <v>74</v>
      </c>
      <c r="BE733" t="s">
        <v>14226</v>
      </c>
      <c r="BF733" t="str">
        <f>HYPERLINK("http://dx.doi.org/10.18520/cs/v115/i9/1674-1678","http://dx.doi.org/10.18520/cs/v115/i9/1674-1678")</f>
        <v>http://dx.doi.org/10.18520/cs/v115/i9/1674-1678</v>
      </c>
      <c r="BG733" t="s">
        <v>74</v>
      </c>
      <c r="BH733" t="s">
        <v>74</v>
      </c>
      <c r="BI733">
        <v>5</v>
      </c>
      <c r="BJ733" t="s">
        <v>855</v>
      </c>
      <c r="BK733" t="s">
        <v>101</v>
      </c>
      <c r="BL733" t="s">
        <v>856</v>
      </c>
      <c r="BM733" t="s">
        <v>14145</v>
      </c>
      <c r="BN733" t="s">
        <v>74</v>
      </c>
      <c r="BO733" t="s">
        <v>162</v>
      </c>
      <c r="BP733" t="s">
        <v>74</v>
      </c>
      <c r="BQ733" t="s">
        <v>74</v>
      </c>
      <c r="BR733" t="s">
        <v>104</v>
      </c>
      <c r="BS733" t="s">
        <v>14227</v>
      </c>
      <c r="BT733" t="str">
        <f>HYPERLINK("https%3A%2F%2Fwww.webofscience.com%2Fwos%2Fwoscc%2Ffull-record%2FWOS:000449515300023","View Full Record in Web of Science")</f>
        <v>View Full Record in Web of Science</v>
      </c>
    </row>
    <row r="734" spans="1:72" x14ac:dyDescent="0.15">
      <c r="A734" t="s">
        <v>72</v>
      </c>
      <c r="B734" t="s">
        <v>14228</v>
      </c>
      <c r="C734" t="s">
        <v>74</v>
      </c>
      <c r="D734" t="s">
        <v>74</v>
      </c>
      <c r="E734" t="s">
        <v>74</v>
      </c>
      <c r="F734" t="s">
        <v>14229</v>
      </c>
      <c r="G734" t="s">
        <v>74</v>
      </c>
      <c r="H734" t="s">
        <v>74</v>
      </c>
      <c r="I734" t="s">
        <v>14230</v>
      </c>
      <c r="J734" t="s">
        <v>14129</v>
      </c>
      <c r="K734" t="s">
        <v>74</v>
      </c>
      <c r="L734" t="s">
        <v>74</v>
      </c>
      <c r="M734" t="s">
        <v>78</v>
      </c>
      <c r="N734" t="s">
        <v>79</v>
      </c>
      <c r="O734" t="s">
        <v>74</v>
      </c>
      <c r="P734" t="s">
        <v>74</v>
      </c>
      <c r="Q734" t="s">
        <v>74</v>
      </c>
      <c r="R734" t="s">
        <v>74</v>
      </c>
      <c r="S734" t="s">
        <v>74</v>
      </c>
      <c r="T734" t="s">
        <v>14231</v>
      </c>
      <c r="U734" t="s">
        <v>14232</v>
      </c>
      <c r="V734" t="s">
        <v>14233</v>
      </c>
      <c r="W734" t="s">
        <v>14234</v>
      </c>
      <c r="X734" t="s">
        <v>14235</v>
      </c>
      <c r="Y734" t="s">
        <v>14236</v>
      </c>
      <c r="Z734" t="s">
        <v>14237</v>
      </c>
      <c r="AA734" t="s">
        <v>14238</v>
      </c>
      <c r="AB734" t="s">
        <v>14239</v>
      </c>
      <c r="AC734" t="s">
        <v>14240</v>
      </c>
      <c r="AD734" t="s">
        <v>14240</v>
      </c>
      <c r="AE734" t="s">
        <v>14241</v>
      </c>
      <c r="AF734" t="s">
        <v>74</v>
      </c>
      <c r="AG734">
        <v>13</v>
      </c>
      <c r="AH734">
        <v>6</v>
      </c>
      <c r="AI734">
        <v>6</v>
      </c>
      <c r="AJ734">
        <v>1</v>
      </c>
      <c r="AK734">
        <v>10</v>
      </c>
      <c r="AL734" t="s">
        <v>11215</v>
      </c>
      <c r="AM734" t="s">
        <v>11216</v>
      </c>
      <c r="AN734" t="s">
        <v>11217</v>
      </c>
      <c r="AO734" t="s">
        <v>14140</v>
      </c>
      <c r="AP734" t="s">
        <v>74</v>
      </c>
      <c r="AQ734" t="s">
        <v>74</v>
      </c>
      <c r="AR734" t="s">
        <v>14141</v>
      </c>
      <c r="AS734" t="s">
        <v>14142</v>
      </c>
      <c r="AT734" t="s">
        <v>14143</v>
      </c>
      <c r="AU734">
        <v>2018</v>
      </c>
      <c r="AV734">
        <v>115</v>
      </c>
      <c r="AW734">
        <v>9</v>
      </c>
      <c r="AX734" t="s">
        <v>74</v>
      </c>
      <c r="AY734" t="s">
        <v>74</v>
      </c>
      <c r="AZ734" t="s">
        <v>74</v>
      </c>
      <c r="BA734" t="s">
        <v>74</v>
      </c>
      <c r="BB734">
        <v>1679</v>
      </c>
      <c r="BC734">
        <v>1683</v>
      </c>
      <c r="BD734" t="s">
        <v>74</v>
      </c>
      <c r="BE734" t="s">
        <v>14242</v>
      </c>
      <c r="BF734" t="str">
        <f>HYPERLINK("http://dx.doi.org/10.18520/cs/v115/i9/1679-1683","http://dx.doi.org/10.18520/cs/v115/i9/1679-1683")</f>
        <v>http://dx.doi.org/10.18520/cs/v115/i9/1679-1683</v>
      </c>
      <c r="BG734" t="s">
        <v>74</v>
      </c>
      <c r="BH734" t="s">
        <v>74</v>
      </c>
      <c r="BI734">
        <v>5</v>
      </c>
      <c r="BJ734" t="s">
        <v>855</v>
      </c>
      <c r="BK734" t="s">
        <v>101</v>
      </c>
      <c r="BL734" t="s">
        <v>856</v>
      </c>
      <c r="BM734" t="s">
        <v>14145</v>
      </c>
      <c r="BN734" t="s">
        <v>74</v>
      </c>
      <c r="BO734" t="s">
        <v>162</v>
      </c>
      <c r="BP734" t="s">
        <v>74</v>
      </c>
      <c r="BQ734" t="s">
        <v>74</v>
      </c>
      <c r="BR734" t="s">
        <v>104</v>
      </c>
      <c r="BS734" t="s">
        <v>14243</v>
      </c>
      <c r="BT734" t="str">
        <f>HYPERLINK("https%3A%2F%2Fwww.webofscience.com%2Fwos%2Fwoscc%2Ffull-record%2FWOS:000449515300024","View Full Record in Web of Science")</f>
        <v>View Full Record in Web of Science</v>
      </c>
    </row>
    <row r="735" spans="1:72" x14ac:dyDescent="0.15">
      <c r="A735" t="s">
        <v>72</v>
      </c>
      <c r="B735" t="s">
        <v>14244</v>
      </c>
      <c r="C735" t="s">
        <v>74</v>
      </c>
      <c r="D735" t="s">
        <v>74</v>
      </c>
      <c r="E735" t="s">
        <v>74</v>
      </c>
      <c r="F735" t="s">
        <v>14245</v>
      </c>
      <c r="G735" t="s">
        <v>74</v>
      </c>
      <c r="H735" t="s">
        <v>74</v>
      </c>
      <c r="I735" t="s">
        <v>14246</v>
      </c>
      <c r="J735" t="s">
        <v>14129</v>
      </c>
      <c r="K735" t="s">
        <v>74</v>
      </c>
      <c r="L735" t="s">
        <v>74</v>
      </c>
      <c r="M735" t="s">
        <v>78</v>
      </c>
      <c r="N735" t="s">
        <v>79</v>
      </c>
      <c r="O735" t="s">
        <v>74</v>
      </c>
      <c r="P735" t="s">
        <v>74</v>
      </c>
      <c r="Q735" t="s">
        <v>74</v>
      </c>
      <c r="R735" t="s">
        <v>74</v>
      </c>
      <c r="S735" t="s">
        <v>74</v>
      </c>
      <c r="T735" t="s">
        <v>14247</v>
      </c>
      <c r="U735" t="s">
        <v>74</v>
      </c>
      <c r="V735" t="s">
        <v>14248</v>
      </c>
      <c r="W735" t="s">
        <v>14249</v>
      </c>
      <c r="X735" t="s">
        <v>14250</v>
      </c>
      <c r="Y735" t="s">
        <v>14251</v>
      </c>
      <c r="Z735" t="s">
        <v>14156</v>
      </c>
      <c r="AA735" t="s">
        <v>14252</v>
      </c>
      <c r="AB735" t="s">
        <v>14253</v>
      </c>
      <c r="AC735" t="s">
        <v>14254</v>
      </c>
      <c r="AD735" t="s">
        <v>14255</v>
      </c>
      <c r="AE735" t="s">
        <v>14256</v>
      </c>
      <c r="AF735" t="s">
        <v>74</v>
      </c>
      <c r="AG735">
        <v>14</v>
      </c>
      <c r="AH735">
        <v>2</v>
      </c>
      <c r="AI735">
        <v>2</v>
      </c>
      <c r="AJ735">
        <v>0</v>
      </c>
      <c r="AK735">
        <v>7</v>
      </c>
      <c r="AL735" t="s">
        <v>11215</v>
      </c>
      <c r="AM735" t="s">
        <v>11216</v>
      </c>
      <c r="AN735" t="s">
        <v>11217</v>
      </c>
      <c r="AO735" t="s">
        <v>14140</v>
      </c>
      <c r="AP735" t="s">
        <v>74</v>
      </c>
      <c r="AQ735" t="s">
        <v>74</v>
      </c>
      <c r="AR735" t="s">
        <v>14141</v>
      </c>
      <c r="AS735" t="s">
        <v>14142</v>
      </c>
      <c r="AT735" t="s">
        <v>14143</v>
      </c>
      <c r="AU735">
        <v>2018</v>
      </c>
      <c r="AV735">
        <v>115</v>
      </c>
      <c r="AW735">
        <v>9</v>
      </c>
      <c r="AX735" t="s">
        <v>74</v>
      </c>
      <c r="AY735" t="s">
        <v>74</v>
      </c>
      <c r="AZ735" t="s">
        <v>74</v>
      </c>
      <c r="BA735" t="s">
        <v>74</v>
      </c>
      <c r="BB735">
        <v>1695</v>
      </c>
      <c r="BC735">
        <v>1696</v>
      </c>
      <c r="BD735" t="s">
        <v>74</v>
      </c>
      <c r="BE735" t="s">
        <v>14257</v>
      </c>
      <c r="BF735" t="str">
        <f>HYPERLINK("http://dx.doi.org/10.18520/cs/v115/i9/1695-1696","http://dx.doi.org/10.18520/cs/v115/i9/1695-1696")</f>
        <v>http://dx.doi.org/10.18520/cs/v115/i9/1695-1696</v>
      </c>
      <c r="BG735" t="s">
        <v>74</v>
      </c>
      <c r="BH735" t="s">
        <v>74</v>
      </c>
      <c r="BI735">
        <v>2</v>
      </c>
      <c r="BJ735" t="s">
        <v>855</v>
      </c>
      <c r="BK735" t="s">
        <v>101</v>
      </c>
      <c r="BL735" t="s">
        <v>856</v>
      </c>
      <c r="BM735" t="s">
        <v>14145</v>
      </c>
      <c r="BN735" t="s">
        <v>74</v>
      </c>
      <c r="BO735" t="s">
        <v>4700</v>
      </c>
      <c r="BP735" t="s">
        <v>74</v>
      </c>
      <c r="BQ735" t="s">
        <v>74</v>
      </c>
      <c r="BR735" t="s">
        <v>104</v>
      </c>
      <c r="BS735" t="s">
        <v>14258</v>
      </c>
      <c r="BT735" t="str">
        <f>HYPERLINK("https%3A%2F%2Fwww.webofscience.com%2Fwos%2Fwoscc%2Ffull-record%2FWOS:000449515300027","View Full Record in Web of Science")</f>
        <v>View Full Record in Web of Science</v>
      </c>
    </row>
    <row r="736" spans="1:72" x14ac:dyDescent="0.15">
      <c r="A736" t="s">
        <v>72</v>
      </c>
      <c r="B736" t="s">
        <v>14259</v>
      </c>
      <c r="C736" t="s">
        <v>74</v>
      </c>
      <c r="D736" t="s">
        <v>74</v>
      </c>
      <c r="E736" t="s">
        <v>74</v>
      </c>
      <c r="F736" t="s">
        <v>14260</v>
      </c>
      <c r="G736" t="s">
        <v>74</v>
      </c>
      <c r="H736" t="s">
        <v>74</v>
      </c>
      <c r="I736" t="s">
        <v>14261</v>
      </c>
      <c r="J736" t="s">
        <v>14129</v>
      </c>
      <c r="K736" t="s">
        <v>74</v>
      </c>
      <c r="L736" t="s">
        <v>74</v>
      </c>
      <c r="M736" t="s">
        <v>78</v>
      </c>
      <c r="N736" t="s">
        <v>79</v>
      </c>
      <c r="O736" t="s">
        <v>74</v>
      </c>
      <c r="P736" t="s">
        <v>74</v>
      </c>
      <c r="Q736" t="s">
        <v>74</v>
      </c>
      <c r="R736" t="s">
        <v>74</v>
      </c>
      <c r="S736" t="s">
        <v>74</v>
      </c>
      <c r="T736" t="s">
        <v>14262</v>
      </c>
      <c r="U736" t="s">
        <v>14263</v>
      </c>
      <c r="V736" t="s">
        <v>14264</v>
      </c>
      <c r="W736" t="s">
        <v>14265</v>
      </c>
      <c r="X736" t="s">
        <v>14266</v>
      </c>
      <c r="Y736" t="s">
        <v>14267</v>
      </c>
      <c r="Z736" t="s">
        <v>1661</v>
      </c>
      <c r="AA736" t="s">
        <v>14268</v>
      </c>
      <c r="AB736" t="s">
        <v>14269</v>
      </c>
      <c r="AC736" t="s">
        <v>14270</v>
      </c>
      <c r="AD736" t="s">
        <v>14271</v>
      </c>
      <c r="AE736" t="s">
        <v>14272</v>
      </c>
      <c r="AF736" t="s">
        <v>74</v>
      </c>
      <c r="AG736">
        <v>20</v>
      </c>
      <c r="AH736">
        <v>1</v>
      </c>
      <c r="AI736">
        <v>1</v>
      </c>
      <c r="AJ736">
        <v>1</v>
      </c>
      <c r="AK736">
        <v>9</v>
      </c>
      <c r="AL736" t="s">
        <v>11215</v>
      </c>
      <c r="AM736" t="s">
        <v>11216</v>
      </c>
      <c r="AN736" t="s">
        <v>11217</v>
      </c>
      <c r="AO736" t="s">
        <v>14140</v>
      </c>
      <c r="AP736" t="s">
        <v>74</v>
      </c>
      <c r="AQ736" t="s">
        <v>74</v>
      </c>
      <c r="AR736" t="s">
        <v>14141</v>
      </c>
      <c r="AS736" t="s">
        <v>14142</v>
      </c>
      <c r="AT736" t="s">
        <v>14143</v>
      </c>
      <c r="AU736">
        <v>2018</v>
      </c>
      <c r="AV736">
        <v>115</v>
      </c>
      <c r="AW736">
        <v>9</v>
      </c>
      <c r="AX736" t="s">
        <v>74</v>
      </c>
      <c r="AY736" t="s">
        <v>74</v>
      </c>
      <c r="AZ736" t="s">
        <v>74</v>
      </c>
      <c r="BA736" t="s">
        <v>74</v>
      </c>
      <c r="BB736">
        <v>1701</v>
      </c>
      <c r="BC736">
        <v>1705</v>
      </c>
      <c r="BD736" t="s">
        <v>74</v>
      </c>
      <c r="BE736" t="s">
        <v>14273</v>
      </c>
      <c r="BF736" t="str">
        <f>HYPERLINK("http://dx.doi.org/10.18520/cs/v115/i9/1701-1705","http://dx.doi.org/10.18520/cs/v115/i9/1701-1705")</f>
        <v>http://dx.doi.org/10.18520/cs/v115/i9/1701-1705</v>
      </c>
      <c r="BG736" t="s">
        <v>74</v>
      </c>
      <c r="BH736" t="s">
        <v>74</v>
      </c>
      <c r="BI736">
        <v>5</v>
      </c>
      <c r="BJ736" t="s">
        <v>855</v>
      </c>
      <c r="BK736" t="s">
        <v>101</v>
      </c>
      <c r="BL736" t="s">
        <v>856</v>
      </c>
      <c r="BM736" t="s">
        <v>14145</v>
      </c>
      <c r="BN736" t="s">
        <v>74</v>
      </c>
      <c r="BO736" t="s">
        <v>4688</v>
      </c>
      <c r="BP736" t="s">
        <v>74</v>
      </c>
      <c r="BQ736" t="s">
        <v>74</v>
      </c>
      <c r="BR736" t="s">
        <v>104</v>
      </c>
      <c r="BS736" t="s">
        <v>14274</v>
      </c>
      <c r="BT736" t="str">
        <f>HYPERLINK("https%3A%2F%2Fwww.webofscience.com%2Fwos%2Fwoscc%2Ffull-record%2FWOS:000449515300029","View Full Record in Web of Science")</f>
        <v>View Full Record in Web of Science</v>
      </c>
    </row>
    <row r="737" spans="1:72" x14ac:dyDescent="0.15">
      <c r="A737" t="s">
        <v>72</v>
      </c>
      <c r="B737" t="s">
        <v>14275</v>
      </c>
      <c r="C737" t="s">
        <v>74</v>
      </c>
      <c r="D737" t="s">
        <v>74</v>
      </c>
      <c r="E737" t="s">
        <v>74</v>
      </c>
      <c r="F737" t="s">
        <v>14276</v>
      </c>
      <c r="G737" t="s">
        <v>74</v>
      </c>
      <c r="H737" t="s">
        <v>74</v>
      </c>
      <c r="I737" t="s">
        <v>14277</v>
      </c>
      <c r="J737" t="s">
        <v>14129</v>
      </c>
      <c r="K737" t="s">
        <v>74</v>
      </c>
      <c r="L737" t="s">
        <v>74</v>
      </c>
      <c r="M737" t="s">
        <v>78</v>
      </c>
      <c r="N737" t="s">
        <v>79</v>
      </c>
      <c r="O737" t="s">
        <v>74</v>
      </c>
      <c r="P737" t="s">
        <v>74</v>
      </c>
      <c r="Q737" t="s">
        <v>74</v>
      </c>
      <c r="R737" t="s">
        <v>74</v>
      </c>
      <c r="S737" t="s">
        <v>74</v>
      </c>
      <c r="T737" t="s">
        <v>14278</v>
      </c>
      <c r="U737" t="s">
        <v>14279</v>
      </c>
      <c r="V737" t="s">
        <v>14280</v>
      </c>
      <c r="W737" t="s">
        <v>14281</v>
      </c>
      <c r="X737" t="s">
        <v>14282</v>
      </c>
      <c r="Y737" t="s">
        <v>14267</v>
      </c>
      <c r="Z737" t="s">
        <v>1661</v>
      </c>
      <c r="AA737" t="s">
        <v>14283</v>
      </c>
      <c r="AB737" t="s">
        <v>14284</v>
      </c>
      <c r="AC737" t="s">
        <v>14285</v>
      </c>
      <c r="AD737" t="s">
        <v>14286</v>
      </c>
      <c r="AE737" t="s">
        <v>14287</v>
      </c>
      <c r="AF737" t="s">
        <v>74</v>
      </c>
      <c r="AG737">
        <v>16</v>
      </c>
      <c r="AH737">
        <v>4</v>
      </c>
      <c r="AI737">
        <v>4</v>
      </c>
      <c r="AJ737">
        <v>0</v>
      </c>
      <c r="AK737">
        <v>5</v>
      </c>
      <c r="AL737" t="s">
        <v>11215</v>
      </c>
      <c r="AM737" t="s">
        <v>11216</v>
      </c>
      <c r="AN737" t="s">
        <v>11217</v>
      </c>
      <c r="AO737" t="s">
        <v>14140</v>
      </c>
      <c r="AP737" t="s">
        <v>74</v>
      </c>
      <c r="AQ737" t="s">
        <v>74</v>
      </c>
      <c r="AR737" t="s">
        <v>14141</v>
      </c>
      <c r="AS737" t="s">
        <v>14142</v>
      </c>
      <c r="AT737" t="s">
        <v>14143</v>
      </c>
      <c r="AU737">
        <v>2018</v>
      </c>
      <c r="AV737">
        <v>115</v>
      </c>
      <c r="AW737">
        <v>9</v>
      </c>
      <c r="AX737" t="s">
        <v>74</v>
      </c>
      <c r="AY737" t="s">
        <v>74</v>
      </c>
      <c r="AZ737" t="s">
        <v>74</v>
      </c>
      <c r="BA737" t="s">
        <v>74</v>
      </c>
      <c r="BB737">
        <v>1706</v>
      </c>
      <c r="BC737">
        <v>1708</v>
      </c>
      <c r="BD737" t="s">
        <v>74</v>
      </c>
      <c r="BE737" t="s">
        <v>14288</v>
      </c>
      <c r="BF737" t="str">
        <f>HYPERLINK("http://dx.doi.org/10.18520/cs/v115/i9/1706-1708","http://dx.doi.org/10.18520/cs/v115/i9/1706-1708")</f>
        <v>http://dx.doi.org/10.18520/cs/v115/i9/1706-1708</v>
      </c>
      <c r="BG737" t="s">
        <v>74</v>
      </c>
      <c r="BH737" t="s">
        <v>74</v>
      </c>
      <c r="BI737">
        <v>3</v>
      </c>
      <c r="BJ737" t="s">
        <v>855</v>
      </c>
      <c r="BK737" t="s">
        <v>101</v>
      </c>
      <c r="BL737" t="s">
        <v>856</v>
      </c>
      <c r="BM737" t="s">
        <v>14145</v>
      </c>
      <c r="BN737" t="s">
        <v>74</v>
      </c>
      <c r="BO737" t="s">
        <v>4688</v>
      </c>
      <c r="BP737" t="s">
        <v>74</v>
      </c>
      <c r="BQ737" t="s">
        <v>74</v>
      </c>
      <c r="BR737" t="s">
        <v>104</v>
      </c>
      <c r="BS737" t="s">
        <v>14289</v>
      </c>
      <c r="BT737" t="str">
        <f>HYPERLINK("https%3A%2F%2Fwww.webofscience.com%2Fwos%2Fwoscc%2Ffull-record%2FWOS:000449515300030","View Full Record in Web of Science")</f>
        <v>View Full Record in Web of Science</v>
      </c>
    </row>
    <row r="738" spans="1:72" x14ac:dyDescent="0.15">
      <c r="A738" t="s">
        <v>72</v>
      </c>
      <c r="B738" t="s">
        <v>14290</v>
      </c>
      <c r="C738" t="s">
        <v>74</v>
      </c>
      <c r="D738" t="s">
        <v>74</v>
      </c>
      <c r="E738" t="s">
        <v>74</v>
      </c>
      <c r="F738" t="s">
        <v>14291</v>
      </c>
      <c r="G738" t="s">
        <v>74</v>
      </c>
      <c r="H738" t="s">
        <v>74</v>
      </c>
      <c r="I738" t="s">
        <v>14292</v>
      </c>
      <c r="J738" t="s">
        <v>8449</v>
      </c>
      <c r="K738" t="s">
        <v>74</v>
      </c>
      <c r="L738" t="s">
        <v>74</v>
      </c>
      <c r="M738" t="s">
        <v>78</v>
      </c>
      <c r="N738" t="s">
        <v>79</v>
      </c>
      <c r="O738" t="s">
        <v>74</v>
      </c>
      <c r="P738" t="s">
        <v>74</v>
      </c>
      <c r="Q738" t="s">
        <v>74</v>
      </c>
      <c r="R738" t="s">
        <v>74</v>
      </c>
      <c r="S738" t="s">
        <v>74</v>
      </c>
      <c r="T738" t="s">
        <v>14293</v>
      </c>
      <c r="U738" t="s">
        <v>14294</v>
      </c>
      <c r="V738" t="s">
        <v>14295</v>
      </c>
      <c r="W738" t="s">
        <v>14296</v>
      </c>
      <c r="X738" t="s">
        <v>14297</v>
      </c>
      <c r="Y738" t="s">
        <v>14298</v>
      </c>
      <c r="Z738" t="s">
        <v>14299</v>
      </c>
      <c r="AA738" t="s">
        <v>14300</v>
      </c>
      <c r="AB738" t="s">
        <v>14301</v>
      </c>
      <c r="AC738" t="s">
        <v>14302</v>
      </c>
      <c r="AD738" t="s">
        <v>14303</v>
      </c>
      <c r="AE738" t="s">
        <v>14304</v>
      </c>
      <c r="AF738" t="s">
        <v>74</v>
      </c>
      <c r="AG738">
        <v>74</v>
      </c>
      <c r="AH738">
        <v>9</v>
      </c>
      <c r="AI738">
        <v>9</v>
      </c>
      <c r="AJ738">
        <v>2</v>
      </c>
      <c r="AK738">
        <v>13</v>
      </c>
      <c r="AL738" t="s">
        <v>7949</v>
      </c>
      <c r="AM738" t="s">
        <v>7950</v>
      </c>
      <c r="AN738" t="s">
        <v>7951</v>
      </c>
      <c r="AO738" t="s">
        <v>74</v>
      </c>
      <c r="AP738" t="s">
        <v>8462</v>
      </c>
      <c r="AQ738" t="s">
        <v>74</v>
      </c>
      <c r="AR738" t="s">
        <v>8463</v>
      </c>
      <c r="AS738" t="s">
        <v>8464</v>
      </c>
      <c r="AT738" t="s">
        <v>14305</v>
      </c>
      <c r="AU738">
        <v>2018</v>
      </c>
      <c r="AV738">
        <v>5</v>
      </c>
      <c r="AW738" t="s">
        <v>74</v>
      </c>
      <c r="AX738" t="s">
        <v>74</v>
      </c>
      <c r="AY738" t="s">
        <v>74</v>
      </c>
      <c r="AZ738" t="s">
        <v>74</v>
      </c>
      <c r="BA738" t="s">
        <v>74</v>
      </c>
      <c r="BB738" t="s">
        <v>74</v>
      </c>
      <c r="BC738" t="s">
        <v>74</v>
      </c>
      <c r="BD738">
        <v>417</v>
      </c>
      <c r="BE738" t="s">
        <v>14306</v>
      </c>
      <c r="BF738" t="str">
        <f>HYPERLINK("http://dx.doi.org/10.3389/fmars.2018.00417","http://dx.doi.org/10.3389/fmars.2018.00417")</f>
        <v>http://dx.doi.org/10.3389/fmars.2018.00417</v>
      </c>
      <c r="BG738" t="s">
        <v>74</v>
      </c>
      <c r="BH738" t="s">
        <v>74</v>
      </c>
      <c r="BI738">
        <v>10</v>
      </c>
      <c r="BJ738" t="s">
        <v>3360</v>
      </c>
      <c r="BK738" t="s">
        <v>101</v>
      </c>
      <c r="BL738" t="s">
        <v>3361</v>
      </c>
      <c r="BM738" t="s">
        <v>14307</v>
      </c>
      <c r="BN738" t="s">
        <v>74</v>
      </c>
      <c r="BO738" t="s">
        <v>10404</v>
      </c>
      <c r="BP738" t="s">
        <v>74</v>
      </c>
      <c r="BQ738" t="s">
        <v>74</v>
      </c>
      <c r="BR738" t="s">
        <v>104</v>
      </c>
      <c r="BS738" t="s">
        <v>14308</v>
      </c>
      <c r="BT738" t="str">
        <f>HYPERLINK("https%3A%2F%2Fwww.webofscience.com%2Fwos%2Fwoscc%2Ffull-record%2FWOS:000457228100001","View Full Record in Web of Science")</f>
        <v>View Full Record in Web of Science</v>
      </c>
    </row>
    <row r="739" spans="1:72" x14ac:dyDescent="0.15">
      <c r="A739" t="s">
        <v>72</v>
      </c>
      <c r="B739" t="s">
        <v>14309</v>
      </c>
      <c r="C739" t="s">
        <v>74</v>
      </c>
      <c r="D739" t="s">
        <v>74</v>
      </c>
      <c r="E739" t="s">
        <v>74</v>
      </c>
      <c r="F739" t="s">
        <v>14310</v>
      </c>
      <c r="G739" t="s">
        <v>74</v>
      </c>
      <c r="H739" t="s">
        <v>74</v>
      </c>
      <c r="I739" t="s">
        <v>14311</v>
      </c>
      <c r="J739" t="s">
        <v>12982</v>
      </c>
      <c r="K739" t="s">
        <v>74</v>
      </c>
      <c r="L739" t="s">
        <v>74</v>
      </c>
      <c r="M739" t="s">
        <v>78</v>
      </c>
      <c r="N739" t="s">
        <v>79</v>
      </c>
      <c r="O739" t="s">
        <v>74</v>
      </c>
      <c r="P739" t="s">
        <v>74</v>
      </c>
      <c r="Q739" t="s">
        <v>74</v>
      </c>
      <c r="R739" t="s">
        <v>74</v>
      </c>
      <c r="S739" t="s">
        <v>74</v>
      </c>
      <c r="T739" t="s">
        <v>74</v>
      </c>
      <c r="U739" t="s">
        <v>14312</v>
      </c>
      <c r="V739" t="s">
        <v>14313</v>
      </c>
      <c r="W739" t="s">
        <v>14314</v>
      </c>
      <c r="X739" t="s">
        <v>14315</v>
      </c>
      <c r="Y739" t="s">
        <v>14316</v>
      </c>
      <c r="Z739" t="s">
        <v>14317</v>
      </c>
      <c r="AA739" t="s">
        <v>14318</v>
      </c>
      <c r="AB739" t="s">
        <v>14319</v>
      </c>
      <c r="AC739" t="s">
        <v>14320</v>
      </c>
      <c r="AD739" t="s">
        <v>14321</v>
      </c>
      <c r="AE739" t="s">
        <v>14322</v>
      </c>
      <c r="AF739" t="s">
        <v>74</v>
      </c>
      <c r="AG739">
        <v>151</v>
      </c>
      <c r="AH739">
        <v>62</v>
      </c>
      <c r="AI739">
        <v>68</v>
      </c>
      <c r="AJ739">
        <v>8</v>
      </c>
      <c r="AK739">
        <v>46</v>
      </c>
      <c r="AL739" t="s">
        <v>7866</v>
      </c>
      <c r="AM739" t="s">
        <v>7867</v>
      </c>
      <c r="AN739" t="s">
        <v>7868</v>
      </c>
      <c r="AO739" t="s">
        <v>12994</v>
      </c>
      <c r="AP739" t="s">
        <v>12995</v>
      </c>
      <c r="AQ739" t="s">
        <v>74</v>
      </c>
      <c r="AR739" t="s">
        <v>12982</v>
      </c>
      <c r="AS739" t="s">
        <v>12996</v>
      </c>
      <c r="AT739" t="s">
        <v>14305</v>
      </c>
      <c r="AU739">
        <v>2018</v>
      </c>
      <c r="AV739">
        <v>15</v>
      </c>
      <c r="AW739">
        <v>21</v>
      </c>
      <c r="AX739" t="s">
        <v>74</v>
      </c>
      <c r="AY739" t="s">
        <v>74</v>
      </c>
      <c r="AZ739" t="s">
        <v>74</v>
      </c>
      <c r="BA739" t="s">
        <v>74</v>
      </c>
      <c r="BB739">
        <v>6659</v>
      </c>
      <c r="BC739">
        <v>6684</v>
      </c>
      <c r="BD739" t="s">
        <v>74</v>
      </c>
      <c r="BE739" t="s">
        <v>14323</v>
      </c>
      <c r="BF739" t="str">
        <f>HYPERLINK("http://dx.doi.org/10.5194/bg-15-6659-2018","http://dx.doi.org/10.5194/bg-15-6659-2018")</f>
        <v>http://dx.doi.org/10.5194/bg-15-6659-2018</v>
      </c>
      <c r="BG739" t="s">
        <v>74</v>
      </c>
      <c r="BH739" t="s">
        <v>74</v>
      </c>
      <c r="BI739">
        <v>26</v>
      </c>
      <c r="BJ739" t="s">
        <v>451</v>
      </c>
      <c r="BK739" t="s">
        <v>101</v>
      </c>
      <c r="BL739" t="s">
        <v>452</v>
      </c>
      <c r="BM739" t="s">
        <v>14324</v>
      </c>
      <c r="BN739" t="s">
        <v>74</v>
      </c>
      <c r="BO739" t="s">
        <v>14089</v>
      </c>
      <c r="BP739" t="s">
        <v>74</v>
      </c>
      <c r="BQ739" t="s">
        <v>74</v>
      </c>
      <c r="BR739" t="s">
        <v>104</v>
      </c>
      <c r="BS739" t="s">
        <v>14325</v>
      </c>
      <c r="BT739" t="str">
        <f>HYPERLINK("https%3A%2F%2Fwww.webofscience.com%2Fwos%2Fwoscc%2Ffull-record%2FWOS:000449655900002","View Full Record in Web of Science")</f>
        <v>View Full Record in Web of Science</v>
      </c>
    </row>
    <row r="740" spans="1:72" x14ac:dyDescent="0.15">
      <c r="A740" t="s">
        <v>72</v>
      </c>
      <c r="B740" t="s">
        <v>14326</v>
      </c>
      <c r="C740" t="s">
        <v>74</v>
      </c>
      <c r="D740" t="s">
        <v>74</v>
      </c>
      <c r="E740" t="s">
        <v>74</v>
      </c>
      <c r="F740" t="s">
        <v>14327</v>
      </c>
      <c r="G740" t="s">
        <v>74</v>
      </c>
      <c r="H740" t="s">
        <v>74</v>
      </c>
      <c r="I740" t="s">
        <v>14328</v>
      </c>
      <c r="J740" t="s">
        <v>8076</v>
      </c>
      <c r="K740" t="s">
        <v>74</v>
      </c>
      <c r="L740" t="s">
        <v>74</v>
      </c>
      <c r="M740" t="s">
        <v>78</v>
      </c>
      <c r="N740" t="s">
        <v>79</v>
      </c>
      <c r="O740" t="s">
        <v>74</v>
      </c>
      <c r="P740" t="s">
        <v>74</v>
      </c>
      <c r="Q740" t="s">
        <v>74</v>
      </c>
      <c r="R740" t="s">
        <v>74</v>
      </c>
      <c r="S740" t="s">
        <v>74</v>
      </c>
      <c r="T740" t="s">
        <v>74</v>
      </c>
      <c r="U740" t="s">
        <v>14329</v>
      </c>
      <c r="V740" t="s">
        <v>14330</v>
      </c>
      <c r="W740" t="s">
        <v>14331</v>
      </c>
      <c r="X740" t="s">
        <v>14332</v>
      </c>
      <c r="Y740" t="s">
        <v>14333</v>
      </c>
      <c r="Z740" t="s">
        <v>14334</v>
      </c>
      <c r="AA740" t="s">
        <v>14335</v>
      </c>
      <c r="AB740" t="s">
        <v>14336</v>
      </c>
      <c r="AC740" t="s">
        <v>14337</v>
      </c>
      <c r="AD740" t="s">
        <v>14338</v>
      </c>
      <c r="AE740" t="s">
        <v>14339</v>
      </c>
      <c r="AF740" t="s">
        <v>74</v>
      </c>
      <c r="AG740">
        <v>53</v>
      </c>
      <c r="AH740">
        <v>5</v>
      </c>
      <c r="AI740">
        <v>6</v>
      </c>
      <c r="AJ740">
        <v>0</v>
      </c>
      <c r="AK740">
        <v>4</v>
      </c>
      <c r="AL740" t="s">
        <v>8088</v>
      </c>
      <c r="AM740" t="s">
        <v>8089</v>
      </c>
      <c r="AN740" t="s">
        <v>8090</v>
      </c>
      <c r="AO740" t="s">
        <v>8091</v>
      </c>
      <c r="AP740" t="s">
        <v>74</v>
      </c>
      <c r="AQ740" t="s">
        <v>74</v>
      </c>
      <c r="AR740" t="s">
        <v>8076</v>
      </c>
      <c r="AS740" t="s">
        <v>8092</v>
      </c>
      <c r="AT740" t="s">
        <v>14305</v>
      </c>
      <c r="AU740">
        <v>2018</v>
      </c>
      <c r="AV740">
        <v>13</v>
      </c>
      <c r="AW740">
        <v>11</v>
      </c>
      <c r="AX740" t="s">
        <v>74</v>
      </c>
      <c r="AY740" t="s">
        <v>74</v>
      </c>
      <c r="AZ740" t="s">
        <v>74</v>
      </c>
      <c r="BA740" t="s">
        <v>74</v>
      </c>
      <c r="BB740" t="s">
        <v>74</v>
      </c>
      <c r="BC740" t="s">
        <v>74</v>
      </c>
      <c r="BD740" t="s">
        <v>14340</v>
      </c>
      <c r="BE740" t="s">
        <v>14341</v>
      </c>
      <c r="BF740" t="str">
        <f>HYPERLINK("http://dx.doi.org/10.1371/journal.pone.0206502","http://dx.doi.org/10.1371/journal.pone.0206502")</f>
        <v>http://dx.doi.org/10.1371/journal.pone.0206502</v>
      </c>
      <c r="BG740" t="s">
        <v>74</v>
      </c>
      <c r="BH740" t="s">
        <v>74</v>
      </c>
      <c r="BI740">
        <v>12</v>
      </c>
      <c r="BJ740" t="s">
        <v>855</v>
      </c>
      <c r="BK740" t="s">
        <v>101</v>
      </c>
      <c r="BL740" t="s">
        <v>856</v>
      </c>
      <c r="BM740" t="s">
        <v>14342</v>
      </c>
      <c r="BN740">
        <v>30412585</v>
      </c>
      <c r="BO740" t="s">
        <v>3454</v>
      </c>
      <c r="BP740" t="s">
        <v>74</v>
      </c>
      <c r="BQ740" t="s">
        <v>74</v>
      </c>
      <c r="BR740" t="s">
        <v>104</v>
      </c>
      <c r="BS740" t="s">
        <v>14343</v>
      </c>
      <c r="BT740" t="str">
        <f>HYPERLINK("https%3A%2F%2Fwww.webofscience.com%2Fwos%2Fwoscc%2Ffull-record%2FWOS:000449772600017","View Full Record in Web of Science")</f>
        <v>View Full Record in Web of Science</v>
      </c>
    </row>
    <row r="741" spans="1:72" x14ac:dyDescent="0.15">
      <c r="A741" t="s">
        <v>72</v>
      </c>
      <c r="B741" t="s">
        <v>14344</v>
      </c>
      <c r="C741" t="s">
        <v>74</v>
      </c>
      <c r="D741" t="s">
        <v>74</v>
      </c>
      <c r="E741" t="s">
        <v>74</v>
      </c>
      <c r="F741" t="s">
        <v>14345</v>
      </c>
      <c r="G741" t="s">
        <v>74</v>
      </c>
      <c r="H741" t="s">
        <v>74</v>
      </c>
      <c r="I741" t="s">
        <v>14346</v>
      </c>
      <c r="J741" t="s">
        <v>9044</v>
      </c>
      <c r="K741" t="s">
        <v>74</v>
      </c>
      <c r="L741" t="s">
        <v>74</v>
      </c>
      <c r="M741" t="s">
        <v>78</v>
      </c>
      <c r="N741" t="s">
        <v>79</v>
      </c>
      <c r="O741" t="s">
        <v>74</v>
      </c>
      <c r="P741" t="s">
        <v>74</v>
      </c>
      <c r="Q741" t="s">
        <v>74</v>
      </c>
      <c r="R741" t="s">
        <v>74</v>
      </c>
      <c r="S741" t="s">
        <v>74</v>
      </c>
      <c r="T741" t="s">
        <v>14347</v>
      </c>
      <c r="U741" t="s">
        <v>14348</v>
      </c>
      <c r="V741" t="s">
        <v>14349</v>
      </c>
      <c r="W741" t="s">
        <v>14350</v>
      </c>
      <c r="X741" t="s">
        <v>14351</v>
      </c>
      <c r="Y741" t="s">
        <v>14352</v>
      </c>
      <c r="Z741" t="s">
        <v>14353</v>
      </c>
      <c r="AA741" t="s">
        <v>14354</v>
      </c>
      <c r="AB741" t="s">
        <v>14355</v>
      </c>
      <c r="AC741" t="s">
        <v>14356</v>
      </c>
      <c r="AD741" t="s">
        <v>14357</v>
      </c>
      <c r="AE741" t="s">
        <v>14358</v>
      </c>
      <c r="AF741" t="s">
        <v>74</v>
      </c>
      <c r="AG741">
        <v>111</v>
      </c>
      <c r="AH741">
        <v>36</v>
      </c>
      <c r="AI741">
        <v>38</v>
      </c>
      <c r="AJ741">
        <v>2</v>
      </c>
      <c r="AK741">
        <v>19</v>
      </c>
      <c r="AL741" t="s">
        <v>7949</v>
      </c>
      <c r="AM741" t="s">
        <v>7950</v>
      </c>
      <c r="AN741" t="s">
        <v>7951</v>
      </c>
      <c r="AO741" t="s">
        <v>74</v>
      </c>
      <c r="AP741" t="s">
        <v>9057</v>
      </c>
      <c r="AQ741" t="s">
        <v>74</v>
      </c>
      <c r="AR741" t="s">
        <v>9058</v>
      </c>
      <c r="AS741" t="s">
        <v>9059</v>
      </c>
      <c r="AT741" t="s">
        <v>14359</v>
      </c>
      <c r="AU741">
        <v>2018</v>
      </c>
      <c r="AV741">
        <v>6</v>
      </c>
      <c r="AW741" t="s">
        <v>74</v>
      </c>
      <c r="AX741" t="s">
        <v>74</v>
      </c>
      <c r="AY741" t="s">
        <v>74</v>
      </c>
      <c r="AZ741" t="s">
        <v>74</v>
      </c>
      <c r="BA741" t="s">
        <v>74</v>
      </c>
      <c r="BB741" t="s">
        <v>74</v>
      </c>
      <c r="BC741" t="s">
        <v>74</v>
      </c>
      <c r="BD741">
        <v>190</v>
      </c>
      <c r="BE741" t="s">
        <v>14360</v>
      </c>
      <c r="BF741" t="str">
        <f>HYPERLINK("http://dx.doi.org/10.3389/feart.2018.00190","http://dx.doi.org/10.3389/feart.2018.00190")</f>
        <v>http://dx.doi.org/10.3389/feart.2018.00190</v>
      </c>
      <c r="BG741" t="s">
        <v>74</v>
      </c>
      <c r="BH741" t="s">
        <v>74</v>
      </c>
      <c r="BI741">
        <v>28</v>
      </c>
      <c r="BJ741" t="s">
        <v>884</v>
      </c>
      <c r="BK741" t="s">
        <v>101</v>
      </c>
      <c r="BL741" t="s">
        <v>528</v>
      </c>
      <c r="BM741" t="s">
        <v>14361</v>
      </c>
      <c r="BN741" t="s">
        <v>74</v>
      </c>
      <c r="BO741" t="s">
        <v>285</v>
      </c>
      <c r="BP741" t="s">
        <v>74</v>
      </c>
      <c r="BQ741" t="s">
        <v>74</v>
      </c>
      <c r="BR741" t="s">
        <v>104</v>
      </c>
      <c r="BS741" t="s">
        <v>14362</v>
      </c>
      <c r="BT741" t="str">
        <f>HYPERLINK("https%3A%2F%2Fwww.webofscience.com%2Fwos%2Fwoscc%2Ffull-record%2FWOS:000454085800002","View Full Record in Web of Science")</f>
        <v>View Full Record in Web of Science</v>
      </c>
    </row>
    <row r="742" spans="1:72" x14ac:dyDescent="0.15">
      <c r="A742" t="s">
        <v>72</v>
      </c>
      <c r="B742" t="s">
        <v>14363</v>
      </c>
      <c r="C742" t="s">
        <v>74</v>
      </c>
      <c r="D742" t="s">
        <v>74</v>
      </c>
      <c r="E742" t="s">
        <v>74</v>
      </c>
      <c r="F742" t="s">
        <v>14364</v>
      </c>
      <c r="G742" t="s">
        <v>74</v>
      </c>
      <c r="H742" t="s">
        <v>74</v>
      </c>
      <c r="I742" t="s">
        <v>14365</v>
      </c>
      <c r="J742" t="s">
        <v>8182</v>
      </c>
      <c r="K742" t="s">
        <v>74</v>
      </c>
      <c r="L742" t="s">
        <v>74</v>
      </c>
      <c r="M742" t="s">
        <v>78</v>
      </c>
      <c r="N742" t="s">
        <v>79</v>
      </c>
      <c r="O742" t="s">
        <v>74</v>
      </c>
      <c r="P742" t="s">
        <v>74</v>
      </c>
      <c r="Q742" t="s">
        <v>74</v>
      </c>
      <c r="R742" t="s">
        <v>74</v>
      </c>
      <c r="S742" t="s">
        <v>74</v>
      </c>
      <c r="T742" t="s">
        <v>74</v>
      </c>
      <c r="U742" t="s">
        <v>14366</v>
      </c>
      <c r="V742" t="s">
        <v>14367</v>
      </c>
      <c r="W742" t="s">
        <v>14368</v>
      </c>
      <c r="X742" t="s">
        <v>14369</v>
      </c>
      <c r="Y742" t="s">
        <v>14370</v>
      </c>
      <c r="Z742" t="s">
        <v>14371</v>
      </c>
      <c r="AA742" t="s">
        <v>14372</v>
      </c>
      <c r="AB742" t="s">
        <v>14373</v>
      </c>
      <c r="AC742" t="s">
        <v>14374</v>
      </c>
      <c r="AD742" t="s">
        <v>14375</v>
      </c>
      <c r="AE742" t="s">
        <v>14376</v>
      </c>
      <c r="AF742" t="s">
        <v>74</v>
      </c>
      <c r="AG742">
        <v>28</v>
      </c>
      <c r="AH742">
        <v>8</v>
      </c>
      <c r="AI742">
        <v>9</v>
      </c>
      <c r="AJ742">
        <v>0</v>
      </c>
      <c r="AK742">
        <v>2</v>
      </c>
      <c r="AL742" t="s">
        <v>7866</v>
      </c>
      <c r="AM742" t="s">
        <v>7867</v>
      </c>
      <c r="AN742" t="s">
        <v>7868</v>
      </c>
      <c r="AO742" t="s">
        <v>8194</v>
      </c>
      <c r="AP742" t="s">
        <v>8195</v>
      </c>
      <c r="AQ742" t="s">
        <v>74</v>
      </c>
      <c r="AR742" t="s">
        <v>8196</v>
      </c>
      <c r="AS742" t="s">
        <v>8197</v>
      </c>
      <c r="AT742" t="s">
        <v>14359</v>
      </c>
      <c r="AU742">
        <v>2018</v>
      </c>
      <c r="AV742">
        <v>18</v>
      </c>
      <c r="AW742">
        <v>21</v>
      </c>
      <c r="AX742" t="s">
        <v>74</v>
      </c>
      <c r="AY742" t="s">
        <v>74</v>
      </c>
      <c r="AZ742" t="s">
        <v>74</v>
      </c>
      <c r="BA742" t="s">
        <v>74</v>
      </c>
      <c r="BB742">
        <v>16019</v>
      </c>
      <c r="BC742">
        <v>16031</v>
      </c>
      <c r="BD742" t="s">
        <v>74</v>
      </c>
      <c r="BE742" t="s">
        <v>14377</v>
      </c>
      <c r="BF742" t="str">
        <f>HYPERLINK("http://dx.doi.org/10.5194/acp-18-16019-2018","http://dx.doi.org/10.5194/acp-18-16019-2018")</f>
        <v>http://dx.doi.org/10.5194/acp-18-16019-2018</v>
      </c>
      <c r="BG742" t="s">
        <v>74</v>
      </c>
      <c r="BH742" t="s">
        <v>74</v>
      </c>
      <c r="BI742">
        <v>13</v>
      </c>
      <c r="BJ742" t="s">
        <v>2635</v>
      </c>
      <c r="BK742" t="s">
        <v>101</v>
      </c>
      <c r="BL742" t="s">
        <v>2636</v>
      </c>
      <c r="BM742" t="s">
        <v>14378</v>
      </c>
      <c r="BN742" t="s">
        <v>74</v>
      </c>
      <c r="BO742" t="s">
        <v>949</v>
      </c>
      <c r="BP742" t="s">
        <v>74</v>
      </c>
      <c r="BQ742" t="s">
        <v>74</v>
      </c>
      <c r="BR742" t="s">
        <v>104</v>
      </c>
      <c r="BS742" t="s">
        <v>14379</v>
      </c>
      <c r="BT742" t="str">
        <f>HYPERLINK("https%3A%2F%2Fwww.webofscience.com%2Fwos%2Fwoscc%2Ffull-record%2FWOS:000449556900001","View Full Record in Web of Science")</f>
        <v>View Full Record in Web of Science</v>
      </c>
    </row>
    <row r="743" spans="1:72" x14ac:dyDescent="0.15">
      <c r="A743" t="s">
        <v>72</v>
      </c>
      <c r="B743" t="s">
        <v>14380</v>
      </c>
      <c r="C743" t="s">
        <v>74</v>
      </c>
      <c r="D743" t="s">
        <v>74</v>
      </c>
      <c r="E743" t="s">
        <v>74</v>
      </c>
      <c r="F743" t="s">
        <v>14381</v>
      </c>
      <c r="G743" t="s">
        <v>74</v>
      </c>
      <c r="H743" t="s">
        <v>74</v>
      </c>
      <c r="I743" t="s">
        <v>14382</v>
      </c>
      <c r="J743" t="s">
        <v>14383</v>
      </c>
      <c r="K743" t="s">
        <v>74</v>
      </c>
      <c r="L743" t="s">
        <v>74</v>
      </c>
      <c r="M743" t="s">
        <v>78</v>
      </c>
      <c r="N743" t="s">
        <v>79</v>
      </c>
      <c r="O743" t="s">
        <v>74</v>
      </c>
      <c r="P743" t="s">
        <v>74</v>
      </c>
      <c r="Q743" t="s">
        <v>74</v>
      </c>
      <c r="R743" t="s">
        <v>74</v>
      </c>
      <c r="S743" t="s">
        <v>74</v>
      </c>
      <c r="T743" t="s">
        <v>14384</v>
      </c>
      <c r="U743" t="s">
        <v>14385</v>
      </c>
      <c r="V743" t="s">
        <v>14386</v>
      </c>
      <c r="W743" t="s">
        <v>14387</v>
      </c>
      <c r="X743" t="s">
        <v>14388</v>
      </c>
      <c r="Y743" t="s">
        <v>14389</v>
      </c>
      <c r="Z743" t="s">
        <v>14390</v>
      </c>
      <c r="AA743" t="s">
        <v>14391</v>
      </c>
      <c r="AB743" t="s">
        <v>74</v>
      </c>
      <c r="AC743" t="s">
        <v>14392</v>
      </c>
      <c r="AD743" t="s">
        <v>14393</v>
      </c>
      <c r="AE743" t="s">
        <v>14394</v>
      </c>
      <c r="AF743" t="s">
        <v>74</v>
      </c>
      <c r="AG743">
        <v>82</v>
      </c>
      <c r="AH743">
        <v>8</v>
      </c>
      <c r="AI743">
        <v>9</v>
      </c>
      <c r="AJ743">
        <v>0</v>
      </c>
      <c r="AK743">
        <v>4</v>
      </c>
      <c r="AL743" t="s">
        <v>13616</v>
      </c>
      <c r="AM743" t="s">
        <v>3008</v>
      </c>
      <c r="AN743" t="s">
        <v>13617</v>
      </c>
      <c r="AO743" t="s">
        <v>14395</v>
      </c>
      <c r="AP743" t="s">
        <v>74</v>
      </c>
      <c r="AQ743" t="s">
        <v>74</v>
      </c>
      <c r="AR743" t="s">
        <v>14396</v>
      </c>
      <c r="AS743" t="s">
        <v>14397</v>
      </c>
      <c r="AT743" t="s">
        <v>14359</v>
      </c>
      <c r="AU743">
        <v>2018</v>
      </c>
      <c r="AV743">
        <v>11</v>
      </c>
      <c r="AW743" t="s">
        <v>74</v>
      </c>
      <c r="AX743" t="s">
        <v>74</v>
      </c>
      <c r="AY743" t="s">
        <v>74</v>
      </c>
      <c r="AZ743" t="s">
        <v>74</v>
      </c>
      <c r="BA743" t="s">
        <v>74</v>
      </c>
      <c r="BB743" t="s">
        <v>74</v>
      </c>
      <c r="BC743" t="s">
        <v>74</v>
      </c>
      <c r="BD743">
        <v>583</v>
      </c>
      <c r="BE743" t="s">
        <v>14398</v>
      </c>
      <c r="BF743" t="str">
        <f>HYPERLINK("http://dx.doi.org/10.1186/s13071-018-3119-7","http://dx.doi.org/10.1186/s13071-018-3119-7")</f>
        <v>http://dx.doi.org/10.1186/s13071-018-3119-7</v>
      </c>
      <c r="BG743" t="s">
        <v>74</v>
      </c>
      <c r="BH743" t="s">
        <v>74</v>
      </c>
      <c r="BI743">
        <v>13</v>
      </c>
      <c r="BJ743" t="s">
        <v>2975</v>
      </c>
      <c r="BK743" t="s">
        <v>101</v>
      </c>
      <c r="BL743" t="s">
        <v>2975</v>
      </c>
      <c r="BM743" t="s">
        <v>14399</v>
      </c>
      <c r="BN743">
        <v>30409156</v>
      </c>
      <c r="BO743" t="s">
        <v>221</v>
      </c>
      <c r="BP743" t="s">
        <v>74</v>
      </c>
      <c r="BQ743" t="s">
        <v>74</v>
      </c>
      <c r="BR743" t="s">
        <v>104</v>
      </c>
      <c r="BS743" t="s">
        <v>14400</v>
      </c>
      <c r="BT743" t="str">
        <f>HYPERLINK("https%3A%2F%2Fwww.webofscience.com%2Fwos%2Fwoscc%2Ffull-record%2FWOS:000449828200001","View Full Record in Web of Science")</f>
        <v>View Full Record in Web of Science</v>
      </c>
    </row>
    <row r="744" spans="1:72" x14ac:dyDescent="0.15">
      <c r="A744" t="s">
        <v>72</v>
      </c>
      <c r="B744" t="s">
        <v>14401</v>
      </c>
      <c r="C744" t="s">
        <v>74</v>
      </c>
      <c r="D744" t="s">
        <v>74</v>
      </c>
      <c r="E744" t="s">
        <v>74</v>
      </c>
      <c r="F744" t="s">
        <v>14402</v>
      </c>
      <c r="G744" t="s">
        <v>74</v>
      </c>
      <c r="H744" t="s">
        <v>74</v>
      </c>
      <c r="I744" t="s">
        <v>14403</v>
      </c>
      <c r="J744" t="s">
        <v>7903</v>
      </c>
      <c r="K744" t="s">
        <v>74</v>
      </c>
      <c r="L744" t="s">
        <v>74</v>
      </c>
      <c r="M744" t="s">
        <v>78</v>
      </c>
      <c r="N744" t="s">
        <v>79</v>
      </c>
      <c r="O744" t="s">
        <v>74</v>
      </c>
      <c r="P744" t="s">
        <v>74</v>
      </c>
      <c r="Q744" t="s">
        <v>74</v>
      </c>
      <c r="R744" t="s">
        <v>74</v>
      </c>
      <c r="S744" t="s">
        <v>74</v>
      </c>
      <c r="T744" t="s">
        <v>74</v>
      </c>
      <c r="U744" t="s">
        <v>14404</v>
      </c>
      <c r="V744" t="s">
        <v>14405</v>
      </c>
      <c r="W744" t="s">
        <v>14406</v>
      </c>
      <c r="X744" t="s">
        <v>14407</v>
      </c>
      <c r="Y744" t="s">
        <v>14408</v>
      </c>
      <c r="Z744" t="s">
        <v>14409</v>
      </c>
      <c r="AA744" t="s">
        <v>14410</v>
      </c>
      <c r="AB744" t="s">
        <v>14411</v>
      </c>
      <c r="AC744" t="s">
        <v>14412</v>
      </c>
      <c r="AD744" t="s">
        <v>14413</v>
      </c>
      <c r="AE744" t="s">
        <v>14414</v>
      </c>
      <c r="AF744" t="s">
        <v>74</v>
      </c>
      <c r="AG744">
        <v>45</v>
      </c>
      <c r="AH744">
        <v>21</v>
      </c>
      <c r="AI744">
        <v>21</v>
      </c>
      <c r="AJ744">
        <v>1</v>
      </c>
      <c r="AK744">
        <v>8</v>
      </c>
      <c r="AL744" t="s">
        <v>6185</v>
      </c>
      <c r="AM744" t="s">
        <v>6186</v>
      </c>
      <c r="AN744" t="s">
        <v>6187</v>
      </c>
      <c r="AO744" t="s">
        <v>7915</v>
      </c>
      <c r="AP744" t="s">
        <v>74</v>
      </c>
      <c r="AQ744" t="s">
        <v>74</v>
      </c>
      <c r="AR744" t="s">
        <v>7916</v>
      </c>
      <c r="AS744" t="s">
        <v>7917</v>
      </c>
      <c r="AT744" t="s">
        <v>14415</v>
      </c>
      <c r="AU744">
        <v>2018</v>
      </c>
      <c r="AV744">
        <v>9</v>
      </c>
      <c r="AW744" t="s">
        <v>74</v>
      </c>
      <c r="AX744" t="s">
        <v>74</v>
      </c>
      <c r="AY744" t="s">
        <v>74</v>
      </c>
      <c r="AZ744" t="s">
        <v>74</v>
      </c>
      <c r="BA744" t="s">
        <v>74</v>
      </c>
      <c r="BB744" t="s">
        <v>74</v>
      </c>
      <c r="BC744" t="s">
        <v>74</v>
      </c>
      <c r="BD744">
        <v>4669</v>
      </c>
      <c r="BE744" t="s">
        <v>14416</v>
      </c>
      <c r="BF744" t="str">
        <f>HYPERLINK("http://dx.doi.org/10.1038/s41467-018-07083-3","http://dx.doi.org/10.1038/s41467-018-07083-3")</f>
        <v>http://dx.doi.org/10.1038/s41467-018-07083-3</v>
      </c>
      <c r="BG744" t="s">
        <v>74</v>
      </c>
      <c r="BH744" t="s">
        <v>74</v>
      </c>
      <c r="BI744">
        <v>13</v>
      </c>
      <c r="BJ744" t="s">
        <v>855</v>
      </c>
      <c r="BK744" t="s">
        <v>101</v>
      </c>
      <c r="BL744" t="s">
        <v>856</v>
      </c>
      <c r="BM744" t="s">
        <v>14417</v>
      </c>
      <c r="BN744">
        <v>30405102</v>
      </c>
      <c r="BO744" t="s">
        <v>6520</v>
      </c>
      <c r="BP744" t="s">
        <v>74</v>
      </c>
      <c r="BQ744" t="s">
        <v>74</v>
      </c>
      <c r="BR744" t="s">
        <v>104</v>
      </c>
      <c r="BS744" t="s">
        <v>14418</v>
      </c>
      <c r="BT744" t="str">
        <f>HYPERLINK("https%3A%2F%2Fwww.webofscience.com%2Fwos%2Fwoscc%2Ffull-record%2FWOS:000449363900018","View Full Record in Web of Science")</f>
        <v>View Full Record in Web of Science</v>
      </c>
    </row>
    <row r="745" spans="1:72" x14ac:dyDescent="0.15">
      <c r="A745" t="s">
        <v>72</v>
      </c>
      <c r="B745" t="s">
        <v>14419</v>
      </c>
      <c r="C745" t="s">
        <v>74</v>
      </c>
      <c r="D745" t="s">
        <v>74</v>
      </c>
      <c r="E745" t="s">
        <v>74</v>
      </c>
      <c r="F745" t="s">
        <v>14420</v>
      </c>
      <c r="G745" t="s">
        <v>74</v>
      </c>
      <c r="H745" t="s">
        <v>74</v>
      </c>
      <c r="I745" t="s">
        <v>14421</v>
      </c>
      <c r="J745" t="s">
        <v>8182</v>
      </c>
      <c r="K745" t="s">
        <v>74</v>
      </c>
      <c r="L745" t="s">
        <v>74</v>
      </c>
      <c r="M745" t="s">
        <v>78</v>
      </c>
      <c r="N745" t="s">
        <v>79</v>
      </c>
      <c r="O745" t="s">
        <v>74</v>
      </c>
      <c r="P745" t="s">
        <v>74</v>
      </c>
      <c r="Q745" t="s">
        <v>74</v>
      </c>
      <c r="R745" t="s">
        <v>74</v>
      </c>
      <c r="S745" t="s">
        <v>74</v>
      </c>
      <c r="T745" t="s">
        <v>74</v>
      </c>
      <c r="U745" t="s">
        <v>14422</v>
      </c>
      <c r="V745" t="s">
        <v>14423</v>
      </c>
      <c r="W745" t="s">
        <v>14424</v>
      </c>
      <c r="X745" t="s">
        <v>14425</v>
      </c>
      <c r="Y745" t="s">
        <v>14426</v>
      </c>
      <c r="Z745" t="s">
        <v>14427</v>
      </c>
      <c r="AA745" t="s">
        <v>14428</v>
      </c>
      <c r="AB745" t="s">
        <v>14429</v>
      </c>
      <c r="AC745" t="s">
        <v>14430</v>
      </c>
      <c r="AD745" t="s">
        <v>14431</v>
      </c>
      <c r="AE745" t="s">
        <v>14432</v>
      </c>
      <c r="AF745" t="s">
        <v>74</v>
      </c>
      <c r="AG745">
        <v>61</v>
      </c>
      <c r="AH745">
        <v>14</v>
      </c>
      <c r="AI745">
        <v>14</v>
      </c>
      <c r="AJ745">
        <v>1</v>
      </c>
      <c r="AK745">
        <v>11</v>
      </c>
      <c r="AL745" t="s">
        <v>7866</v>
      </c>
      <c r="AM745" t="s">
        <v>7867</v>
      </c>
      <c r="AN745" t="s">
        <v>7868</v>
      </c>
      <c r="AO745" t="s">
        <v>8194</v>
      </c>
      <c r="AP745" t="s">
        <v>8195</v>
      </c>
      <c r="AQ745" t="s">
        <v>74</v>
      </c>
      <c r="AR745" t="s">
        <v>8196</v>
      </c>
      <c r="AS745" t="s">
        <v>8197</v>
      </c>
      <c r="AT745" t="s">
        <v>14433</v>
      </c>
      <c r="AU745">
        <v>2018</v>
      </c>
      <c r="AV745">
        <v>18</v>
      </c>
      <c r="AW745">
        <v>21</v>
      </c>
      <c r="AX745" t="s">
        <v>74</v>
      </c>
      <c r="AY745" t="s">
        <v>74</v>
      </c>
      <c r="AZ745" t="s">
        <v>74</v>
      </c>
      <c r="BA745" t="s">
        <v>74</v>
      </c>
      <c r="BB745">
        <v>15859</v>
      </c>
      <c r="BC745">
        <v>15877</v>
      </c>
      <c r="BD745" t="s">
        <v>74</v>
      </c>
      <c r="BE745" t="s">
        <v>14434</v>
      </c>
      <c r="BF745" t="str">
        <f>HYPERLINK("http://dx.doi.org/10.5194/acp-18-15859-2018","http://dx.doi.org/10.5194/acp-18-15859-2018")</f>
        <v>http://dx.doi.org/10.5194/acp-18-15859-2018</v>
      </c>
      <c r="BG745" t="s">
        <v>74</v>
      </c>
      <c r="BH745" t="s">
        <v>74</v>
      </c>
      <c r="BI745">
        <v>19</v>
      </c>
      <c r="BJ745" t="s">
        <v>2635</v>
      </c>
      <c r="BK745" t="s">
        <v>101</v>
      </c>
      <c r="BL745" t="s">
        <v>2636</v>
      </c>
      <c r="BM745" t="s">
        <v>14435</v>
      </c>
      <c r="BN745" t="s">
        <v>74</v>
      </c>
      <c r="BO745" t="s">
        <v>221</v>
      </c>
      <c r="BP745" t="s">
        <v>74</v>
      </c>
      <c r="BQ745" t="s">
        <v>74</v>
      </c>
      <c r="BR745" t="s">
        <v>104</v>
      </c>
      <c r="BS745" t="s">
        <v>14436</v>
      </c>
      <c r="BT745" t="str">
        <f>HYPERLINK("https%3A%2F%2Fwww.webofscience.com%2Fwos%2Fwoscc%2Ffull-record%2FWOS:000449479300001","View Full Record in Web of Science")</f>
        <v>View Full Record in Web of Science</v>
      </c>
    </row>
    <row r="746" spans="1:72" x14ac:dyDescent="0.15">
      <c r="A746" t="s">
        <v>72</v>
      </c>
      <c r="B746" t="s">
        <v>14437</v>
      </c>
      <c r="C746" t="s">
        <v>74</v>
      </c>
      <c r="D746" t="s">
        <v>74</v>
      </c>
      <c r="E746" t="s">
        <v>74</v>
      </c>
      <c r="F746" t="s">
        <v>14438</v>
      </c>
      <c r="G746" t="s">
        <v>74</v>
      </c>
      <c r="H746" t="s">
        <v>74</v>
      </c>
      <c r="I746" t="s">
        <v>14439</v>
      </c>
      <c r="J746" t="s">
        <v>8034</v>
      </c>
      <c r="K746" t="s">
        <v>74</v>
      </c>
      <c r="L746" t="s">
        <v>74</v>
      </c>
      <c r="M746" t="s">
        <v>78</v>
      </c>
      <c r="N746" t="s">
        <v>79</v>
      </c>
      <c r="O746" t="s">
        <v>74</v>
      </c>
      <c r="P746" t="s">
        <v>74</v>
      </c>
      <c r="Q746" t="s">
        <v>74</v>
      </c>
      <c r="R746" t="s">
        <v>74</v>
      </c>
      <c r="S746" t="s">
        <v>74</v>
      </c>
      <c r="T746" t="s">
        <v>74</v>
      </c>
      <c r="U746" t="s">
        <v>14440</v>
      </c>
      <c r="V746" t="s">
        <v>14441</v>
      </c>
      <c r="W746" t="s">
        <v>14442</v>
      </c>
      <c r="X746" t="s">
        <v>14443</v>
      </c>
      <c r="Y746" t="s">
        <v>14444</v>
      </c>
      <c r="Z746" t="s">
        <v>14445</v>
      </c>
      <c r="AA746" t="s">
        <v>14446</v>
      </c>
      <c r="AB746" t="s">
        <v>14447</v>
      </c>
      <c r="AC746" t="s">
        <v>14448</v>
      </c>
      <c r="AD746" t="s">
        <v>14449</v>
      </c>
      <c r="AE746" t="s">
        <v>14450</v>
      </c>
      <c r="AF746" t="s">
        <v>74</v>
      </c>
      <c r="AG746">
        <v>82</v>
      </c>
      <c r="AH746">
        <v>6</v>
      </c>
      <c r="AI746">
        <v>7</v>
      </c>
      <c r="AJ746">
        <v>0</v>
      </c>
      <c r="AK746">
        <v>6</v>
      </c>
      <c r="AL746" t="s">
        <v>8045</v>
      </c>
      <c r="AM746" t="s">
        <v>6186</v>
      </c>
      <c r="AN746" t="s">
        <v>6187</v>
      </c>
      <c r="AO746" t="s">
        <v>8046</v>
      </c>
      <c r="AP746" t="s">
        <v>74</v>
      </c>
      <c r="AQ746" t="s">
        <v>74</v>
      </c>
      <c r="AR746" t="s">
        <v>8047</v>
      </c>
      <c r="AS746" t="s">
        <v>8048</v>
      </c>
      <c r="AT746" t="s">
        <v>14433</v>
      </c>
      <c r="AU746">
        <v>2018</v>
      </c>
      <c r="AV746">
        <v>8</v>
      </c>
      <c r="AW746" t="s">
        <v>74</v>
      </c>
      <c r="AX746" t="s">
        <v>74</v>
      </c>
      <c r="AY746" t="s">
        <v>74</v>
      </c>
      <c r="AZ746" t="s">
        <v>74</v>
      </c>
      <c r="BA746" t="s">
        <v>74</v>
      </c>
      <c r="BB746" t="s">
        <v>74</v>
      </c>
      <c r="BC746" t="s">
        <v>74</v>
      </c>
      <c r="BD746">
        <v>16403</v>
      </c>
      <c r="BE746" t="s">
        <v>14451</v>
      </c>
      <c r="BF746" t="str">
        <f>HYPERLINK("http://dx.doi.org/10.1038/s41598-018-34748-2","http://dx.doi.org/10.1038/s41598-018-34748-2")</f>
        <v>http://dx.doi.org/10.1038/s41598-018-34748-2</v>
      </c>
      <c r="BG746" t="s">
        <v>74</v>
      </c>
      <c r="BH746" t="s">
        <v>74</v>
      </c>
      <c r="BI746">
        <v>12</v>
      </c>
      <c r="BJ746" t="s">
        <v>855</v>
      </c>
      <c r="BK746" t="s">
        <v>101</v>
      </c>
      <c r="BL746" t="s">
        <v>856</v>
      </c>
      <c r="BM746" t="s">
        <v>14452</v>
      </c>
      <c r="BN746">
        <v>30401799</v>
      </c>
      <c r="BO746" t="s">
        <v>193</v>
      </c>
      <c r="BP746" t="s">
        <v>74</v>
      </c>
      <c r="BQ746" t="s">
        <v>74</v>
      </c>
      <c r="BR746" t="s">
        <v>104</v>
      </c>
      <c r="BS746" t="s">
        <v>14453</v>
      </c>
      <c r="BT746" t="str">
        <f>HYPERLINK("https%3A%2F%2Fwww.webofscience.com%2Fwos%2Fwoscc%2Ffull-record%2FWOS:000449274000036","View Full Record in Web of Science")</f>
        <v>View Full Record in Web of Science</v>
      </c>
    </row>
    <row r="747" spans="1:72" x14ac:dyDescent="0.15">
      <c r="A747" t="s">
        <v>72</v>
      </c>
      <c r="B747" t="s">
        <v>14454</v>
      </c>
      <c r="C747" t="s">
        <v>74</v>
      </c>
      <c r="D747" t="s">
        <v>74</v>
      </c>
      <c r="E747" t="s">
        <v>74</v>
      </c>
      <c r="F747" t="s">
        <v>14455</v>
      </c>
      <c r="G747" t="s">
        <v>74</v>
      </c>
      <c r="H747" t="s">
        <v>74</v>
      </c>
      <c r="I747" t="s">
        <v>14456</v>
      </c>
      <c r="J747" t="s">
        <v>8182</v>
      </c>
      <c r="K747" t="s">
        <v>74</v>
      </c>
      <c r="L747" t="s">
        <v>74</v>
      </c>
      <c r="M747" t="s">
        <v>78</v>
      </c>
      <c r="N747" t="s">
        <v>79</v>
      </c>
      <c r="O747" t="s">
        <v>74</v>
      </c>
      <c r="P747" t="s">
        <v>74</v>
      </c>
      <c r="Q747" t="s">
        <v>74</v>
      </c>
      <c r="R747" t="s">
        <v>74</v>
      </c>
      <c r="S747" t="s">
        <v>74</v>
      </c>
      <c r="T747" t="s">
        <v>74</v>
      </c>
      <c r="U747" t="s">
        <v>14457</v>
      </c>
      <c r="V747" t="s">
        <v>14458</v>
      </c>
      <c r="W747" t="s">
        <v>14459</v>
      </c>
      <c r="X747" t="s">
        <v>14460</v>
      </c>
      <c r="Y747" t="s">
        <v>14461</v>
      </c>
      <c r="Z747" t="s">
        <v>14462</v>
      </c>
      <c r="AA747" t="s">
        <v>14463</v>
      </c>
      <c r="AB747" t="s">
        <v>14464</v>
      </c>
      <c r="AC747" t="s">
        <v>14465</v>
      </c>
      <c r="AD747" t="s">
        <v>14466</v>
      </c>
      <c r="AE747" t="s">
        <v>14467</v>
      </c>
      <c r="AF747" t="s">
        <v>74</v>
      </c>
      <c r="AG747">
        <v>88</v>
      </c>
      <c r="AH747">
        <v>15</v>
      </c>
      <c r="AI747">
        <v>16</v>
      </c>
      <c r="AJ747">
        <v>1</v>
      </c>
      <c r="AK747">
        <v>29</v>
      </c>
      <c r="AL747" t="s">
        <v>7866</v>
      </c>
      <c r="AM747" t="s">
        <v>7867</v>
      </c>
      <c r="AN747" t="s">
        <v>7868</v>
      </c>
      <c r="AO747" t="s">
        <v>8194</v>
      </c>
      <c r="AP747" t="s">
        <v>8195</v>
      </c>
      <c r="AQ747" t="s">
        <v>74</v>
      </c>
      <c r="AR747" t="s">
        <v>8196</v>
      </c>
      <c r="AS747" t="s">
        <v>8197</v>
      </c>
      <c r="AT747" t="s">
        <v>14468</v>
      </c>
      <c r="AU747">
        <v>2018</v>
      </c>
      <c r="AV747">
        <v>18</v>
      </c>
      <c r="AW747">
        <v>21</v>
      </c>
      <c r="AX747" t="s">
        <v>74</v>
      </c>
      <c r="AY747" t="s">
        <v>74</v>
      </c>
      <c r="AZ747" t="s">
        <v>74</v>
      </c>
      <c r="BA747" t="s">
        <v>74</v>
      </c>
      <c r="BB747">
        <v>15825</v>
      </c>
      <c r="BC747">
        <v>15840</v>
      </c>
      <c r="BD747" t="s">
        <v>74</v>
      </c>
      <c r="BE747" t="s">
        <v>14469</v>
      </c>
      <c r="BF747" t="str">
        <f>HYPERLINK("http://dx.doi.org/10.5194/acp-18-15825-2018","http://dx.doi.org/10.5194/acp-18-15825-2018")</f>
        <v>http://dx.doi.org/10.5194/acp-18-15825-2018</v>
      </c>
      <c r="BG747" t="s">
        <v>74</v>
      </c>
      <c r="BH747" t="s">
        <v>74</v>
      </c>
      <c r="BI747">
        <v>16</v>
      </c>
      <c r="BJ747" t="s">
        <v>2635</v>
      </c>
      <c r="BK747" t="s">
        <v>101</v>
      </c>
      <c r="BL747" t="s">
        <v>2636</v>
      </c>
      <c r="BM747" t="s">
        <v>14470</v>
      </c>
      <c r="BN747" t="s">
        <v>74</v>
      </c>
      <c r="BO747" t="s">
        <v>949</v>
      </c>
      <c r="BP747" t="s">
        <v>74</v>
      </c>
      <c r="BQ747" t="s">
        <v>74</v>
      </c>
      <c r="BR747" t="s">
        <v>104</v>
      </c>
      <c r="BS747" t="s">
        <v>14471</v>
      </c>
      <c r="BT747" t="str">
        <f>HYPERLINK("https%3A%2F%2Fwww.webofscience.com%2Fwos%2Fwoscc%2Ffull-record%2FWOS:000449324300001","View Full Record in Web of Science")</f>
        <v>View Full Record in Web of Science</v>
      </c>
    </row>
    <row r="748" spans="1:72" x14ac:dyDescent="0.15">
      <c r="A748" t="s">
        <v>72</v>
      </c>
      <c r="B748" t="s">
        <v>14472</v>
      </c>
      <c r="C748" t="s">
        <v>74</v>
      </c>
      <c r="D748" t="s">
        <v>74</v>
      </c>
      <c r="E748" t="s">
        <v>74</v>
      </c>
      <c r="F748" t="s">
        <v>14473</v>
      </c>
      <c r="G748" t="s">
        <v>74</v>
      </c>
      <c r="H748" t="s">
        <v>74</v>
      </c>
      <c r="I748" t="s">
        <v>14474</v>
      </c>
      <c r="J748" t="s">
        <v>8034</v>
      </c>
      <c r="K748" t="s">
        <v>74</v>
      </c>
      <c r="L748" t="s">
        <v>74</v>
      </c>
      <c r="M748" t="s">
        <v>78</v>
      </c>
      <c r="N748" t="s">
        <v>79</v>
      </c>
      <c r="O748" t="s">
        <v>74</v>
      </c>
      <c r="P748" t="s">
        <v>74</v>
      </c>
      <c r="Q748" t="s">
        <v>74</v>
      </c>
      <c r="R748" t="s">
        <v>74</v>
      </c>
      <c r="S748" t="s">
        <v>74</v>
      </c>
      <c r="T748" t="s">
        <v>74</v>
      </c>
      <c r="U748" t="s">
        <v>14475</v>
      </c>
      <c r="V748" t="s">
        <v>14476</v>
      </c>
      <c r="W748" t="s">
        <v>14477</v>
      </c>
      <c r="X748" t="s">
        <v>14478</v>
      </c>
      <c r="Y748" t="s">
        <v>14479</v>
      </c>
      <c r="Z748" t="s">
        <v>14480</v>
      </c>
      <c r="AA748" t="s">
        <v>14481</v>
      </c>
      <c r="AB748" t="s">
        <v>14482</v>
      </c>
      <c r="AC748" t="s">
        <v>14483</v>
      </c>
      <c r="AD748" t="s">
        <v>14484</v>
      </c>
      <c r="AE748" t="s">
        <v>14485</v>
      </c>
      <c r="AF748" t="s">
        <v>74</v>
      </c>
      <c r="AG748">
        <v>53</v>
      </c>
      <c r="AH748">
        <v>42</v>
      </c>
      <c r="AI748">
        <v>42</v>
      </c>
      <c r="AJ748">
        <v>0</v>
      </c>
      <c r="AK748">
        <v>6</v>
      </c>
      <c r="AL748" t="s">
        <v>8045</v>
      </c>
      <c r="AM748" t="s">
        <v>6186</v>
      </c>
      <c r="AN748" t="s">
        <v>6187</v>
      </c>
      <c r="AO748" t="s">
        <v>8046</v>
      </c>
      <c r="AP748" t="s">
        <v>74</v>
      </c>
      <c r="AQ748" t="s">
        <v>74</v>
      </c>
      <c r="AR748" t="s">
        <v>8047</v>
      </c>
      <c r="AS748" t="s">
        <v>8048</v>
      </c>
      <c r="AT748" t="s">
        <v>14468</v>
      </c>
      <c r="AU748">
        <v>2018</v>
      </c>
      <c r="AV748">
        <v>8</v>
      </c>
      <c r="AW748" t="s">
        <v>74</v>
      </c>
      <c r="AX748" t="s">
        <v>74</v>
      </c>
      <c r="AY748" t="s">
        <v>74</v>
      </c>
      <c r="AZ748" t="s">
        <v>74</v>
      </c>
      <c r="BA748" t="s">
        <v>74</v>
      </c>
      <c r="BB748" t="s">
        <v>74</v>
      </c>
      <c r="BC748" t="s">
        <v>74</v>
      </c>
      <c r="BD748">
        <v>16356</v>
      </c>
      <c r="BE748" t="s">
        <v>14486</v>
      </c>
      <c r="BF748" t="str">
        <f>HYPERLINK("http://dx.doi.org/10.1038/s41598-018-34733-9","http://dx.doi.org/10.1038/s41598-018-34733-9")</f>
        <v>http://dx.doi.org/10.1038/s41598-018-34733-9</v>
      </c>
      <c r="BG748" t="s">
        <v>74</v>
      </c>
      <c r="BH748" t="s">
        <v>74</v>
      </c>
      <c r="BI748">
        <v>9</v>
      </c>
      <c r="BJ748" t="s">
        <v>855</v>
      </c>
      <c r="BK748" t="s">
        <v>101</v>
      </c>
      <c r="BL748" t="s">
        <v>856</v>
      </c>
      <c r="BM748" t="s">
        <v>14487</v>
      </c>
      <c r="BN748">
        <v>30397250</v>
      </c>
      <c r="BO748" t="s">
        <v>8155</v>
      </c>
      <c r="BP748" t="s">
        <v>74</v>
      </c>
      <c r="BQ748" t="s">
        <v>74</v>
      </c>
      <c r="BR748" t="s">
        <v>104</v>
      </c>
      <c r="BS748" t="s">
        <v>14488</v>
      </c>
      <c r="BT748" t="str">
        <f>HYPERLINK("https%3A%2F%2Fwww.webofscience.com%2Fwos%2Fwoscc%2Ffull-record%2FWOS:000449272100050","View Full Record in Web of Science")</f>
        <v>View Full Record in Web of Science</v>
      </c>
    </row>
    <row r="749" spans="1:72" x14ac:dyDescent="0.15">
      <c r="A749" t="s">
        <v>72</v>
      </c>
      <c r="B749" t="s">
        <v>14489</v>
      </c>
      <c r="C749" t="s">
        <v>74</v>
      </c>
      <c r="D749" t="s">
        <v>74</v>
      </c>
      <c r="E749" t="s">
        <v>74</v>
      </c>
      <c r="F749" t="s">
        <v>14490</v>
      </c>
      <c r="G749" t="s">
        <v>74</v>
      </c>
      <c r="H749" t="s">
        <v>74</v>
      </c>
      <c r="I749" t="s">
        <v>14491</v>
      </c>
      <c r="J749" t="s">
        <v>14492</v>
      </c>
      <c r="K749" t="s">
        <v>74</v>
      </c>
      <c r="L749" t="s">
        <v>74</v>
      </c>
      <c r="M749" t="s">
        <v>78</v>
      </c>
      <c r="N749" t="s">
        <v>79</v>
      </c>
      <c r="O749" t="s">
        <v>74</v>
      </c>
      <c r="P749" t="s">
        <v>74</v>
      </c>
      <c r="Q749" t="s">
        <v>74</v>
      </c>
      <c r="R749" t="s">
        <v>74</v>
      </c>
      <c r="S749" t="s">
        <v>74</v>
      </c>
      <c r="T749" t="s">
        <v>14493</v>
      </c>
      <c r="U749" t="s">
        <v>14494</v>
      </c>
      <c r="V749" t="s">
        <v>14495</v>
      </c>
      <c r="W749" t="s">
        <v>14496</v>
      </c>
      <c r="X749" t="s">
        <v>14497</v>
      </c>
      <c r="Y749" t="s">
        <v>14498</v>
      </c>
      <c r="Z749" t="s">
        <v>14499</v>
      </c>
      <c r="AA749" t="s">
        <v>14500</v>
      </c>
      <c r="AB749" t="s">
        <v>14501</v>
      </c>
      <c r="AC749" t="s">
        <v>14502</v>
      </c>
      <c r="AD749" t="s">
        <v>14503</v>
      </c>
      <c r="AE749" t="s">
        <v>14504</v>
      </c>
      <c r="AF749" t="s">
        <v>74</v>
      </c>
      <c r="AG749">
        <v>64</v>
      </c>
      <c r="AH749">
        <v>17</v>
      </c>
      <c r="AI749">
        <v>20</v>
      </c>
      <c r="AJ749">
        <v>0</v>
      </c>
      <c r="AK749">
        <v>9</v>
      </c>
      <c r="AL749" t="s">
        <v>92</v>
      </c>
      <c r="AM749" t="s">
        <v>93</v>
      </c>
      <c r="AN749" t="s">
        <v>94</v>
      </c>
      <c r="AO749" t="s">
        <v>14505</v>
      </c>
      <c r="AP749" t="s">
        <v>14506</v>
      </c>
      <c r="AQ749" t="s">
        <v>74</v>
      </c>
      <c r="AR749" t="s">
        <v>14492</v>
      </c>
      <c r="AS749" t="s">
        <v>14507</v>
      </c>
      <c r="AT749" t="s">
        <v>14508</v>
      </c>
      <c r="AU749">
        <v>2018</v>
      </c>
      <c r="AV749">
        <v>110</v>
      </c>
      <c r="AW749">
        <v>6</v>
      </c>
      <c r="AX749" t="s">
        <v>74</v>
      </c>
      <c r="AY749" t="s">
        <v>74</v>
      </c>
      <c r="AZ749" t="s">
        <v>74</v>
      </c>
      <c r="BA749" t="s">
        <v>74</v>
      </c>
      <c r="BB749">
        <v>1047</v>
      </c>
      <c r="BC749">
        <v>1057</v>
      </c>
      <c r="BD749" t="s">
        <v>74</v>
      </c>
      <c r="BE749" t="s">
        <v>14509</v>
      </c>
      <c r="BF749" t="str">
        <f>HYPERLINK("http://dx.doi.org/10.1080/00275514.2018.1512304","http://dx.doi.org/10.1080/00275514.2018.1512304")</f>
        <v>http://dx.doi.org/10.1080/00275514.2018.1512304</v>
      </c>
      <c r="BG749" t="s">
        <v>74</v>
      </c>
      <c r="BH749" t="s">
        <v>74</v>
      </c>
      <c r="BI749">
        <v>11</v>
      </c>
      <c r="BJ749" t="s">
        <v>7667</v>
      </c>
      <c r="BK749" t="s">
        <v>101</v>
      </c>
      <c r="BL749" t="s">
        <v>7667</v>
      </c>
      <c r="BM749" t="s">
        <v>14510</v>
      </c>
      <c r="BN749">
        <v>30365393</v>
      </c>
      <c r="BO749" t="s">
        <v>74</v>
      </c>
      <c r="BP749" t="s">
        <v>74</v>
      </c>
      <c r="BQ749" t="s">
        <v>74</v>
      </c>
      <c r="BR749" t="s">
        <v>104</v>
      </c>
      <c r="BS749" t="s">
        <v>14511</v>
      </c>
      <c r="BT749" t="str">
        <f>HYPERLINK("https%3A%2F%2Fwww.webofscience.com%2Fwos%2Fwoscc%2Ffull-record%2FWOS:000456697300004","View Full Record in Web of Science")</f>
        <v>View Full Record in Web of Science</v>
      </c>
    </row>
    <row r="750" spans="1:72" x14ac:dyDescent="0.15">
      <c r="A750" t="s">
        <v>72</v>
      </c>
      <c r="B750" t="s">
        <v>14512</v>
      </c>
      <c r="C750" t="s">
        <v>74</v>
      </c>
      <c r="D750" t="s">
        <v>74</v>
      </c>
      <c r="E750" t="s">
        <v>74</v>
      </c>
      <c r="F750" t="s">
        <v>14513</v>
      </c>
      <c r="G750" t="s">
        <v>74</v>
      </c>
      <c r="H750" t="s">
        <v>74</v>
      </c>
      <c r="I750" t="s">
        <v>14514</v>
      </c>
      <c r="J750" t="s">
        <v>14515</v>
      </c>
      <c r="K750" t="s">
        <v>74</v>
      </c>
      <c r="L750" t="s">
        <v>74</v>
      </c>
      <c r="M750" t="s">
        <v>78</v>
      </c>
      <c r="N750" t="s">
        <v>3800</v>
      </c>
      <c r="O750" t="s">
        <v>74</v>
      </c>
      <c r="P750" t="s">
        <v>74</v>
      </c>
      <c r="Q750" t="s">
        <v>74</v>
      </c>
      <c r="R750" t="s">
        <v>74</v>
      </c>
      <c r="S750" t="s">
        <v>74</v>
      </c>
      <c r="T750" t="s">
        <v>14516</v>
      </c>
      <c r="U750" t="s">
        <v>74</v>
      </c>
      <c r="V750" t="s">
        <v>74</v>
      </c>
      <c r="W750" t="s">
        <v>14517</v>
      </c>
      <c r="X750" t="s">
        <v>14518</v>
      </c>
      <c r="Y750" t="s">
        <v>14519</v>
      </c>
      <c r="Z750" t="s">
        <v>14520</v>
      </c>
      <c r="AA750" t="s">
        <v>14521</v>
      </c>
      <c r="AB750" t="s">
        <v>14522</v>
      </c>
      <c r="AC750" t="s">
        <v>74</v>
      </c>
      <c r="AD750" t="s">
        <v>74</v>
      </c>
      <c r="AE750" t="s">
        <v>74</v>
      </c>
      <c r="AF750" t="s">
        <v>74</v>
      </c>
      <c r="AG750">
        <v>5</v>
      </c>
      <c r="AH750">
        <v>0</v>
      </c>
      <c r="AI750">
        <v>0</v>
      </c>
      <c r="AJ750">
        <v>2</v>
      </c>
      <c r="AK750">
        <v>8</v>
      </c>
      <c r="AL750" t="s">
        <v>7949</v>
      </c>
      <c r="AM750" t="s">
        <v>7950</v>
      </c>
      <c r="AN750" t="s">
        <v>7951</v>
      </c>
      <c r="AO750" t="s">
        <v>14523</v>
      </c>
      <c r="AP750" t="s">
        <v>74</v>
      </c>
      <c r="AQ750" t="s">
        <v>74</v>
      </c>
      <c r="AR750" t="s">
        <v>14524</v>
      </c>
      <c r="AS750" t="s">
        <v>14525</v>
      </c>
      <c r="AT750" t="s">
        <v>14508</v>
      </c>
      <c r="AU750">
        <v>2018</v>
      </c>
      <c r="AV750">
        <v>6</v>
      </c>
      <c r="AW750" t="s">
        <v>74</v>
      </c>
      <c r="AX750" t="s">
        <v>74</v>
      </c>
      <c r="AY750" t="s">
        <v>74</v>
      </c>
      <c r="AZ750" t="s">
        <v>74</v>
      </c>
      <c r="BA750" t="s">
        <v>74</v>
      </c>
      <c r="BB750" t="s">
        <v>74</v>
      </c>
      <c r="BC750" t="s">
        <v>74</v>
      </c>
      <c r="BD750">
        <v>162</v>
      </c>
      <c r="BE750" t="s">
        <v>14526</v>
      </c>
      <c r="BF750" t="str">
        <f>HYPERLINK("http://dx.doi.org/10.3389/fevo.2018.00162","http://dx.doi.org/10.3389/fevo.2018.00162")</f>
        <v>http://dx.doi.org/10.3389/fevo.2018.00162</v>
      </c>
      <c r="BG750" t="s">
        <v>74</v>
      </c>
      <c r="BH750" t="s">
        <v>74</v>
      </c>
      <c r="BI750">
        <v>2</v>
      </c>
      <c r="BJ750" t="s">
        <v>2400</v>
      </c>
      <c r="BK750" t="s">
        <v>101</v>
      </c>
      <c r="BL750" t="s">
        <v>799</v>
      </c>
      <c r="BM750" t="s">
        <v>14527</v>
      </c>
      <c r="BN750" t="s">
        <v>74</v>
      </c>
      <c r="BO750" t="s">
        <v>193</v>
      </c>
      <c r="BP750" t="s">
        <v>74</v>
      </c>
      <c r="BQ750" t="s">
        <v>74</v>
      </c>
      <c r="BR750" t="s">
        <v>104</v>
      </c>
      <c r="BS750" t="s">
        <v>14528</v>
      </c>
      <c r="BT750" t="str">
        <f>HYPERLINK("https%3A%2F%2Fwww.webofscience.com%2Fwos%2Fwoscc%2Ffull-record%2FWOS:000451957400001","View Full Record in Web of Science")</f>
        <v>View Full Record in Web of Science</v>
      </c>
    </row>
    <row r="751" spans="1:72" x14ac:dyDescent="0.15">
      <c r="A751" t="s">
        <v>72</v>
      </c>
      <c r="B751" t="s">
        <v>14529</v>
      </c>
      <c r="C751" t="s">
        <v>74</v>
      </c>
      <c r="D751" t="s">
        <v>74</v>
      </c>
      <c r="E751" t="s">
        <v>74</v>
      </c>
      <c r="F751" t="s">
        <v>14530</v>
      </c>
      <c r="G751" t="s">
        <v>74</v>
      </c>
      <c r="H751" t="s">
        <v>74</v>
      </c>
      <c r="I751" t="s">
        <v>14531</v>
      </c>
      <c r="J751" t="s">
        <v>14532</v>
      </c>
      <c r="K751" t="s">
        <v>74</v>
      </c>
      <c r="L751" t="s">
        <v>74</v>
      </c>
      <c r="M751" t="s">
        <v>78</v>
      </c>
      <c r="N751" t="s">
        <v>79</v>
      </c>
      <c r="O751" t="s">
        <v>74</v>
      </c>
      <c r="P751" t="s">
        <v>74</v>
      </c>
      <c r="Q751" t="s">
        <v>74</v>
      </c>
      <c r="R751" t="s">
        <v>74</v>
      </c>
      <c r="S751" t="s">
        <v>74</v>
      </c>
      <c r="T751" t="s">
        <v>14533</v>
      </c>
      <c r="U751" t="s">
        <v>14534</v>
      </c>
      <c r="V751" t="s">
        <v>14535</v>
      </c>
      <c r="W751" t="s">
        <v>14536</v>
      </c>
      <c r="X751" t="s">
        <v>14537</v>
      </c>
      <c r="Y751" t="s">
        <v>14538</v>
      </c>
      <c r="Z751" t="s">
        <v>14539</v>
      </c>
      <c r="AA751" t="s">
        <v>74</v>
      </c>
      <c r="AB751" t="s">
        <v>74</v>
      </c>
      <c r="AC751" t="s">
        <v>14540</v>
      </c>
      <c r="AD751" t="s">
        <v>14541</v>
      </c>
      <c r="AE751" t="s">
        <v>14542</v>
      </c>
      <c r="AF751" t="s">
        <v>74</v>
      </c>
      <c r="AG751">
        <v>50</v>
      </c>
      <c r="AH751">
        <v>2</v>
      </c>
      <c r="AI751">
        <v>2</v>
      </c>
      <c r="AJ751">
        <v>0</v>
      </c>
      <c r="AK751">
        <v>15</v>
      </c>
      <c r="AL751" t="s">
        <v>14543</v>
      </c>
      <c r="AM751" t="s">
        <v>6487</v>
      </c>
      <c r="AN751" t="s">
        <v>14544</v>
      </c>
      <c r="AO751" t="s">
        <v>14545</v>
      </c>
      <c r="AP751" t="s">
        <v>74</v>
      </c>
      <c r="AQ751" t="s">
        <v>74</v>
      </c>
      <c r="AR751" t="s">
        <v>14546</v>
      </c>
      <c r="AS751" t="s">
        <v>14547</v>
      </c>
      <c r="AT751" t="s">
        <v>14508</v>
      </c>
      <c r="AU751">
        <v>2018</v>
      </c>
      <c r="AV751">
        <v>12</v>
      </c>
      <c r="AW751">
        <v>4</v>
      </c>
      <c r="AX751" t="s">
        <v>74</v>
      </c>
      <c r="AY751" t="s">
        <v>74</v>
      </c>
      <c r="AZ751" t="s">
        <v>74</v>
      </c>
      <c r="BA751" t="s">
        <v>74</v>
      </c>
      <c r="BB751" t="s">
        <v>74</v>
      </c>
      <c r="BC751" t="s">
        <v>74</v>
      </c>
      <c r="BD751">
        <v>46019</v>
      </c>
      <c r="BE751" t="s">
        <v>14548</v>
      </c>
      <c r="BF751" t="str">
        <f>HYPERLINK("http://dx.doi.org/10.1117/1.JRS.12.046019","http://dx.doi.org/10.1117/1.JRS.12.046019")</f>
        <v>http://dx.doi.org/10.1117/1.JRS.12.046019</v>
      </c>
      <c r="BG751" t="s">
        <v>74</v>
      </c>
      <c r="BH751" t="s">
        <v>74</v>
      </c>
      <c r="BI751">
        <v>15</v>
      </c>
      <c r="BJ751" t="s">
        <v>8400</v>
      </c>
      <c r="BK751" t="s">
        <v>101</v>
      </c>
      <c r="BL751" t="s">
        <v>8401</v>
      </c>
      <c r="BM751" t="s">
        <v>14549</v>
      </c>
      <c r="BN751" t="s">
        <v>74</v>
      </c>
      <c r="BO751" t="s">
        <v>74</v>
      </c>
      <c r="BP751" t="s">
        <v>74</v>
      </c>
      <c r="BQ751" t="s">
        <v>74</v>
      </c>
      <c r="BR751" t="s">
        <v>104</v>
      </c>
      <c r="BS751" t="s">
        <v>14550</v>
      </c>
      <c r="BT751" t="str">
        <f>HYPERLINK("https%3A%2F%2Fwww.webofscience.com%2Fwos%2Fwoscc%2Ffull-record%2FWOS:000449712800006","View Full Record in Web of Science")</f>
        <v>View Full Record in Web of Science</v>
      </c>
    </row>
    <row r="752" spans="1:72" x14ac:dyDescent="0.15">
      <c r="A752" t="s">
        <v>72</v>
      </c>
      <c r="B752" t="s">
        <v>14551</v>
      </c>
      <c r="C752" t="s">
        <v>74</v>
      </c>
      <c r="D752" t="s">
        <v>74</v>
      </c>
      <c r="E752" t="s">
        <v>74</v>
      </c>
      <c r="F752" t="s">
        <v>14552</v>
      </c>
      <c r="G752" t="s">
        <v>74</v>
      </c>
      <c r="H752" t="s">
        <v>74</v>
      </c>
      <c r="I752" t="s">
        <v>14553</v>
      </c>
      <c r="J752" t="s">
        <v>7903</v>
      </c>
      <c r="K752" t="s">
        <v>74</v>
      </c>
      <c r="L752" t="s">
        <v>74</v>
      </c>
      <c r="M752" t="s">
        <v>78</v>
      </c>
      <c r="N752" t="s">
        <v>79</v>
      </c>
      <c r="O752" t="s">
        <v>74</v>
      </c>
      <c r="P752" t="s">
        <v>74</v>
      </c>
      <c r="Q752" t="s">
        <v>74</v>
      </c>
      <c r="R752" t="s">
        <v>74</v>
      </c>
      <c r="S752" t="s">
        <v>74</v>
      </c>
      <c r="T752" t="s">
        <v>74</v>
      </c>
      <c r="U752" t="s">
        <v>14554</v>
      </c>
      <c r="V752" t="s">
        <v>14555</v>
      </c>
      <c r="W752" t="s">
        <v>14556</v>
      </c>
      <c r="X752" t="s">
        <v>14557</v>
      </c>
      <c r="Y752" t="s">
        <v>14558</v>
      </c>
      <c r="Z752" t="s">
        <v>6888</v>
      </c>
      <c r="AA752" t="s">
        <v>14559</v>
      </c>
      <c r="AB752" t="s">
        <v>14560</v>
      </c>
      <c r="AC752" t="s">
        <v>6341</v>
      </c>
      <c r="AD752" t="s">
        <v>2819</v>
      </c>
      <c r="AE752" t="s">
        <v>74</v>
      </c>
      <c r="AF752" t="s">
        <v>74</v>
      </c>
      <c r="AG752">
        <v>42</v>
      </c>
      <c r="AH752">
        <v>23</v>
      </c>
      <c r="AI752">
        <v>26</v>
      </c>
      <c r="AJ752">
        <v>2</v>
      </c>
      <c r="AK752">
        <v>32</v>
      </c>
      <c r="AL752" t="s">
        <v>6164</v>
      </c>
      <c r="AM752" t="s">
        <v>3008</v>
      </c>
      <c r="AN752" t="s">
        <v>6165</v>
      </c>
      <c r="AO752" t="s">
        <v>7915</v>
      </c>
      <c r="AP752" t="s">
        <v>74</v>
      </c>
      <c r="AQ752" t="s">
        <v>74</v>
      </c>
      <c r="AR752" t="s">
        <v>7916</v>
      </c>
      <c r="AS752" t="s">
        <v>7917</v>
      </c>
      <c r="AT752" t="s">
        <v>14508</v>
      </c>
      <c r="AU752">
        <v>2018</v>
      </c>
      <c r="AV752">
        <v>9</v>
      </c>
      <c r="AW752" t="s">
        <v>74</v>
      </c>
      <c r="AX752" t="s">
        <v>74</v>
      </c>
      <c r="AY752" t="s">
        <v>74</v>
      </c>
      <c r="AZ752" t="s">
        <v>74</v>
      </c>
      <c r="BA752" t="s">
        <v>74</v>
      </c>
      <c r="BB752" t="s">
        <v>74</v>
      </c>
      <c r="BC752" t="s">
        <v>74</v>
      </c>
      <c r="BD752">
        <v>4592</v>
      </c>
      <c r="BE752" t="s">
        <v>14561</v>
      </c>
      <c r="BF752" t="str">
        <f>HYPERLINK("http://dx.doi.org/10.1038/s41467-018-07088-y","http://dx.doi.org/10.1038/s41467-018-07088-y")</f>
        <v>http://dx.doi.org/10.1038/s41467-018-07088-y</v>
      </c>
      <c r="BG752" t="s">
        <v>74</v>
      </c>
      <c r="BH752" t="s">
        <v>74</v>
      </c>
      <c r="BI752">
        <v>7</v>
      </c>
      <c r="BJ752" t="s">
        <v>855</v>
      </c>
      <c r="BK752" t="s">
        <v>101</v>
      </c>
      <c r="BL752" t="s">
        <v>856</v>
      </c>
      <c r="BM752" t="s">
        <v>14562</v>
      </c>
      <c r="BN752">
        <v>30390024</v>
      </c>
      <c r="BO752" t="s">
        <v>270</v>
      </c>
      <c r="BP752" t="s">
        <v>74</v>
      </c>
      <c r="BQ752" t="s">
        <v>74</v>
      </c>
      <c r="BR752" t="s">
        <v>104</v>
      </c>
      <c r="BS752" t="s">
        <v>14563</v>
      </c>
      <c r="BT752" t="str">
        <f>HYPERLINK("https%3A%2F%2Fwww.webofscience.com%2Fwos%2Fwoscc%2Ffull-record%2FWOS:000449069600014","View Full Record in Web of Science")</f>
        <v>View Full Record in Web of Science</v>
      </c>
    </row>
    <row r="753" spans="1:72" x14ac:dyDescent="0.15">
      <c r="A753" t="s">
        <v>72</v>
      </c>
      <c r="B753" t="s">
        <v>14564</v>
      </c>
      <c r="C753" t="s">
        <v>74</v>
      </c>
      <c r="D753" t="s">
        <v>74</v>
      </c>
      <c r="E753" t="s">
        <v>74</v>
      </c>
      <c r="F753" t="s">
        <v>14565</v>
      </c>
      <c r="G753" t="s">
        <v>74</v>
      </c>
      <c r="H753" t="s">
        <v>74</v>
      </c>
      <c r="I753" t="s">
        <v>14566</v>
      </c>
      <c r="J753" t="s">
        <v>8034</v>
      </c>
      <c r="K753" t="s">
        <v>74</v>
      </c>
      <c r="L753" t="s">
        <v>74</v>
      </c>
      <c r="M753" t="s">
        <v>78</v>
      </c>
      <c r="N753" t="s">
        <v>79</v>
      </c>
      <c r="O753" t="s">
        <v>74</v>
      </c>
      <c r="P753" t="s">
        <v>74</v>
      </c>
      <c r="Q753" t="s">
        <v>74</v>
      </c>
      <c r="R753" t="s">
        <v>74</v>
      </c>
      <c r="S753" t="s">
        <v>74</v>
      </c>
      <c r="T753" t="s">
        <v>74</v>
      </c>
      <c r="U753" t="s">
        <v>14567</v>
      </c>
      <c r="V753" t="s">
        <v>14568</v>
      </c>
      <c r="W753" t="s">
        <v>14569</v>
      </c>
      <c r="X753" t="s">
        <v>14570</v>
      </c>
      <c r="Y753" t="s">
        <v>14571</v>
      </c>
      <c r="Z753" t="s">
        <v>14572</v>
      </c>
      <c r="AA753" t="s">
        <v>14573</v>
      </c>
      <c r="AB753" t="s">
        <v>14574</v>
      </c>
      <c r="AC753" t="s">
        <v>14575</v>
      </c>
      <c r="AD753" t="s">
        <v>14576</v>
      </c>
      <c r="AE753" t="s">
        <v>14577</v>
      </c>
      <c r="AF753" t="s">
        <v>74</v>
      </c>
      <c r="AG753">
        <v>71</v>
      </c>
      <c r="AH753">
        <v>6</v>
      </c>
      <c r="AI753">
        <v>6</v>
      </c>
      <c r="AJ753">
        <v>2</v>
      </c>
      <c r="AK753">
        <v>16</v>
      </c>
      <c r="AL753" t="s">
        <v>8045</v>
      </c>
      <c r="AM753" t="s">
        <v>6186</v>
      </c>
      <c r="AN753" t="s">
        <v>6187</v>
      </c>
      <c r="AO753" t="s">
        <v>8046</v>
      </c>
      <c r="AP753" t="s">
        <v>74</v>
      </c>
      <c r="AQ753" t="s">
        <v>74</v>
      </c>
      <c r="AR753" t="s">
        <v>8047</v>
      </c>
      <c r="AS753" t="s">
        <v>8048</v>
      </c>
      <c r="AT753" t="s">
        <v>14508</v>
      </c>
      <c r="AU753">
        <v>2018</v>
      </c>
      <c r="AV753">
        <v>8</v>
      </c>
      <c r="AW753" t="s">
        <v>74</v>
      </c>
      <c r="AX753" t="s">
        <v>74</v>
      </c>
      <c r="AY753" t="s">
        <v>74</v>
      </c>
      <c r="AZ753" t="s">
        <v>74</v>
      </c>
      <c r="BA753" t="s">
        <v>74</v>
      </c>
      <c r="BB753" t="s">
        <v>74</v>
      </c>
      <c r="BC753" t="s">
        <v>74</v>
      </c>
      <c r="BD753">
        <v>16258</v>
      </c>
      <c r="BE753" t="s">
        <v>14578</v>
      </c>
      <c r="BF753" t="str">
        <f>HYPERLINK("http://dx.doi.org/10.1038/s41598-018-34689-w","http://dx.doi.org/10.1038/s41598-018-34689-w")</f>
        <v>http://dx.doi.org/10.1038/s41598-018-34689-w</v>
      </c>
      <c r="BG753" t="s">
        <v>74</v>
      </c>
      <c r="BH753" t="s">
        <v>74</v>
      </c>
      <c r="BI753">
        <v>13</v>
      </c>
      <c r="BJ753" t="s">
        <v>855</v>
      </c>
      <c r="BK753" t="s">
        <v>101</v>
      </c>
      <c r="BL753" t="s">
        <v>856</v>
      </c>
      <c r="BM753" t="s">
        <v>14579</v>
      </c>
      <c r="BN753">
        <v>30390015</v>
      </c>
      <c r="BO753" t="s">
        <v>221</v>
      </c>
      <c r="BP753" t="s">
        <v>74</v>
      </c>
      <c r="BQ753" t="s">
        <v>74</v>
      </c>
      <c r="BR753" t="s">
        <v>104</v>
      </c>
      <c r="BS753" t="s">
        <v>14580</v>
      </c>
      <c r="BT753" t="str">
        <f>HYPERLINK("https%3A%2F%2Fwww.webofscience.com%2Fwos%2Fwoscc%2Ffull-record%2FWOS:000449075100027","View Full Record in Web of Science")</f>
        <v>View Full Record in Web of Science</v>
      </c>
    </row>
    <row r="754" spans="1:72" x14ac:dyDescent="0.15">
      <c r="A754" t="s">
        <v>72</v>
      </c>
      <c r="B754" t="s">
        <v>14581</v>
      </c>
      <c r="C754" t="s">
        <v>74</v>
      </c>
      <c r="D754" t="s">
        <v>74</v>
      </c>
      <c r="E754" t="s">
        <v>74</v>
      </c>
      <c r="F754" t="s">
        <v>14582</v>
      </c>
      <c r="G754" t="s">
        <v>74</v>
      </c>
      <c r="H754" t="s">
        <v>74</v>
      </c>
      <c r="I754" t="s">
        <v>14583</v>
      </c>
      <c r="J754" t="s">
        <v>14584</v>
      </c>
      <c r="K754" t="s">
        <v>74</v>
      </c>
      <c r="L754" t="s">
        <v>74</v>
      </c>
      <c r="M754" t="s">
        <v>78</v>
      </c>
      <c r="N754" t="s">
        <v>79</v>
      </c>
      <c r="O754" t="s">
        <v>74</v>
      </c>
      <c r="P754" t="s">
        <v>74</v>
      </c>
      <c r="Q754" t="s">
        <v>74</v>
      </c>
      <c r="R754" t="s">
        <v>74</v>
      </c>
      <c r="S754" t="s">
        <v>74</v>
      </c>
      <c r="T754" t="s">
        <v>74</v>
      </c>
      <c r="U754" t="s">
        <v>14585</v>
      </c>
      <c r="V754" t="s">
        <v>14586</v>
      </c>
      <c r="W754" t="s">
        <v>14587</v>
      </c>
      <c r="X754" t="s">
        <v>14588</v>
      </c>
      <c r="Y754" t="s">
        <v>14589</v>
      </c>
      <c r="Z754" t="s">
        <v>14590</v>
      </c>
      <c r="AA754" t="s">
        <v>14591</v>
      </c>
      <c r="AB754" t="s">
        <v>14592</v>
      </c>
      <c r="AC754" t="s">
        <v>14593</v>
      </c>
      <c r="AD754" t="s">
        <v>14594</v>
      </c>
      <c r="AE754" t="s">
        <v>14595</v>
      </c>
      <c r="AF754" t="s">
        <v>74</v>
      </c>
      <c r="AG754">
        <v>59</v>
      </c>
      <c r="AH754">
        <v>19</v>
      </c>
      <c r="AI754">
        <v>22</v>
      </c>
      <c r="AJ754">
        <v>1</v>
      </c>
      <c r="AK754">
        <v>10</v>
      </c>
      <c r="AL754" t="s">
        <v>7866</v>
      </c>
      <c r="AM754" t="s">
        <v>7867</v>
      </c>
      <c r="AN754" t="s">
        <v>7868</v>
      </c>
      <c r="AO754" t="s">
        <v>14596</v>
      </c>
      <c r="AP754" t="s">
        <v>74</v>
      </c>
      <c r="AQ754" t="s">
        <v>74</v>
      </c>
      <c r="AR754" t="s">
        <v>14597</v>
      </c>
      <c r="AS754" t="s">
        <v>14598</v>
      </c>
      <c r="AT754" t="s">
        <v>14508</v>
      </c>
      <c r="AU754">
        <v>2018</v>
      </c>
      <c r="AV754">
        <v>14</v>
      </c>
      <c r="AW754">
        <v>6</v>
      </c>
      <c r="AX754" t="s">
        <v>74</v>
      </c>
      <c r="AY754" t="s">
        <v>74</v>
      </c>
      <c r="AZ754" t="s">
        <v>74</v>
      </c>
      <c r="BA754" t="s">
        <v>74</v>
      </c>
      <c r="BB754">
        <v>1349</v>
      </c>
      <c r="BC754">
        <v>1371</v>
      </c>
      <c r="BD754" t="s">
        <v>74</v>
      </c>
      <c r="BE754" t="s">
        <v>14599</v>
      </c>
      <c r="BF754" t="str">
        <f>HYPERLINK("http://dx.doi.org/10.5194/os-14-1349-2018","http://dx.doi.org/10.5194/os-14-1349-2018")</f>
        <v>http://dx.doi.org/10.5194/os-14-1349-2018</v>
      </c>
      <c r="BG754" t="s">
        <v>74</v>
      </c>
      <c r="BH754" t="s">
        <v>74</v>
      </c>
      <c r="BI754">
        <v>23</v>
      </c>
      <c r="BJ754" t="s">
        <v>9372</v>
      </c>
      <c r="BK754" t="s">
        <v>101</v>
      </c>
      <c r="BL754" t="s">
        <v>9372</v>
      </c>
      <c r="BM754" t="s">
        <v>14600</v>
      </c>
      <c r="BN754" t="s">
        <v>74</v>
      </c>
      <c r="BO754" t="s">
        <v>1556</v>
      </c>
      <c r="BP754" t="s">
        <v>74</v>
      </c>
      <c r="BQ754" t="s">
        <v>74</v>
      </c>
      <c r="BR754" t="s">
        <v>104</v>
      </c>
      <c r="BS754" t="s">
        <v>14601</v>
      </c>
      <c r="BT754" t="str">
        <f>HYPERLINK("https%3A%2F%2Fwww.webofscience.com%2Fwos%2Fwoscc%2Ffull-record%2FWOS:000449156200001","View Full Record in Web of Science")</f>
        <v>View Full Record in Web of Science</v>
      </c>
    </row>
    <row r="755" spans="1:72" x14ac:dyDescent="0.15">
      <c r="A755" t="s">
        <v>72</v>
      </c>
      <c r="B755" t="s">
        <v>14602</v>
      </c>
      <c r="C755" t="s">
        <v>74</v>
      </c>
      <c r="D755" t="s">
        <v>74</v>
      </c>
      <c r="E755" t="s">
        <v>74</v>
      </c>
      <c r="F755" t="s">
        <v>14603</v>
      </c>
      <c r="G755" t="s">
        <v>74</v>
      </c>
      <c r="H755" t="s">
        <v>74</v>
      </c>
      <c r="I755" t="s">
        <v>14604</v>
      </c>
      <c r="J755" t="s">
        <v>14605</v>
      </c>
      <c r="K755" t="s">
        <v>74</v>
      </c>
      <c r="L755" t="s">
        <v>74</v>
      </c>
      <c r="M755" t="s">
        <v>78</v>
      </c>
      <c r="N755" t="s">
        <v>79</v>
      </c>
      <c r="O755" t="s">
        <v>74</v>
      </c>
      <c r="P755" t="s">
        <v>74</v>
      </c>
      <c r="Q755" t="s">
        <v>74</v>
      </c>
      <c r="R755" t="s">
        <v>74</v>
      </c>
      <c r="S755" t="s">
        <v>74</v>
      </c>
      <c r="T755" t="s">
        <v>14606</v>
      </c>
      <c r="U755" t="s">
        <v>14607</v>
      </c>
      <c r="V755" t="s">
        <v>14608</v>
      </c>
      <c r="W755" t="s">
        <v>14609</v>
      </c>
      <c r="X755" t="s">
        <v>14610</v>
      </c>
      <c r="Y755" t="s">
        <v>14611</v>
      </c>
      <c r="Z755" t="s">
        <v>14612</v>
      </c>
      <c r="AA755" t="s">
        <v>14613</v>
      </c>
      <c r="AB755" t="s">
        <v>14614</v>
      </c>
      <c r="AC755" t="s">
        <v>14615</v>
      </c>
      <c r="AD755" t="s">
        <v>14616</v>
      </c>
      <c r="AE755" t="s">
        <v>14617</v>
      </c>
      <c r="AF755" t="s">
        <v>74</v>
      </c>
      <c r="AG755">
        <v>32</v>
      </c>
      <c r="AH755">
        <v>5</v>
      </c>
      <c r="AI755">
        <v>5</v>
      </c>
      <c r="AJ755">
        <v>0</v>
      </c>
      <c r="AK755">
        <v>10</v>
      </c>
      <c r="AL755" t="s">
        <v>14618</v>
      </c>
      <c r="AM755" t="s">
        <v>7271</v>
      </c>
      <c r="AN755" t="s">
        <v>8584</v>
      </c>
      <c r="AO755" t="s">
        <v>14619</v>
      </c>
      <c r="AP755" t="s">
        <v>14620</v>
      </c>
      <c r="AQ755" t="s">
        <v>74</v>
      </c>
      <c r="AR755" t="s">
        <v>14605</v>
      </c>
      <c r="AS755" t="s">
        <v>14621</v>
      </c>
      <c r="AT755" t="s">
        <v>14508</v>
      </c>
      <c r="AU755">
        <v>2018</v>
      </c>
      <c r="AV755" t="s">
        <v>74</v>
      </c>
      <c r="AW755">
        <v>110</v>
      </c>
      <c r="AX755" t="s">
        <v>74</v>
      </c>
      <c r="AY755" t="s">
        <v>74</v>
      </c>
      <c r="AZ755" t="s">
        <v>74</v>
      </c>
      <c r="BA755" t="s">
        <v>74</v>
      </c>
      <c r="BB755">
        <v>39</v>
      </c>
      <c r="BC755">
        <v>50</v>
      </c>
      <c r="BD755" t="s">
        <v>74</v>
      </c>
      <c r="BE755" t="s">
        <v>14622</v>
      </c>
      <c r="BF755" t="str">
        <f>HYPERLINK("http://dx.doi.org/10.3897/phytokeys.110.26961","http://dx.doi.org/10.3897/phytokeys.110.26961")</f>
        <v>http://dx.doi.org/10.3897/phytokeys.110.26961</v>
      </c>
      <c r="BG755" t="s">
        <v>74</v>
      </c>
      <c r="BH755" t="s">
        <v>74</v>
      </c>
      <c r="BI755">
        <v>12</v>
      </c>
      <c r="BJ755" t="s">
        <v>720</v>
      </c>
      <c r="BK755" t="s">
        <v>101</v>
      </c>
      <c r="BL755" t="s">
        <v>720</v>
      </c>
      <c r="BM755" t="s">
        <v>14623</v>
      </c>
      <c r="BN755">
        <v>30473613</v>
      </c>
      <c r="BO755" t="s">
        <v>3454</v>
      </c>
      <c r="BP755" t="s">
        <v>74</v>
      </c>
      <c r="BQ755" t="s">
        <v>74</v>
      </c>
      <c r="BR755" t="s">
        <v>104</v>
      </c>
      <c r="BS755" t="s">
        <v>14624</v>
      </c>
      <c r="BT755" t="str">
        <f>HYPERLINK("https%3A%2F%2Fwww.webofscience.com%2Fwos%2Fwoscc%2Ffull-record%2FWOS:000449051300001","View Full Record in Web of Science")</f>
        <v>View Full Record in Web of Science</v>
      </c>
    </row>
    <row r="756" spans="1:72" x14ac:dyDescent="0.15">
      <c r="A756" t="s">
        <v>72</v>
      </c>
      <c r="B756" t="s">
        <v>14625</v>
      </c>
      <c r="C756" t="s">
        <v>74</v>
      </c>
      <c r="D756" t="s">
        <v>74</v>
      </c>
      <c r="E756" t="s">
        <v>74</v>
      </c>
      <c r="F756" t="s">
        <v>14626</v>
      </c>
      <c r="G756" t="s">
        <v>74</v>
      </c>
      <c r="H756" t="s">
        <v>74</v>
      </c>
      <c r="I756" t="s">
        <v>14627</v>
      </c>
      <c r="J756" t="s">
        <v>14628</v>
      </c>
      <c r="K756" t="s">
        <v>74</v>
      </c>
      <c r="L756" t="s">
        <v>74</v>
      </c>
      <c r="M756" t="s">
        <v>78</v>
      </c>
      <c r="N756" t="s">
        <v>79</v>
      </c>
      <c r="O756" t="s">
        <v>74</v>
      </c>
      <c r="P756" t="s">
        <v>74</v>
      </c>
      <c r="Q756" t="s">
        <v>74</v>
      </c>
      <c r="R756" t="s">
        <v>74</v>
      </c>
      <c r="S756" t="s">
        <v>74</v>
      </c>
      <c r="T756" t="s">
        <v>14629</v>
      </c>
      <c r="U756" t="s">
        <v>14630</v>
      </c>
      <c r="V756" t="s">
        <v>14631</v>
      </c>
      <c r="W756" t="s">
        <v>14632</v>
      </c>
      <c r="X756" t="s">
        <v>14633</v>
      </c>
      <c r="Y756" t="s">
        <v>14634</v>
      </c>
      <c r="Z756" t="s">
        <v>14635</v>
      </c>
      <c r="AA756" t="s">
        <v>14636</v>
      </c>
      <c r="AB756" t="s">
        <v>74</v>
      </c>
      <c r="AC756" t="s">
        <v>14637</v>
      </c>
      <c r="AD756" t="s">
        <v>14638</v>
      </c>
      <c r="AE756" t="s">
        <v>14639</v>
      </c>
      <c r="AF756" t="s">
        <v>74</v>
      </c>
      <c r="AG756">
        <v>36</v>
      </c>
      <c r="AH756">
        <v>1</v>
      </c>
      <c r="AI756">
        <v>3</v>
      </c>
      <c r="AJ756">
        <v>2</v>
      </c>
      <c r="AK756">
        <v>13</v>
      </c>
      <c r="AL756" t="s">
        <v>210</v>
      </c>
      <c r="AM756" t="s">
        <v>211</v>
      </c>
      <c r="AN756" t="s">
        <v>212</v>
      </c>
      <c r="AO756" t="s">
        <v>14640</v>
      </c>
      <c r="AP756" t="s">
        <v>14641</v>
      </c>
      <c r="AQ756" t="s">
        <v>74</v>
      </c>
      <c r="AR756" t="s">
        <v>14642</v>
      </c>
      <c r="AS756" t="s">
        <v>14643</v>
      </c>
      <c r="AT756" t="s">
        <v>14508</v>
      </c>
      <c r="AU756">
        <v>2018</v>
      </c>
      <c r="AV756">
        <v>50</v>
      </c>
      <c r="AW756">
        <v>363</v>
      </c>
      <c r="AX756" t="s">
        <v>74</v>
      </c>
      <c r="AY756" t="s">
        <v>74</v>
      </c>
      <c r="AZ756" t="s">
        <v>74</v>
      </c>
      <c r="BA756" t="s">
        <v>74</v>
      </c>
      <c r="BB756">
        <v>513</v>
      </c>
      <c r="BC756">
        <v>521</v>
      </c>
      <c r="BD756" t="s">
        <v>74</v>
      </c>
      <c r="BE756" t="s">
        <v>14644</v>
      </c>
      <c r="BF756" t="str">
        <f>HYPERLINK("http://dx.doi.org/10.1080/00396265.2017.1329077","http://dx.doi.org/10.1080/00396265.2017.1329077")</f>
        <v>http://dx.doi.org/10.1080/00396265.2017.1329077</v>
      </c>
      <c r="BG756" t="s">
        <v>74</v>
      </c>
      <c r="BH756" t="s">
        <v>74</v>
      </c>
      <c r="BI756">
        <v>9</v>
      </c>
      <c r="BJ756" t="s">
        <v>14645</v>
      </c>
      <c r="BK756" t="s">
        <v>101</v>
      </c>
      <c r="BL756" t="s">
        <v>14646</v>
      </c>
      <c r="BM756" t="s">
        <v>14647</v>
      </c>
      <c r="BN756" t="s">
        <v>74</v>
      </c>
      <c r="BO756" t="s">
        <v>74</v>
      </c>
      <c r="BP756" t="s">
        <v>74</v>
      </c>
      <c r="BQ756" t="s">
        <v>74</v>
      </c>
      <c r="BR756" t="s">
        <v>104</v>
      </c>
      <c r="BS756" t="s">
        <v>14648</v>
      </c>
      <c r="BT756" t="str">
        <f>HYPERLINK("https%3A%2F%2Fwww.webofscience.com%2Fwos%2Fwoscc%2Ffull-record%2FWOS:000448080900004","View Full Record in Web of Science")</f>
        <v>View Full Record in Web of Science</v>
      </c>
    </row>
    <row r="757" spans="1:72" x14ac:dyDescent="0.15">
      <c r="A757" t="s">
        <v>72</v>
      </c>
      <c r="B757" t="s">
        <v>14649</v>
      </c>
      <c r="C757" t="s">
        <v>74</v>
      </c>
      <c r="D757" t="s">
        <v>74</v>
      </c>
      <c r="E757" t="s">
        <v>74</v>
      </c>
      <c r="F757" t="s">
        <v>14650</v>
      </c>
      <c r="G757" t="s">
        <v>74</v>
      </c>
      <c r="H757" t="s">
        <v>74</v>
      </c>
      <c r="I757" t="s">
        <v>14651</v>
      </c>
      <c r="J757" t="s">
        <v>3226</v>
      </c>
      <c r="K757" t="s">
        <v>74</v>
      </c>
      <c r="L757" t="s">
        <v>74</v>
      </c>
      <c r="M757" t="s">
        <v>78</v>
      </c>
      <c r="N757" t="s">
        <v>79</v>
      </c>
      <c r="O757" t="s">
        <v>74</v>
      </c>
      <c r="P757" t="s">
        <v>74</v>
      </c>
      <c r="Q757" t="s">
        <v>74</v>
      </c>
      <c r="R757" t="s">
        <v>74</v>
      </c>
      <c r="S757" t="s">
        <v>74</v>
      </c>
      <c r="T757" t="s">
        <v>14652</v>
      </c>
      <c r="U757" t="s">
        <v>14653</v>
      </c>
      <c r="V757" t="s">
        <v>14654</v>
      </c>
      <c r="W757" t="s">
        <v>14655</v>
      </c>
      <c r="X757" t="s">
        <v>14656</v>
      </c>
      <c r="Y757" t="s">
        <v>14657</v>
      </c>
      <c r="Z757" t="s">
        <v>14658</v>
      </c>
      <c r="AA757" t="s">
        <v>14659</v>
      </c>
      <c r="AB757" t="s">
        <v>14660</v>
      </c>
      <c r="AC757" t="s">
        <v>74</v>
      </c>
      <c r="AD757" t="s">
        <v>74</v>
      </c>
      <c r="AE757" t="s">
        <v>74</v>
      </c>
      <c r="AF757" t="s">
        <v>74</v>
      </c>
      <c r="AG757">
        <v>23</v>
      </c>
      <c r="AH757">
        <v>3</v>
      </c>
      <c r="AI757">
        <v>3</v>
      </c>
      <c r="AJ757">
        <v>1</v>
      </c>
      <c r="AK757">
        <v>9</v>
      </c>
      <c r="AL757" t="s">
        <v>3239</v>
      </c>
      <c r="AM757" t="s">
        <v>877</v>
      </c>
      <c r="AN757" t="s">
        <v>3240</v>
      </c>
      <c r="AO757" t="s">
        <v>3241</v>
      </c>
      <c r="AP757" t="s">
        <v>3242</v>
      </c>
      <c r="AQ757" t="s">
        <v>74</v>
      </c>
      <c r="AR757" t="s">
        <v>3243</v>
      </c>
      <c r="AS757" t="s">
        <v>3244</v>
      </c>
      <c r="AT757" t="s">
        <v>14661</v>
      </c>
      <c r="AU757">
        <v>2018</v>
      </c>
      <c r="AV757">
        <v>31</v>
      </c>
      <c r="AW757">
        <v>6</v>
      </c>
      <c r="AX757" t="s">
        <v>74</v>
      </c>
      <c r="AY757" t="s">
        <v>74</v>
      </c>
      <c r="AZ757" t="s">
        <v>74</v>
      </c>
      <c r="BA757" t="s">
        <v>74</v>
      </c>
      <c r="BB757">
        <v>665</v>
      </c>
      <c r="BC757">
        <v>669</v>
      </c>
      <c r="BD757" t="s">
        <v>74</v>
      </c>
      <c r="BE757" t="s">
        <v>14662</v>
      </c>
      <c r="BF757" t="str">
        <f>HYPERLINK("http://dx.doi.org/10.1134/S1024856018060192","http://dx.doi.org/10.1134/S1024856018060192")</f>
        <v>http://dx.doi.org/10.1134/S1024856018060192</v>
      </c>
      <c r="BG757" t="s">
        <v>74</v>
      </c>
      <c r="BH757" t="s">
        <v>74</v>
      </c>
      <c r="BI757">
        <v>5</v>
      </c>
      <c r="BJ757" t="s">
        <v>3246</v>
      </c>
      <c r="BK757" t="s">
        <v>349</v>
      </c>
      <c r="BL757" t="s">
        <v>3246</v>
      </c>
      <c r="BM757" t="s">
        <v>14663</v>
      </c>
      <c r="BN757" t="s">
        <v>74</v>
      </c>
      <c r="BO757" t="s">
        <v>74</v>
      </c>
      <c r="BP757" t="s">
        <v>74</v>
      </c>
      <c r="BQ757" t="s">
        <v>74</v>
      </c>
      <c r="BR757" t="s">
        <v>104</v>
      </c>
      <c r="BS757" t="s">
        <v>14664</v>
      </c>
      <c r="BT757" t="str">
        <f>HYPERLINK("https%3A%2F%2Fwww.webofscience.com%2Fwos%2Fwoscc%2Ffull-record%2FWOS:000461399500015","View Full Record in Web of Science")</f>
        <v>View Full Record in Web of Science</v>
      </c>
    </row>
    <row r="758" spans="1:72" x14ac:dyDescent="0.15">
      <c r="A758" t="s">
        <v>72</v>
      </c>
      <c r="B758" t="s">
        <v>14665</v>
      </c>
      <c r="C758" t="s">
        <v>74</v>
      </c>
      <c r="D758" t="s">
        <v>74</v>
      </c>
      <c r="E758" t="s">
        <v>74</v>
      </c>
      <c r="F758" t="s">
        <v>14666</v>
      </c>
      <c r="G758" t="s">
        <v>74</v>
      </c>
      <c r="H758" t="s">
        <v>74</v>
      </c>
      <c r="I758" t="s">
        <v>14667</v>
      </c>
      <c r="J758" t="s">
        <v>3415</v>
      </c>
      <c r="K758" t="s">
        <v>74</v>
      </c>
      <c r="L758" t="s">
        <v>74</v>
      </c>
      <c r="M758" t="s">
        <v>78</v>
      </c>
      <c r="N758" t="s">
        <v>79</v>
      </c>
      <c r="O758" t="s">
        <v>74</v>
      </c>
      <c r="P758" t="s">
        <v>74</v>
      </c>
      <c r="Q758" t="s">
        <v>74</v>
      </c>
      <c r="R758" t="s">
        <v>74</v>
      </c>
      <c r="S758" t="s">
        <v>74</v>
      </c>
      <c r="T758" t="s">
        <v>74</v>
      </c>
      <c r="U758" t="s">
        <v>14668</v>
      </c>
      <c r="V758" t="s">
        <v>14669</v>
      </c>
      <c r="W758" t="s">
        <v>14670</v>
      </c>
      <c r="X758" t="s">
        <v>14671</v>
      </c>
      <c r="Y758" t="s">
        <v>14672</v>
      </c>
      <c r="Z758" t="s">
        <v>14673</v>
      </c>
      <c r="AA758" t="s">
        <v>14674</v>
      </c>
      <c r="AB758" t="s">
        <v>14675</v>
      </c>
      <c r="AC758" t="s">
        <v>14676</v>
      </c>
      <c r="AD758" t="s">
        <v>2890</v>
      </c>
      <c r="AE758" t="s">
        <v>14677</v>
      </c>
      <c r="AF758" t="s">
        <v>74</v>
      </c>
      <c r="AG758">
        <v>28</v>
      </c>
      <c r="AH758">
        <v>1</v>
      </c>
      <c r="AI758">
        <v>1</v>
      </c>
      <c r="AJ758">
        <v>1</v>
      </c>
      <c r="AK758">
        <v>9</v>
      </c>
      <c r="AL758" t="s">
        <v>3423</v>
      </c>
      <c r="AM758" t="s">
        <v>1080</v>
      </c>
      <c r="AN758" t="s">
        <v>3424</v>
      </c>
      <c r="AO758" t="s">
        <v>3425</v>
      </c>
      <c r="AP758" t="s">
        <v>3426</v>
      </c>
      <c r="AQ758" t="s">
        <v>74</v>
      </c>
      <c r="AR758" t="s">
        <v>3427</v>
      </c>
      <c r="AS758" t="s">
        <v>3428</v>
      </c>
      <c r="AT758" t="s">
        <v>14661</v>
      </c>
      <c r="AU758">
        <v>2018</v>
      </c>
      <c r="AV758">
        <v>58</v>
      </c>
      <c r="AW758">
        <v>6</v>
      </c>
      <c r="AX758" t="s">
        <v>74</v>
      </c>
      <c r="AY758" t="s">
        <v>74</v>
      </c>
      <c r="AZ758" t="s">
        <v>74</v>
      </c>
      <c r="BA758" t="s">
        <v>74</v>
      </c>
      <c r="BB758">
        <v>769</v>
      </c>
      <c r="BC758">
        <v>777</v>
      </c>
      <c r="BD758" t="s">
        <v>74</v>
      </c>
      <c r="BE758" t="s">
        <v>14678</v>
      </c>
      <c r="BF758" t="str">
        <f>HYPERLINK("http://dx.doi.org/10.1134/S0001437018060152","http://dx.doi.org/10.1134/S0001437018060152")</f>
        <v>http://dx.doi.org/10.1134/S0001437018060152</v>
      </c>
      <c r="BG758" t="s">
        <v>74</v>
      </c>
      <c r="BH758" t="s">
        <v>74</v>
      </c>
      <c r="BI758">
        <v>9</v>
      </c>
      <c r="BJ758" t="s">
        <v>773</v>
      </c>
      <c r="BK758" t="s">
        <v>101</v>
      </c>
      <c r="BL758" t="s">
        <v>773</v>
      </c>
      <c r="BM758" t="s">
        <v>14679</v>
      </c>
      <c r="BN758" t="s">
        <v>74</v>
      </c>
      <c r="BO758" t="s">
        <v>162</v>
      </c>
      <c r="BP758" t="s">
        <v>74</v>
      </c>
      <c r="BQ758" t="s">
        <v>74</v>
      </c>
      <c r="BR758" t="s">
        <v>104</v>
      </c>
      <c r="BS758" t="s">
        <v>14680</v>
      </c>
      <c r="BT758" t="str">
        <f>HYPERLINK("https%3A%2F%2Fwww.webofscience.com%2Fwos%2Fwoscc%2Ffull-record%2FWOS:000460473300001","View Full Record in Web of Science")</f>
        <v>View Full Record in Web of Science</v>
      </c>
    </row>
    <row r="759" spans="1:72" x14ac:dyDescent="0.15">
      <c r="A759" t="s">
        <v>72</v>
      </c>
      <c r="B759" t="s">
        <v>14681</v>
      </c>
      <c r="C759" t="s">
        <v>74</v>
      </c>
      <c r="D759" t="s">
        <v>74</v>
      </c>
      <c r="E759" t="s">
        <v>74</v>
      </c>
      <c r="F759" t="s">
        <v>14682</v>
      </c>
      <c r="G759" t="s">
        <v>74</v>
      </c>
      <c r="H759" t="s">
        <v>74</v>
      </c>
      <c r="I759" t="s">
        <v>14683</v>
      </c>
      <c r="J759" t="s">
        <v>3799</v>
      </c>
      <c r="K759" t="s">
        <v>74</v>
      </c>
      <c r="L759" t="s">
        <v>74</v>
      </c>
      <c r="M759" t="s">
        <v>78</v>
      </c>
      <c r="N759" t="s">
        <v>79</v>
      </c>
      <c r="O759" t="s">
        <v>74</v>
      </c>
      <c r="P759" t="s">
        <v>74</v>
      </c>
      <c r="Q759" t="s">
        <v>74</v>
      </c>
      <c r="R759" t="s">
        <v>74</v>
      </c>
      <c r="S759" t="s">
        <v>74</v>
      </c>
      <c r="T759" t="s">
        <v>14684</v>
      </c>
      <c r="U759" t="s">
        <v>14685</v>
      </c>
      <c r="V759" t="s">
        <v>14686</v>
      </c>
      <c r="W759" t="s">
        <v>14687</v>
      </c>
      <c r="X759" t="s">
        <v>14688</v>
      </c>
      <c r="Y759" t="s">
        <v>14689</v>
      </c>
      <c r="Z759" t="s">
        <v>74</v>
      </c>
      <c r="AA759" t="s">
        <v>14690</v>
      </c>
      <c r="AB759" t="s">
        <v>14691</v>
      </c>
      <c r="AC759" t="s">
        <v>14692</v>
      </c>
      <c r="AD759" t="s">
        <v>14084</v>
      </c>
      <c r="AE759" t="s">
        <v>14693</v>
      </c>
      <c r="AF759" t="s">
        <v>74</v>
      </c>
      <c r="AG759">
        <v>47</v>
      </c>
      <c r="AH759">
        <v>22</v>
      </c>
      <c r="AI759">
        <v>23</v>
      </c>
      <c r="AJ759">
        <v>0</v>
      </c>
      <c r="AK759">
        <v>15</v>
      </c>
      <c r="AL759" t="s">
        <v>3729</v>
      </c>
      <c r="AM759" t="s">
        <v>3353</v>
      </c>
      <c r="AN759" t="s">
        <v>3730</v>
      </c>
      <c r="AO759" t="s">
        <v>3803</v>
      </c>
      <c r="AP759" t="s">
        <v>3804</v>
      </c>
      <c r="AQ759" t="s">
        <v>74</v>
      </c>
      <c r="AR759" t="s">
        <v>3805</v>
      </c>
      <c r="AS759" t="s">
        <v>3806</v>
      </c>
      <c r="AT759" t="s">
        <v>14661</v>
      </c>
      <c r="AU759">
        <v>2018</v>
      </c>
      <c r="AV759">
        <v>38</v>
      </c>
      <c r="AW759">
        <v>6</v>
      </c>
      <c r="AX759" t="s">
        <v>74</v>
      </c>
      <c r="AY759" t="s">
        <v>74</v>
      </c>
      <c r="AZ759" t="s">
        <v>74</v>
      </c>
      <c r="BA759" t="s">
        <v>74</v>
      </c>
      <c r="BB759">
        <v>662</v>
      </c>
      <c r="BC759">
        <v>672</v>
      </c>
      <c r="BD759" t="s">
        <v>74</v>
      </c>
      <c r="BE759" t="s">
        <v>14694</v>
      </c>
      <c r="BF759" t="str">
        <f>HYPERLINK("http://dx.doi.org/10.1093/jcbiol/ruy032","http://dx.doi.org/10.1093/jcbiol/ruy032")</f>
        <v>http://dx.doi.org/10.1093/jcbiol/ruy032</v>
      </c>
      <c r="BG759" t="s">
        <v>74</v>
      </c>
      <c r="BH759" t="s">
        <v>74</v>
      </c>
      <c r="BI759">
        <v>11</v>
      </c>
      <c r="BJ759" t="s">
        <v>3808</v>
      </c>
      <c r="BK759" t="s">
        <v>101</v>
      </c>
      <c r="BL759" t="s">
        <v>3808</v>
      </c>
      <c r="BM759" t="s">
        <v>14695</v>
      </c>
      <c r="BN759" t="s">
        <v>74</v>
      </c>
      <c r="BO759" t="s">
        <v>162</v>
      </c>
      <c r="BP759" t="s">
        <v>74</v>
      </c>
      <c r="BQ759" t="s">
        <v>74</v>
      </c>
      <c r="BR759" t="s">
        <v>104</v>
      </c>
      <c r="BS759" t="s">
        <v>14696</v>
      </c>
      <c r="BT759" t="str">
        <f>HYPERLINK("https%3A%2F%2Fwww.webofscience.com%2Fwos%2Fwoscc%2Ffull-record%2FWOS:000456691100003","View Full Record in Web of Science")</f>
        <v>View Full Record in Web of Science</v>
      </c>
    </row>
    <row r="760" spans="1:72" x14ac:dyDescent="0.15">
      <c r="A760" t="s">
        <v>72</v>
      </c>
      <c r="B760" t="s">
        <v>14697</v>
      </c>
      <c r="C760" t="s">
        <v>74</v>
      </c>
      <c r="D760" t="s">
        <v>74</v>
      </c>
      <c r="E760" t="s">
        <v>74</v>
      </c>
      <c r="F760" t="s">
        <v>14698</v>
      </c>
      <c r="G760" t="s">
        <v>74</v>
      </c>
      <c r="H760" t="s">
        <v>74</v>
      </c>
      <c r="I760" t="s">
        <v>14699</v>
      </c>
      <c r="J760" t="s">
        <v>3799</v>
      </c>
      <c r="K760" t="s">
        <v>74</v>
      </c>
      <c r="L760" t="s">
        <v>74</v>
      </c>
      <c r="M760" t="s">
        <v>78</v>
      </c>
      <c r="N760" t="s">
        <v>79</v>
      </c>
      <c r="O760" t="s">
        <v>74</v>
      </c>
      <c r="P760" t="s">
        <v>74</v>
      </c>
      <c r="Q760" t="s">
        <v>74</v>
      </c>
      <c r="R760" t="s">
        <v>74</v>
      </c>
      <c r="S760" t="s">
        <v>74</v>
      </c>
      <c r="T760" t="s">
        <v>14700</v>
      </c>
      <c r="U760" t="s">
        <v>14701</v>
      </c>
      <c r="V760" t="s">
        <v>14702</v>
      </c>
      <c r="W760" t="s">
        <v>14703</v>
      </c>
      <c r="X760" t="s">
        <v>14704</v>
      </c>
      <c r="Y760" t="s">
        <v>14705</v>
      </c>
      <c r="Z760" t="s">
        <v>14706</v>
      </c>
      <c r="AA760" t="s">
        <v>14690</v>
      </c>
      <c r="AB760" t="s">
        <v>14691</v>
      </c>
      <c r="AC760" t="s">
        <v>14707</v>
      </c>
      <c r="AD760" t="s">
        <v>14708</v>
      </c>
      <c r="AE760" t="s">
        <v>14709</v>
      </c>
      <c r="AF760" t="s">
        <v>74</v>
      </c>
      <c r="AG760">
        <v>68</v>
      </c>
      <c r="AH760">
        <v>13</v>
      </c>
      <c r="AI760">
        <v>13</v>
      </c>
      <c r="AJ760">
        <v>2</v>
      </c>
      <c r="AK760">
        <v>9</v>
      </c>
      <c r="AL760" t="s">
        <v>3729</v>
      </c>
      <c r="AM760" t="s">
        <v>3353</v>
      </c>
      <c r="AN760" t="s">
        <v>3730</v>
      </c>
      <c r="AO760" t="s">
        <v>3803</v>
      </c>
      <c r="AP760" t="s">
        <v>3804</v>
      </c>
      <c r="AQ760" t="s">
        <v>74</v>
      </c>
      <c r="AR760" t="s">
        <v>3805</v>
      </c>
      <c r="AS760" t="s">
        <v>3806</v>
      </c>
      <c r="AT760" t="s">
        <v>14661</v>
      </c>
      <c r="AU760">
        <v>2018</v>
      </c>
      <c r="AV760">
        <v>38</v>
      </c>
      <c r="AW760">
        <v>6</v>
      </c>
      <c r="AX760" t="s">
        <v>74</v>
      </c>
      <c r="AY760" t="s">
        <v>74</v>
      </c>
      <c r="AZ760" t="s">
        <v>74</v>
      </c>
      <c r="BA760" t="s">
        <v>74</v>
      </c>
      <c r="BB760">
        <v>673</v>
      </c>
      <c r="BC760">
        <v>681</v>
      </c>
      <c r="BD760" t="s">
        <v>74</v>
      </c>
      <c r="BE760" t="s">
        <v>14710</v>
      </c>
      <c r="BF760" t="str">
        <f>HYPERLINK("http://dx.doi.org/10.1093/jcbiol/ruy053","http://dx.doi.org/10.1093/jcbiol/ruy053")</f>
        <v>http://dx.doi.org/10.1093/jcbiol/ruy053</v>
      </c>
      <c r="BG760" t="s">
        <v>74</v>
      </c>
      <c r="BH760" t="s">
        <v>74</v>
      </c>
      <c r="BI760">
        <v>9</v>
      </c>
      <c r="BJ760" t="s">
        <v>3808</v>
      </c>
      <c r="BK760" t="s">
        <v>101</v>
      </c>
      <c r="BL760" t="s">
        <v>3808</v>
      </c>
      <c r="BM760" t="s">
        <v>14695</v>
      </c>
      <c r="BN760" t="s">
        <v>74</v>
      </c>
      <c r="BO760" t="s">
        <v>162</v>
      </c>
      <c r="BP760" t="s">
        <v>74</v>
      </c>
      <c r="BQ760" t="s">
        <v>74</v>
      </c>
      <c r="BR760" t="s">
        <v>104</v>
      </c>
      <c r="BS760" t="s">
        <v>14711</v>
      </c>
      <c r="BT760" t="str">
        <f>HYPERLINK("https%3A%2F%2Fwww.webofscience.com%2Fwos%2Fwoscc%2Ffull-record%2FWOS:000456691100004","View Full Record in Web of Science")</f>
        <v>View Full Record in Web of Science</v>
      </c>
    </row>
    <row r="761" spans="1:72" x14ac:dyDescent="0.15">
      <c r="A761" t="s">
        <v>72</v>
      </c>
      <c r="B761" t="s">
        <v>14712</v>
      </c>
      <c r="C761" t="s">
        <v>74</v>
      </c>
      <c r="D761" t="s">
        <v>74</v>
      </c>
      <c r="E761" t="s">
        <v>74</v>
      </c>
      <c r="F761" t="s">
        <v>14713</v>
      </c>
      <c r="G761" t="s">
        <v>74</v>
      </c>
      <c r="H761" t="s">
        <v>74</v>
      </c>
      <c r="I761" t="s">
        <v>14714</v>
      </c>
      <c r="J761" t="s">
        <v>3799</v>
      </c>
      <c r="K761" t="s">
        <v>74</v>
      </c>
      <c r="L761" t="s">
        <v>74</v>
      </c>
      <c r="M761" t="s">
        <v>78</v>
      </c>
      <c r="N761" t="s">
        <v>79</v>
      </c>
      <c r="O761" t="s">
        <v>74</v>
      </c>
      <c r="P761" t="s">
        <v>74</v>
      </c>
      <c r="Q761" t="s">
        <v>74</v>
      </c>
      <c r="R761" t="s">
        <v>74</v>
      </c>
      <c r="S761" t="s">
        <v>74</v>
      </c>
      <c r="T761" t="s">
        <v>14715</v>
      </c>
      <c r="U761" t="s">
        <v>14716</v>
      </c>
      <c r="V761" t="s">
        <v>14717</v>
      </c>
      <c r="W761" t="s">
        <v>14718</v>
      </c>
      <c r="X761" t="s">
        <v>14719</v>
      </c>
      <c r="Y761" t="s">
        <v>14720</v>
      </c>
      <c r="Z761" t="s">
        <v>14721</v>
      </c>
      <c r="AA761" t="s">
        <v>74</v>
      </c>
      <c r="AB761" t="s">
        <v>14722</v>
      </c>
      <c r="AC761" t="s">
        <v>14723</v>
      </c>
      <c r="AD761" t="s">
        <v>14724</v>
      </c>
      <c r="AE761" t="s">
        <v>14725</v>
      </c>
      <c r="AF761" t="s">
        <v>74</v>
      </c>
      <c r="AG761">
        <v>36</v>
      </c>
      <c r="AH761">
        <v>4</v>
      </c>
      <c r="AI761">
        <v>5</v>
      </c>
      <c r="AJ761">
        <v>0</v>
      </c>
      <c r="AK761">
        <v>6</v>
      </c>
      <c r="AL761" t="s">
        <v>3729</v>
      </c>
      <c r="AM761" t="s">
        <v>3353</v>
      </c>
      <c r="AN761" t="s">
        <v>3730</v>
      </c>
      <c r="AO761" t="s">
        <v>3803</v>
      </c>
      <c r="AP761" t="s">
        <v>3804</v>
      </c>
      <c r="AQ761" t="s">
        <v>74</v>
      </c>
      <c r="AR761" t="s">
        <v>3805</v>
      </c>
      <c r="AS761" t="s">
        <v>3806</v>
      </c>
      <c r="AT761" t="s">
        <v>14661</v>
      </c>
      <c r="AU761">
        <v>2018</v>
      </c>
      <c r="AV761">
        <v>38</v>
      </c>
      <c r="AW761">
        <v>6</v>
      </c>
      <c r="AX761" t="s">
        <v>74</v>
      </c>
      <c r="AY761" t="s">
        <v>74</v>
      </c>
      <c r="AZ761" t="s">
        <v>74</v>
      </c>
      <c r="BA761" t="s">
        <v>74</v>
      </c>
      <c r="BB761">
        <v>689</v>
      </c>
      <c r="BC761">
        <v>696</v>
      </c>
      <c r="BD761" t="s">
        <v>74</v>
      </c>
      <c r="BE761" t="s">
        <v>14726</v>
      </c>
      <c r="BF761" t="str">
        <f>HYPERLINK("http://dx.doi.org/10.1093/jcbiol/ruy069","http://dx.doi.org/10.1093/jcbiol/ruy069")</f>
        <v>http://dx.doi.org/10.1093/jcbiol/ruy069</v>
      </c>
      <c r="BG761" t="s">
        <v>74</v>
      </c>
      <c r="BH761" t="s">
        <v>74</v>
      </c>
      <c r="BI761">
        <v>8</v>
      </c>
      <c r="BJ761" t="s">
        <v>3808</v>
      </c>
      <c r="BK761" t="s">
        <v>101</v>
      </c>
      <c r="BL761" t="s">
        <v>3808</v>
      </c>
      <c r="BM761" t="s">
        <v>14695</v>
      </c>
      <c r="BN761" t="s">
        <v>74</v>
      </c>
      <c r="BO761" t="s">
        <v>162</v>
      </c>
      <c r="BP761" t="s">
        <v>74</v>
      </c>
      <c r="BQ761" t="s">
        <v>74</v>
      </c>
      <c r="BR761" t="s">
        <v>104</v>
      </c>
      <c r="BS761" t="s">
        <v>14727</v>
      </c>
      <c r="BT761" t="str">
        <f>HYPERLINK("https%3A%2F%2Fwww.webofscience.com%2Fwos%2Fwoscc%2Ffull-record%2FWOS:000456691100006","View Full Record in Web of Science")</f>
        <v>View Full Record in Web of Science</v>
      </c>
    </row>
    <row r="762" spans="1:72" x14ac:dyDescent="0.15">
      <c r="A762" t="s">
        <v>72</v>
      </c>
      <c r="B762" t="s">
        <v>14728</v>
      </c>
      <c r="C762" t="s">
        <v>74</v>
      </c>
      <c r="D762" t="s">
        <v>74</v>
      </c>
      <c r="E762" t="s">
        <v>74</v>
      </c>
      <c r="F762" t="s">
        <v>14729</v>
      </c>
      <c r="G762" t="s">
        <v>74</v>
      </c>
      <c r="H762" t="s">
        <v>74</v>
      </c>
      <c r="I762" t="s">
        <v>14730</v>
      </c>
      <c r="J762" t="s">
        <v>3799</v>
      </c>
      <c r="K762" t="s">
        <v>74</v>
      </c>
      <c r="L762" t="s">
        <v>74</v>
      </c>
      <c r="M762" t="s">
        <v>78</v>
      </c>
      <c r="N762" t="s">
        <v>79</v>
      </c>
      <c r="O762" t="s">
        <v>74</v>
      </c>
      <c r="P762" t="s">
        <v>74</v>
      </c>
      <c r="Q762" t="s">
        <v>74</v>
      </c>
      <c r="R762" t="s">
        <v>74</v>
      </c>
      <c r="S762" t="s">
        <v>74</v>
      </c>
      <c r="T762" t="s">
        <v>14731</v>
      </c>
      <c r="U762" t="s">
        <v>14732</v>
      </c>
      <c r="V762" t="s">
        <v>14733</v>
      </c>
      <c r="W762" t="s">
        <v>14734</v>
      </c>
      <c r="X762" t="s">
        <v>14735</v>
      </c>
      <c r="Y762" t="s">
        <v>14736</v>
      </c>
      <c r="Z762" t="s">
        <v>14737</v>
      </c>
      <c r="AA762" t="s">
        <v>14738</v>
      </c>
      <c r="AB762" t="s">
        <v>14739</v>
      </c>
      <c r="AC762" t="s">
        <v>14740</v>
      </c>
      <c r="AD762" t="s">
        <v>14741</v>
      </c>
      <c r="AE762" t="s">
        <v>14742</v>
      </c>
      <c r="AF762" t="s">
        <v>74</v>
      </c>
      <c r="AG762">
        <v>53</v>
      </c>
      <c r="AH762">
        <v>9</v>
      </c>
      <c r="AI762">
        <v>9</v>
      </c>
      <c r="AJ762">
        <v>0</v>
      </c>
      <c r="AK762">
        <v>11</v>
      </c>
      <c r="AL762" t="s">
        <v>3729</v>
      </c>
      <c r="AM762" t="s">
        <v>3353</v>
      </c>
      <c r="AN762" t="s">
        <v>3730</v>
      </c>
      <c r="AO762" t="s">
        <v>3803</v>
      </c>
      <c r="AP762" t="s">
        <v>3804</v>
      </c>
      <c r="AQ762" t="s">
        <v>74</v>
      </c>
      <c r="AR762" t="s">
        <v>3805</v>
      </c>
      <c r="AS762" t="s">
        <v>3806</v>
      </c>
      <c r="AT762" t="s">
        <v>14661</v>
      </c>
      <c r="AU762">
        <v>2018</v>
      </c>
      <c r="AV762">
        <v>38</v>
      </c>
      <c r="AW762">
        <v>6</v>
      </c>
      <c r="AX762" t="s">
        <v>74</v>
      </c>
      <c r="AY762" t="s">
        <v>74</v>
      </c>
      <c r="AZ762" t="s">
        <v>74</v>
      </c>
      <c r="BA762" t="s">
        <v>74</v>
      </c>
      <c r="BB762">
        <v>707</v>
      </c>
      <c r="BC762">
        <v>715</v>
      </c>
      <c r="BD762" t="s">
        <v>74</v>
      </c>
      <c r="BE762" t="s">
        <v>14743</v>
      </c>
      <c r="BF762" t="str">
        <f>HYPERLINK("http://dx.doi.org/10.1093/jcbiol/ruy035","http://dx.doi.org/10.1093/jcbiol/ruy035")</f>
        <v>http://dx.doi.org/10.1093/jcbiol/ruy035</v>
      </c>
      <c r="BG762" t="s">
        <v>74</v>
      </c>
      <c r="BH762" t="s">
        <v>74</v>
      </c>
      <c r="BI762">
        <v>9</v>
      </c>
      <c r="BJ762" t="s">
        <v>3808</v>
      </c>
      <c r="BK762" t="s">
        <v>101</v>
      </c>
      <c r="BL762" t="s">
        <v>3808</v>
      </c>
      <c r="BM762" t="s">
        <v>14695</v>
      </c>
      <c r="BN762" t="s">
        <v>74</v>
      </c>
      <c r="BO762" t="s">
        <v>3893</v>
      </c>
      <c r="BP762" t="s">
        <v>74</v>
      </c>
      <c r="BQ762" t="s">
        <v>74</v>
      </c>
      <c r="BR762" t="s">
        <v>104</v>
      </c>
      <c r="BS762" t="s">
        <v>14744</v>
      </c>
      <c r="BT762" t="str">
        <f>HYPERLINK("https%3A%2F%2Fwww.webofscience.com%2Fwos%2Fwoscc%2Ffull-record%2FWOS:000456691100008","View Full Record in Web of Science")</f>
        <v>View Full Record in Web of Science</v>
      </c>
    </row>
    <row r="763" spans="1:72" x14ac:dyDescent="0.15">
      <c r="A763" t="s">
        <v>72</v>
      </c>
      <c r="B763" t="s">
        <v>14745</v>
      </c>
      <c r="C763" t="s">
        <v>74</v>
      </c>
      <c r="D763" t="s">
        <v>74</v>
      </c>
      <c r="E763" t="s">
        <v>74</v>
      </c>
      <c r="F763" t="s">
        <v>14746</v>
      </c>
      <c r="G763" t="s">
        <v>74</v>
      </c>
      <c r="H763" t="s">
        <v>74</v>
      </c>
      <c r="I763" t="s">
        <v>14747</v>
      </c>
      <c r="J763" t="s">
        <v>3799</v>
      </c>
      <c r="K763" t="s">
        <v>74</v>
      </c>
      <c r="L763" t="s">
        <v>74</v>
      </c>
      <c r="M763" t="s">
        <v>78</v>
      </c>
      <c r="N763" t="s">
        <v>79</v>
      </c>
      <c r="O763" t="s">
        <v>74</v>
      </c>
      <c r="P763" t="s">
        <v>74</v>
      </c>
      <c r="Q763" t="s">
        <v>74</v>
      </c>
      <c r="R763" t="s">
        <v>74</v>
      </c>
      <c r="S763" t="s">
        <v>74</v>
      </c>
      <c r="T763" t="s">
        <v>14748</v>
      </c>
      <c r="U763" t="s">
        <v>14749</v>
      </c>
      <c r="V763" t="s">
        <v>14750</v>
      </c>
      <c r="W763" t="s">
        <v>14751</v>
      </c>
      <c r="X763" t="s">
        <v>14752</v>
      </c>
      <c r="Y763" t="s">
        <v>14753</v>
      </c>
      <c r="Z763" t="s">
        <v>14754</v>
      </c>
      <c r="AA763" t="s">
        <v>14755</v>
      </c>
      <c r="AB763" t="s">
        <v>74</v>
      </c>
      <c r="AC763" t="s">
        <v>14756</v>
      </c>
      <c r="AD763" t="s">
        <v>2819</v>
      </c>
      <c r="AE763" t="s">
        <v>74</v>
      </c>
      <c r="AF763" t="s">
        <v>74</v>
      </c>
      <c r="AG763">
        <v>64</v>
      </c>
      <c r="AH763">
        <v>15</v>
      </c>
      <c r="AI763">
        <v>18</v>
      </c>
      <c r="AJ763">
        <v>2</v>
      </c>
      <c r="AK763">
        <v>19</v>
      </c>
      <c r="AL763" t="s">
        <v>3729</v>
      </c>
      <c r="AM763" t="s">
        <v>3353</v>
      </c>
      <c r="AN763" t="s">
        <v>3730</v>
      </c>
      <c r="AO763" t="s">
        <v>3803</v>
      </c>
      <c r="AP763" t="s">
        <v>3804</v>
      </c>
      <c r="AQ763" t="s">
        <v>74</v>
      </c>
      <c r="AR763" t="s">
        <v>3805</v>
      </c>
      <c r="AS763" t="s">
        <v>3806</v>
      </c>
      <c r="AT763" t="s">
        <v>14661</v>
      </c>
      <c r="AU763">
        <v>2018</v>
      </c>
      <c r="AV763">
        <v>38</v>
      </c>
      <c r="AW763">
        <v>6</v>
      </c>
      <c r="AX763" t="s">
        <v>74</v>
      </c>
      <c r="AY763" t="s">
        <v>74</v>
      </c>
      <c r="AZ763" t="s">
        <v>74</v>
      </c>
      <c r="BA763" t="s">
        <v>74</v>
      </c>
      <c r="BB763">
        <v>716</v>
      </c>
      <c r="BC763">
        <v>727</v>
      </c>
      <c r="BD763" t="s">
        <v>74</v>
      </c>
      <c r="BE763" t="s">
        <v>14757</v>
      </c>
      <c r="BF763" t="str">
        <f>HYPERLINK("http://dx.doi.org/10.1093/jcbiol/ruy040","http://dx.doi.org/10.1093/jcbiol/ruy040")</f>
        <v>http://dx.doi.org/10.1093/jcbiol/ruy040</v>
      </c>
      <c r="BG763" t="s">
        <v>74</v>
      </c>
      <c r="BH763" t="s">
        <v>74</v>
      </c>
      <c r="BI763">
        <v>12</v>
      </c>
      <c r="BJ763" t="s">
        <v>3808</v>
      </c>
      <c r="BK763" t="s">
        <v>101</v>
      </c>
      <c r="BL763" t="s">
        <v>3808</v>
      </c>
      <c r="BM763" t="s">
        <v>14695</v>
      </c>
      <c r="BN763" t="s">
        <v>74</v>
      </c>
      <c r="BO763" t="s">
        <v>4700</v>
      </c>
      <c r="BP763" t="s">
        <v>74</v>
      </c>
      <c r="BQ763" t="s">
        <v>74</v>
      </c>
      <c r="BR763" t="s">
        <v>104</v>
      </c>
      <c r="BS763" t="s">
        <v>14758</v>
      </c>
      <c r="BT763" t="str">
        <f>HYPERLINK("https%3A%2F%2Fwww.webofscience.com%2Fwos%2Fwoscc%2Ffull-record%2FWOS:000456691100009","View Full Record in Web of Science")</f>
        <v>View Full Record in Web of Science</v>
      </c>
    </row>
    <row r="764" spans="1:72" x14ac:dyDescent="0.15">
      <c r="A764" t="s">
        <v>72</v>
      </c>
      <c r="B764" t="s">
        <v>14759</v>
      </c>
      <c r="C764" t="s">
        <v>74</v>
      </c>
      <c r="D764" t="s">
        <v>74</v>
      </c>
      <c r="E764" t="s">
        <v>74</v>
      </c>
      <c r="F764" t="s">
        <v>14760</v>
      </c>
      <c r="G764" t="s">
        <v>74</v>
      </c>
      <c r="H764" t="s">
        <v>74</v>
      </c>
      <c r="I764" t="s">
        <v>14761</v>
      </c>
      <c r="J764" t="s">
        <v>14762</v>
      </c>
      <c r="K764" t="s">
        <v>74</v>
      </c>
      <c r="L764" t="s">
        <v>74</v>
      </c>
      <c r="M764" t="s">
        <v>78</v>
      </c>
      <c r="N764" t="s">
        <v>79</v>
      </c>
      <c r="O764" t="s">
        <v>74</v>
      </c>
      <c r="P764" t="s">
        <v>74</v>
      </c>
      <c r="Q764" t="s">
        <v>74</v>
      </c>
      <c r="R764" t="s">
        <v>74</v>
      </c>
      <c r="S764" t="s">
        <v>74</v>
      </c>
      <c r="T764" t="s">
        <v>14763</v>
      </c>
      <c r="U764" t="s">
        <v>14764</v>
      </c>
      <c r="V764" t="s">
        <v>14765</v>
      </c>
      <c r="W764" t="s">
        <v>14766</v>
      </c>
      <c r="X764" t="s">
        <v>14767</v>
      </c>
      <c r="Y764" t="s">
        <v>14768</v>
      </c>
      <c r="Z764" t="s">
        <v>14769</v>
      </c>
      <c r="AA764" t="s">
        <v>14770</v>
      </c>
      <c r="AB764" t="s">
        <v>74</v>
      </c>
      <c r="AC764" t="s">
        <v>14771</v>
      </c>
      <c r="AD764" t="s">
        <v>14772</v>
      </c>
      <c r="AE764" t="s">
        <v>14773</v>
      </c>
      <c r="AF764" t="s">
        <v>74</v>
      </c>
      <c r="AG764">
        <v>114</v>
      </c>
      <c r="AH764">
        <v>12</v>
      </c>
      <c r="AI764">
        <v>12</v>
      </c>
      <c r="AJ764">
        <v>0</v>
      </c>
      <c r="AK764">
        <v>8</v>
      </c>
      <c r="AL764" t="s">
        <v>3729</v>
      </c>
      <c r="AM764" t="s">
        <v>3353</v>
      </c>
      <c r="AN764" t="s">
        <v>3730</v>
      </c>
      <c r="AO764" t="s">
        <v>14774</v>
      </c>
      <c r="AP764" t="s">
        <v>14775</v>
      </c>
      <c r="AQ764" t="s">
        <v>74</v>
      </c>
      <c r="AR764" t="s">
        <v>14776</v>
      </c>
      <c r="AS764" t="s">
        <v>14777</v>
      </c>
      <c r="AT764" t="s">
        <v>14661</v>
      </c>
      <c r="AU764">
        <v>2018</v>
      </c>
      <c r="AV764">
        <v>184</v>
      </c>
      <c r="AW764">
        <v>3</v>
      </c>
      <c r="AX764" t="s">
        <v>74</v>
      </c>
      <c r="AY764" t="s">
        <v>74</v>
      </c>
      <c r="AZ764" t="s">
        <v>74</v>
      </c>
      <c r="BA764" t="s">
        <v>74</v>
      </c>
      <c r="BB764">
        <v>750</v>
      </c>
      <c r="BC764">
        <v>772</v>
      </c>
      <c r="BD764" t="s">
        <v>74</v>
      </c>
      <c r="BE764" t="s">
        <v>14778</v>
      </c>
      <c r="BF764" t="str">
        <f>HYPERLINK("http://dx.doi.org/10.1093/zoolinnean/zly011","http://dx.doi.org/10.1093/zoolinnean/zly011")</f>
        <v>http://dx.doi.org/10.1093/zoolinnean/zly011</v>
      </c>
      <c r="BG764" t="s">
        <v>74</v>
      </c>
      <c r="BH764" t="s">
        <v>74</v>
      </c>
      <c r="BI764">
        <v>23</v>
      </c>
      <c r="BJ764" t="s">
        <v>3516</v>
      </c>
      <c r="BK764" t="s">
        <v>101</v>
      </c>
      <c r="BL764" t="s">
        <v>3516</v>
      </c>
      <c r="BM764" t="s">
        <v>14779</v>
      </c>
      <c r="BN764" t="s">
        <v>74</v>
      </c>
      <c r="BO764" t="s">
        <v>74</v>
      </c>
      <c r="BP764" t="s">
        <v>74</v>
      </c>
      <c r="BQ764" t="s">
        <v>74</v>
      </c>
      <c r="BR764" t="s">
        <v>104</v>
      </c>
      <c r="BS764" t="s">
        <v>14780</v>
      </c>
      <c r="BT764" t="str">
        <f>HYPERLINK("https%3A%2F%2Fwww.webofscience.com%2Fwos%2Fwoscc%2Ffull-record%2FWOS:000456079100007","View Full Record in Web of Science")</f>
        <v>View Full Record in Web of Science</v>
      </c>
    </row>
    <row r="765" spans="1:72" x14ac:dyDescent="0.15">
      <c r="A765" t="s">
        <v>72</v>
      </c>
      <c r="B765" t="s">
        <v>14781</v>
      </c>
      <c r="C765" t="s">
        <v>74</v>
      </c>
      <c r="D765" t="s">
        <v>74</v>
      </c>
      <c r="E765" t="s">
        <v>74</v>
      </c>
      <c r="F765" t="s">
        <v>14782</v>
      </c>
      <c r="G765" t="s">
        <v>74</v>
      </c>
      <c r="H765" t="s">
        <v>74</v>
      </c>
      <c r="I765" t="s">
        <v>14783</v>
      </c>
      <c r="J765" t="s">
        <v>14784</v>
      </c>
      <c r="K765" t="s">
        <v>74</v>
      </c>
      <c r="L765" t="s">
        <v>74</v>
      </c>
      <c r="M765" t="s">
        <v>78</v>
      </c>
      <c r="N765" t="s">
        <v>79</v>
      </c>
      <c r="O765" t="s">
        <v>74</v>
      </c>
      <c r="P765" t="s">
        <v>74</v>
      </c>
      <c r="Q765" t="s">
        <v>74</v>
      </c>
      <c r="R765" t="s">
        <v>74</v>
      </c>
      <c r="S765" t="s">
        <v>74</v>
      </c>
      <c r="T765" t="s">
        <v>14785</v>
      </c>
      <c r="U765" t="s">
        <v>14786</v>
      </c>
      <c r="V765" t="s">
        <v>14787</v>
      </c>
      <c r="W765" t="s">
        <v>14788</v>
      </c>
      <c r="X765" t="s">
        <v>14789</v>
      </c>
      <c r="Y765" t="s">
        <v>14790</v>
      </c>
      <c r="Z765" t="s">
        <v>14791</v>
      </c>
      <c r="AA765" t="s">
        <v>14792</v>
      </c>
      <c r="AB765" t="s">
        <v>14793</v>
      </c>
      <c r="AC765" t="s">
        <v>14794</v>
      </c>
      <c r="AD765" t="s">
        <v>14795</v>
      </c>
      <c r="AE765" t="s">
        <v>14796</v>
      </c>
      <c r="AF765" t="s">
        <v>74</v>
      </c>
      <c r="AG765">
        <v>69</v>
      </c>
      <c r="AH765">
        <v>3</v>
      </c>
      <c r="AI765">
        <v>3</v>
      </c>
      <c r="AJ765">
        <v>3</v>
      </c>
      <c r="AK765">
        <v>29</v>
      </c>
      <c r="AL765" t="s">
        <v>1013</v>
      </c>
      <c r="AM765" t="s">
        <v>2869</v>
      </c>
      <c r="AN765" t="s">
        <v>3987</v>
      </c>
      <c r="AO765" t="s">
        <v>14797</v>
      </c>
      <c r="AP765" t="s">
        <v>74</v>
      </c>
      <c r="AQ765" t="s">
        <v>74</v>
      </c>
      <c r="AR765" t="s">
        <v>14798</v>
      </c>
      <c r="AS765" t="s">
        <v>14799</v>
      </c>
      <c r="AT765" t="s">
        <v>14661</v>
      </c>
      <c r="AU765">
        <v>2018</v>
      </c>
      <c r="AV765">
        <v>36</v>
      </c>
      <c r="AW765">
        <v>6</v>
      </c>
      <c r="AX765" t="s">
        <v>74</v>
      </c>
      <c r="AY765" t="s">
        <v>74</v>
      </c>
      <c r="AZ765" t="s">
        <v>4266</v>
      </c>
      <c r="BA765" t="s">
        <v>74</v>
      </c>
      <c r="BB765">
        <v>2181</v>
      </c>
      <c r="BC765">
        <v>2193</v>
      </c>
      <c r="BD765" t="s">
        <v>74</v>
      </c>
      <c r="BE765" t="s">
        <v>14800</v>
      </c>
      <c r="BF765" t="str">
        <f>HYPERLINK("http://dx.doi.org/10.1007/s00343-019-7193-2","http://dx.doi.org/10.1007/s00343-019-7193-2")</f>
        <v>http://dx.doi.org/10.1007/s00343-019-7193-2</v>
      </c>
      <c r="BG765" t="s">
        <v>74</v>
      </c>
      <c r="BH765" t="s">
        <v>74</v>
      </c>
      <c r="BI765">
        <v>13</v>
      </c>
      <c r="BJ765" t="s">
        <v>5006</v>
      </c>
      <c r="BK765" t="s">
        <v>101</v>
      </c>
      <c r="BL765" t="s">
        <v>827</v>
      </c>
      <c r="BM765" t="s">
        <v>14801</v>
      </c>
      <c r="BN765" t="s">
        <v>74</v>
      </c>
      <c r="BO765" t="s">
        <v>74</v>
      </c>
      <c r="BP765" t="s">
        <v>74</v>
      </c>
      <c r="BQ765" t="s">
        <v>74</v>
      </c>
      <c r="BR765" t="s">
        <v>104</v>
      </c>
      <c r="BS765" t="s">
        <v>14802</v>
      </c>
      <c r="BT765" t="str">
        <f>HYPERLINK("https%3A%2F%2Fwww.webofscience.com%2Fwos%2Fwoscc%2Ffull-record%2FWOS:000454629000022","View Full Record in Web of Science")</f>
        <v>View Full Record in Web of Science</v>
      </c>
    </row>
    <row r="766" spans="1:72" x14ac:dyDescent="0.15">
      <c r="A766" t="s">
        <v>72</v>
      </c>
      <c r="B766" t="s">
        <v>14803</v>
      </c>
      <c r="C766" t="s">
        <v>74</v>
      </c>
      <c r="D766" t="s">
        <v>74</v>
      </c>
      <c r="E766" t="s">
        <v>74</v>
      </c>
      <c r="F766" t="s">
        <v>14804</v>
      </c>
      <c r="G766" t="s">
        <v>74</v>
      </c>
      <c r="H766" t="s">
        <v>74</v>
      </c>
      <c r="I766" t="s">
        <v>14805</v>
      </c>
      <c r="J766" t="s">
        <v>14784</v>
      </c>
      <c r="K766" t="s">
        <v>74</v>
      </c>
      <c r="L766" t="s">
        <v>74</v>
      </c>
      <c r="M766" t="s">
        <v>78</v>
      </c>
      <c r="N766" t="s">
        <v>79</v>
      </c>
      <c r="O766" t="s">
        <v>74</v>
      </c>
      <c r="P766" t="s">
        <v>74</v>
      </c>
      <c r="Q766" t="s">
        <v>74</v>
      </c>
      <c r="R766" t="s">
        <v>74</v>
      </c>
      <c r="S766" t="s">
        <v>74</v>
      </c>
      <c r="T766" t="s">
        <v>14806</v>
      </c>
      <c r="U766" t="s">
        <v>14807</v>
      </c>
      <c r="V766" t="s">
        <v>14808</v>
      </c>
      <c r="W766" t="s">
        <v>14809</v>
      </c>
      <c r="X766" t="s">
        <v>14810</v>
      </c>
      <c r="Y766" t="s">
        <v>14811</v>
      </c>
      <c r="Z766" t="s">
        <v>14812</v>
      </c>
      <c r="AA766" t="s">
        <v>14813</v>
      </c>
      <c r="AB766" t="s">
        <v>74</v>
      </c>
      <c r="AC766" t="s">
        <v>14814</v>
      </c>
      <c r="AD766" t="s">
        <v>14815</v>
      </c>
      <c r="AE766" t="s">
        <v>14816</v>
      </c>
      <c r="AF766" t="s">
        <v>74</v>
      </c>
      <c r="AG766">
        <v>48</v>
      </c>
      <c r="AH766">
        <v>1</v>
      </c>
      <c r="AI766">
        <v>1</v>
      </c>
      <c r="AJ766">
        <v>0</v>
      </c>
      <c r="AK766">
        <v>17</v>
      </c>
      <c r="AL766" t="s">
        <v>1013</v>
      </c>
      <c r="AM766" t="s">
        <v>2869</v>
      </c>
      <c r="AN766" t="s">
        <v>3987</v>
      </c>
      <c r="AO766" t="s">
        <v>14797</v>
      </c>
      <c r="AP766" t="s">
        <v>74</v>
      </c>
      <c r="AQ766" t="s">
        <v>74</v>
      </c>
      <c r="AR766" t="s">
        <v>14798</v>
      </c>
      <c r="AS766" t="s">
        <v>14799</v>
      </c>
      <c r="AT766" t="s">
        <v>14661</v>
      </c>
      <c r="AU766">
        <v>2018</v>
      </c>
      <c r="AV766">
        <v>36</v>
      </c>
      <c r="AW766">
        <v>6</v>
      </c>
      <c r="AX766" t="s">
        <v>74</v>
      </c>
      <c r="AY766" t="s">
        <v>74</v>
      </c>
      <c r="AZ766" t="s">
        <v>4266</v>
      </c>
      <c r="BA766" t="s">
        <v>74</v>
      </c>
      <c r="BB766">
        <v>2278</v>
      </c>
      <c r="BC766">
        <v>2287</v>
      </c>
      <c r="BD766" t="s">
        <v>74</v>
      </c>
      <c r="BE766" t="s">
        <v>14817</v>
      </c>
      <c r="BF766" t="str">
        <f>HYPERLINK("http://dx.doi.org/10.1007/s00343-019-7229-7","http://dx.doi.org/10.1007/s00343-019-7229-7")</f>
        <v>http://dx.doi.org/10.1007/s00343-019-7229-7</v>
      </c>
      <c r="BG766" t="s">
        <v>74</v>
      </c>
      <c r="BH766" t="s">
        <v>74</v>
      </c>
      <c r="BI766">
        <v>10</v>
      </c>
      <c r="BJ766" t="s">
        <v>5006</v>
      </c>
      <c r="BK766" t="s">
        <v>101</v>
      </c>
      <c r="BL766" t="s">
        <v>827</v>
      </c>
      <c r="BM766" t="s">
        <v>14801</v>
      </c>
      <c r="BN766" t="s">
        <v>74</v>
      </c>
      <c r="BO766" t="s">
        <v>74</v>
      </c>
      <c r="BP766" t="s">
        <v>74</v>
      </c>
      <c r="BQ766" t="s">
        <v>74</v>
      </c>
      <c r="BR766" t="s">
        <v>104</v>
      </c>
      <c r="BS766" t="s">
        <v>14818</v>
      </c>
      <c r="BT766" t="str">
        <f>HYPERLINK("https%3A%2F%2Fwww.webofscience.com%2Fwos%2Fwoscc%2Ffull-record%2FWOS:000454629000030","View Full Record in Web of Science")</f>
        <v>View Full Record in Web of Science</v>
      </c>
    </row>
    <row r="767" spans="1:72" x14ac:dyDescent="0.15">
      <c r="A767" t="s">
        <v>72</v>
      </c>
      <c r="B767" t="s">
        <v>14819</v>
      </c>
      <c r="C767" t="s">
        <v>74</v>
      </c>
      <c r="D767" t="s">
        <v>74</v>
      </c>
      <c r="E767" t="s">
        <v>74</v>
      </c>
      <c r="F767" t="s">
        <v>14820</v>
      </c>
      <c r="G767" t="s">
        <v>74</v>
      </c>
      <c r="H767" t="s">
        <v>74</v>
      </c>
      <c r="I767" t="s">
        <v>14821</v>
      </c>
      <c r="J767" t="s">
        <v>14822</v>
      </c>
      <c r="K767" t="s">
        <v>74</v>
      </c>
      <c r="L767" t="s">
        <v>74</v>
      </c>
      <c r="M767" t="s">
        <v>78</v>
      </c>
      <c r="N767" t="s">
        <v>79</v>
      </c>
      <c r="O767" t="s">
        <v>74</v>
      </c>
      <c r="P767" t="s">
        <v>74</v>
      </c>
      <c r="Q767" t="s">
        <v>74</v>
      </c>
      <c r="R767" t="s">
        <v>74</v>
      </c>
      <c r="S767" t="s">
        <v>74</v>
      </c>
      <c r="T767" t="s">
        <v>74</v>
      </c>
      <c r="U767" t="s">
        <v>14823</v>
      </c>
      <c r="V767" t="s">
        <v>14824</v>
      </c>
      <c r="W767" t="s">
        <v>14825</v>
      </c>
      <c r="X767" t="s">
        <v>14826</v>
      </c>
      <c r="Y767" t="s">
        <v>14827</v>
      </c>
      <c r="Z767" t="s">
        <v>14828</v>
      </c>
      <c r="AA767" t="s">
        <v>14829</v>
      </c>
      <c r="AB767" t="s">
        <v>14830</v>
      </c>
      <c r="AC767" t="s">
        <v>14831</v>
      </c>
      <c r="AD767" t="s">
        <v>14832</v>
      </c>
      <c r="AE767" t="s">
        <v>14833</v>
      </c>
      <c r="AF767" t="s">
        <v>74</v>
      </c>
      <c r="AG767">
        <v>18</v>
      </c>
      <c r="AH767">
        <v>5</v>
      </c>
      <c r="AI767">
        <v>5</v>
      </c>
      <c r="AJ767">
        <v>0</v>
      </c>
      <c r="AK767">
        <v>12</v>
      </c>
      <c r="AL767" t="s">
        <v>1079</v>
      </c>
      <c r="AM767" t="s">
        <v>4862</v>
      </c>
      <c r="AN767" t="s">
        <v>4863</v>
      </c>
      <c r="AO767" t="s">
        <v>14834</v>
      </c>
      <c r="AP767" t="s">
        <v>14835</v>
      </c>
      <c r="AQ767" t="s">
        <v>74</v>
      </c>
      <c r="AR767" t="s">
        <v>14836</v>
      </c>
      <c r="AS767" t="s">
        <v>14837</v>
      </c>
      <c r="AT767" t="s">
        <v>14661</v>
      </c>
      <c r="AU767">
        <v>2018</v>
      </c>
      <c r="AV767">
        <v>95</v>
      </c>
      <c r="AW767" t="s">
        <v>14838</v>
      </c>
      <c r="AX767" t="s">
        <v>74</v>
      </c>
      <c r="AY767" t="s">
        <v>74</v>
      </c>
      <c r="AZ767" t="s">
        <v>74</v>
      </c>
      <c r="BA767" t="s">
        <v>74</v>
      </c>
      <c r="BB767">
        <v>849</v>
      </c>
      <c r="BC767">
        <v>861</v>
      </c>
      <c r="BD767" t="s">
        <v>74</v>
      </c>
      <c r="BE767" t="s">
        <v>14839</v>
      </c>
      <c r="BF767" t="str">
        <f>HYPERLINK("http://dx.doi.org/10.1007/s11230-018-9816-y","http://dx.doi.org/10.1007/s11230-018-9816-y")</f>
        <v>http://dx.doi.org/10.1007/s11230-018-9816-y</v>
      </c>
      <c r="BG767" t="s">
        <v>74</v>
      </c>
      <c r="BH767" t="s">
        <v>74</v>
      </c>
      <c r="BI767">
        <v>13</v>
      </c>
      <c r="BJ767" t="s">
        <v>14840</v>
      </c>
      <c r="BK767" t="s">
        <v>101</v>
      </c>
      <c r="BL767" t="s">
        <v>14840</v>
      </c>
      <c r="BM767" t="s">
        <v>14841</v>
      </c>
      <c r="BN767">
        <v>30141118</v>
      </c>
      <c r="BO767" t="s">
        <v>74</v>
      </c>
      <c r="BP767" t="s">
        <v>74</v>
      </c>
      <c r="BQ767" t="s">
        <v>74</v>
      </c>
      <c r="BR767" t="s">
        <v>104</v>
      </c>
      <c r="BS767" t="s">
        <v>14842</v>
      </c>
      <c r="BT767" t="str">
        <f>HYPERLINK("https%3A%2F%2Fwww.webofscience.com%2Fwos%2Fwoscc%2Ffull-record%2FWOS:000454737500007","View Full Record in Web of Science")</f>
        <v>View Full Record in Web of Science</v>
      </c>
    </row>
    <row r="768" spans="1:72" x14ac:dyDescent="0.15">
      <c r="A768" t="s">
        <v>72</v>
      </c>
      <c r="B768" t="s">
        <v>14843</v>
      </c>
      <c r="C768" t="s">
        <v>74</v>
      </c>
      <c r="D768" t="s">
        <v>74</v>
      </c>
      <c r="E768" t="s">
        <v>74</v>
      </c>
      <c r="F768" t="s">
        <v>14844</v>
      </c>
      <c r="G768" t="s">
        <v>74</v>
      </c>
      <c r="H768" t="s">
        <v>74</v>
      </c>
      <c r="I768" t="s">
        <v>14845</v>
      </c>
      <c r="J768" t="s">
        <v>9357</v>
      </c>
      <c r="K768" t="s">
        <v>74</v>
      </c>
      <c r="L768" t="s">
        <v>74</v>
      </c>
      <c r="M768" t="s">
        <v>78</v>
      </c>
      <c r="N768" t="s">
        <v>79</v>
      </c>
      <c r="O768" t="s">
        <v>74</v>
      </c>
      <c r="P768" t="s">
        <v>74</v>
      </c>
      <c r="Q768" t="s">
        <v>74</v>
      </c>
      <c r="R768" t="s">
        <v>74</v>
      </c>
      <c r="S768" t="s">
        <v>74</v>
      </c>
      <c r="T768" t="s">
        <v>14846</v>
      </c>
      <c r="U768" t="s">
        <v>14847</v>
      </c>
      <c r="V768" t="s">
        <v>14848</v>
      </c>
      <c r="W768" t="s">
        <v>14849</v>
      </c>
      <c r="X768" t="s">
        <v>14850</v>
      </c>
      <c r="Y768" t="s">
        <v>14851</v>
      </c>
      <c r="Z768" t="s">
        <v>14852</v>
      </c>
      <c r="AA768" t="s">
        <v>14853</v>
      </c>
      <c r="AB768" t="s">
        <v>14854</v>
      </c>
      <c r="AC768" t="s">
        <v>14855</v>
      </c>
      <c r="AD768" t="s">
        <v>1571</v>
      </c>
      <c r="AE768" t="s">
        <v>14856</v>
      </c>
      <c r="AF768" t="s">
        <v>74</v>
      </c>
      <c r="AG768">
        <v>28</v>
      </c>
      <c r="AH768">
        <v>5</v>
      </c>
      <c r="AI768">
        <v>5</v>
      </c>
      <c r="AJ768">
        <v>0</v>
      </c>
      <c r="AK768">
        <v>4</v>
      </c>
      <c r="AL768" t="s">
        <v>3423</v>
      </c>
      <c r="AM768" t="s">
        <v>1080</v>
      </c>
      <c r="AN768" t="s">
        <v>3424</v>
      </c>
      <c r="AO768" t="s">
        <v>9367</v>
      </c>
      <c r="AP768" t="s">
        <v>9368</v>
      </c>
      <c r="AQ768" t="s">
        <v>74</v>
      </c>
      <c r="AR768" t="s">
        <v>9369</v>
      </c>
      <c r="AS768" t="s">
        <v>9370</v>
      </c>
      <c r="AT768" t="s">
        <v>14661</v>
      </c>
      <c r="AU768">
        <v>2018</v>
      </c>
      <c r="AV768">
        <v>54</v>
      </c>
      <c r="AW768">
        <v>6</v>
      </c>
      <c r="AX768" t="s">
        <v>74</v>
      </c>
      <c r="AY768" t="s">
        <v>74</v>
      </c>
      <c r="AZ768" t="s">
        <v>74</v>
      </c>
      <c r="BA768" t="s">
        <v>74</v>
      </c>
      <c r="BB768">
        <v>621</v>
      </c>
      <c r="BC768">
        <v>625</v>
      </c>
      <c r="BD768" t="s">
        <v>74</v>
      </c>
      <c r="BE768" t="s">
        <v>14857</v>
      </c>
      <c r="BF768" t="str">
        <f>HYPERLINK("http://dx.doi.org/10.1134/S0001433818060063","http://dx.doi.org/10.1134/S0001433818060063")</f>
        <v>http://dx.doi.org/10.1134/S0001433818060063</v>
      </c>
      <c r="BG768" t="s">
        <v>74</v>
      </c>
      <c r="BH768" t="s">
        <v>74</v>
      </c>
      <c r="BI768">
        <v>5</v>
      </c>
      <c r="BJ768" t="s">
        <v>9372</v>
      </c>
      <c r="BK768" t="s">
        <v>101</v>
      </c>
      <c r="BL768" t="s">
        <v>9372</v>
      </c>
      <c r="BM768" t="s">
        <v>14858</v>
      </c>
      <c r="BN768" t="s">
        <v>74</v>
      </c>
      <c r="BO768" t="s">
        <v>74</v>
      </c>
      <c r="BP768" t="s">
        <v>74</v>
      </c>
      <c r="BQ768" t="s">
        <v>74</v>
      </c>
      <c r="BR768" t="s">
        <v>104</v>
      </c>
      <c r="BS768" t="s">
        <v>14859</v>
      </c>
      <c r="BT768" t="str">
        <f>HYPERLINK("https%3A%2F%2Fwww.webofscience.com%2Fwos%2Fwoscc%2Ffull-record%2FWOS:000454418700013","View Full Record in Web of Science")</f>
        <v>View Full Record in Web of Science</v>
      </c>
    </row>
    <row r="769" spans="1:72" x14ac:dyDescent="0.15">
      <c r="A769" t="s">
        <v>72</v>
      </c>
      <c r="B769" t="s">
        <v>14860</v>
      </c>
      <c r="C769" t="s">
        <v>74</v>
      </c>
      <c r="D769" t="s">
        <v>74</v>
      </c>
      <c r="E769" t="s">
        <v>74</v>
      </c>
      <c r="F769" t="s">
        <v>14861</v>
      </c>
      <c r="G769" t="s">
        <v>74</v>
      </c>
      <c r="H769" t="s">
        <v>74</v>
      </c>
      <c r="I769" t="s">
        <v>14862</v>
      </c>
      <c r="J769" t="s">
        <v>14863</v>
      </c>
      <c r="K769" t="s">
        <v>74</v>
      </c>
      <c r="L769" t="s">
        <v>74</v>
      </c>
      <c r="M769" t="s">
        <v>78</v>
      </c>
      <c r="N769" t="s">
        <v>79</v>
      </c>
      <c r="O769" t="s">
        <v>74</v>
      </c>
      <c r="P769" t="s">
        <v>74</v>
      </c>
      <c r="Q769" t="s">
        <v>74</v>
      </c>
      <c r="R769" t="s">
        <v>74</v>
      </c>
      <c r="S769" t="s">
        <v>74</v>
      </c>
      <c r="T769" t="s">
        <v>14864</v>
      </c>
      <c r="U769" t="s">
        <v>14865</v>
      </c>
      <c r="V769" t="s">
        <v>14866</v>
      </c>
      <c r="W769" t="s">
        <v>14867</v>
      </c>
      <c r="X769" t="s">
        <v>14868</v>
      </c>
      <c r="Y769" t="s">
        <v>14869</v>
      </c>
      <c r="Z769" t="s">
        <v>14870</v>
      </c>
      <c r="AA769" t="s">
        <v>14871</v>
      </c>
      <c r="AB769" t="s">
        <v>14872</v>
      </c>
      <c r="AC769" t="s">
        <v>14873</v>
      </c>
      <c r="AD769" t="s">
        <v>14874</v>
      </c>
      <c r="AE769" t="s">
        <v>14875</v>
      </c>
      <c r="AF769" t="s">
        <v>74</v>
      </c>
      <c r="AG769">
        <v>53</v>
      </c>
      <c r="AH769">
        <v>20</v>
      </c>
      <c r="AI769">
        <v>21</v>
      </c>
      <c r="AJ769">
        <v>4</v>
      </c>
      <c r="AK769">
        <v>22</v>
      </c>
      <c r="AL769" t="s">
        <v>3352</v>
      </c>
      <c r="AM769" t="s">
        <v>3353</v>
      </c>
      <c r="AN769" t="s">
        <v>3354</v>
      </c>
      <c r="AO769" t="s">
        <v>14876</v>
      </c>
      <c r="AP769" t="s">
        <v>14877</v>
      </c>
      <c r="AQ769" t="s">
        <v>74</v>
      </c>
      <c r="AR769" t="s">
        <v>14878</v>
      </c>
      <c r="AS769" t="s">
        <v>14879</v>
      </c>
      <c r="AT769" t="s">
        <v>14880</v>
      </c>
      <c r="AU769">
        <v>2018</v>
      </c>
      <c r="AV769">
        <v>157</v>
      </c>
      <c r="AW769" t="s">
        <v>74</v>
      </c>
      <c r="AX769" t="s">
        <v>74</v>
      </c>
      <c r="AY769" t="s">
        <v>74</v>
      </c>
      <c r="AZ769" t="s">
        <v>4266</v>
      </c>
      <c r="BA769" t="s">
        <v>74</v>
      </c>
      <c r="BB769">
        <v>154</v>
      </c>
      <c r="BC769">
        <v>168</v>
      </c>
      <c r="BD769" t="s">
        <v>74</v>
      </c>
      <c r="BE769" t="s">
        <v>14881</v>
      </c>
      <c r="BF769" t="str">
        <f>HYPERLINK("http://dx.doi.org/10.1016/j.dsr2.2018.09.006","http://dx.doi.org/10.1016/j.dsr2.2018.09.006")</f>
        <v>http://dx.doi.org/10.1016/j.dsr2.2018.09.006</v>
      </c>
      <c r="BG769" t="s">
        <v>74</v>
      </c>
      <c r="BH769" t="s">
        <v>74</v>
      </c>
      <c r="BI769">
        <v>15</v>
      </c>
      <c r="BJ769" t="s">
        <v>773</v>
      </c>
      <c r="BK769" t="s">
        <v>101</v>
      </c>
      <c r="BL769" t="s">
        <v>773</v>
      </c>
      <c r="BM769" t="s">
        <v>14882</v>
      </c>
      <c r="BN769" t="s">
        <v>74</v>
      </c>
      <c r="BO769" t="s">
        <v>74</v>
      </c>
      <c r="BP769" t="s">
        <v>74</v>
      </c>
      <c r="BQ769" t="s">
        <v>74</v>
      </c>
      <c r="BR769" t="s">
        <v>104</v>
      </c>
      <c r="BS769" t="s">
        <v>14883</v>
      </c>
      <c r="BT769" t="str">
        <f>HYPERLINK("https%3A%2F%2Fwww.webofscience.com%2Fwos%2Fwoscc%2Ffull-record%2FWOS:000454184200014","View Full Record in Web of Science")</f>
        <v>View Full Record in Web of Science</v>
      </c>
    </row>
    <row r="770" spans="1:72" x14ac:dyDescent="0.15">
      <c r="A770" t="s">
        <v>72</v>
      </c>
      <c r="B770" t="s">
        <v>14884</v>
      </c>
      <c r="C770" t="s">
        <v>74</v>
      </c>
      <c r="D770" t="s">
        <v>74</v>
      </c>
      <c r="E770" t="s">
        <v>74</v>
      </c>
      <c r="F770" t="s">
        <v>14885</v>
      </c>
      <c r="G770" t="s">
        <v>74</v>
      </c>
      <c r="H770" t="s">
        <v>74</v>
      </c>
      <c r="I770" t="s">
        <v>14886</v>
      </c>
      <c r="J770" t="s">
        <v>3320</v>
      </c>
      <c r="K770" t="s">
        <v>74</v>
      </c>
      <c r="L770" t="s">
        <v>74</v>
      </c>
      <c r="M770" t="s">
        <v>78</v>
      </c>
      <c r="N770" t="s">
        <v>79</v>
      </c>
      <c r="O770" t="s">
        <v>74</v>
      </c>
      <c r="P770" t="s">
        <v>74</v>
      </c>
      <c r="Q770" t="s">
        <v>74</v>
      </c>
      <c r="R770" t="s">
        <v>74</v>
      </c>
      <c r="S770" t="s">
        <v>74</v>
      </c>
      <c r="T770" t="s">
        <v>14887</v>
      </c>
      <c r="U770" t="s">
        <v>14888</v>
      </c>
      <c r="V770" t="s">
        <v>14889</v>
      </c>
      <c r="W770" t="s">
        <v>14890</v>
      </c>
      <c r="X770" t="s">
        <v>14891</v>
      </c>
      <c r="Y770" t="s">
        <v>14892</v>
      </c>
      <c r="Z770" t="s">
        <v>14893</v>
      </c>
      <c r="AA770" t="s">
        <v>14894</v>
      </c>
      <c r="AB770" t="s">
        <v>74</v>
      </c>
      <c r="AC770" t="s">
        <v>14895</v>
      </c>
      <c r="AD770" t="s">
        <v>14896</v>
      </c>
      <c r="AE770" t="s">
        <v>14897</v>
      </c>
      <c r="AF770" t="s">
        <v>74</v>
      </c>
      <c r="AG770">
        <v>169</v>
      </c>
      <c r="AH770">
        <v>28</v>
      </c>
      <c r="AI770">
        <v>30</v>
      </c>
      <c r="AJ770">
        <v>0</v>
      </c>
      <c r="AK770">
        <v>14</v>
      </c>
      <c r="AL770" t="s">
        <v>2519</v>
      </c>
      <c r="AM770" t="s">
        <v>2520</v>
      </c>
      <c r="AN770" t="s">
        <v>3313</v>
      </c>
      <c r="AO770" t="s">
        <v>3333</v>
      </c>
      <c r="AP770" t="s">
        <v>3334</v>
      </c>
      <c r="AQ770" t="s">
        <v>74</v>
      </c>
      <c r="AR770" t="s">
        <v>3335</v>
      </c>
      <c r="AS770" t="s">
        <v>3336</v>
      </c>
      <c r="AT770" t="s">
        <v>14661</v>
      </c>
      <c r="AU770">
        <v>2018</v>
      </c>
      <c r="AV770">
        <v>63</v>
      </c>
      <c r="AW770" t="s">
        <v>74</v>
      </c>
      <c r="AX770" t="s">
        <v>74</v>
      </c>
      <c r="AY770" t="s">
        <v>74</v>
      </c>
      <c r="AZ770" t="s">
        <v>74</v>
      </c>
      <c r="BA770" t="s">
        <v>74</v>
      </c>
      <c r="BB770">
        <v>15</v>
      </c>
      <c r="BC770">
        <v>33</v>
      </c>
      <c r="BD770" t="s">
        <v>74</v>
      </c>
      <c r="BE770" t="s">
        <v>14898</v>
      </c>
      <c r="BF770" t="str">
        <f>HYPERLINK("http://dx.doi.org/10.1016/j.gr.2018.06.002","http://dx.doi.org/10.1016/j.gr.2018.06.002")</f>
        <v>http://dx.doi.org/10.1016/j.gr.2018.06.002</v>
      </c>
      <c r="BG770" t="s">
        <v>74</v>
      </c>
      <c r="BH770" t="s">
        <v>74</v>
      </c>
      <c r="BI770">
        <v>19</v>
      </c>
      <c r="BJ770" t="s">
        <v>884</v>
      </c>
      <c r="BK770" t="s">
        <v>101</v>
      </c>
      <c r="BL770" t="s">
        <v>528</v>
      </c>
      <c r="BM770" t="s">
        <v>14899</v>
      </c>
      <c r="BN770" t="s">
        <v>74</v>
      </c>
      <c r="BO770" t="s">
        <v>3810</v>
      </c>
      <c r="BP770" t="s">
        <v>74</v>
      </c>
      <c r="BQ770" t="s">
        <v>74</v>
      </c>
      <c r="BR770" t="s">
        <v>104</v>
      </c>
      <c r="BS770" t="s">
        <v>14900</v>
      </c>
      <c r="BT770" t="str">
        <f>HYPERLINK("https%3A%2F%2Fwww.webofscience.com%2Fwos%2Fwoscc%2Ffull-record%2FWOS:000454185300002","View Full Record in Web of Science")</f>
        <v>View Full Record in Web of Science</v>
      </c>
    </row>
    <row r="771" spans="1:72" x14ac:dyDescent="0.15">
      <c r="A771" t="s">
        <v>72</v>
      </c>
      <c r="B771" t="s">
        <v>14901</v>
      </c>
      <c r="C771" t="s">
        <v>74</v>
      </c>
      <c r="D771" t="s">
        <v>74</v>
      </c>
      <c r="E771" t="s">
        <v>74</v>
      </c>
      <c r="F771" t="s">
        <v>14902</v>
      </c>
      <c r="G771" t="s">
        <v>74</v>
      </c>
      <c r="H771" t="s">
        <v>74</v>
      </c>
      <c r="I771" t="s">
        <v>14903</v>
      </c>
      <c r="J771" t="s">
        <v>14904</v>
      </c>
      <c r="K771" t="s">
        <v>74</v>
      </c>
      <c r="L771" t="s">
        <v>74</v>
      </c>
      <c r="M771" t="s">
        <v>78</v>
      </c>
      <c r="N771" t="s">
        <v>79</v>
      </c>
      <c r="O771" t="s">
        <v>74</v>
      </c>
      <c r="P771" t="s">
        <v>74</v>
      </c>
      <c r="Q771" t="s">
        <v>74</v>
      </c>
      <c r="R771" t="s">
        <v>74</v>
      </c>
      <c r="S771" t="s">
        <v>74</v>
      </c>
      <c r="T771" t="s">
        <v>14905</v>
      </c>
      <c r="U771" t="s">
        <v>14906</v>
      </c>
      <c r="V771" t="s">
        <v>14907</v>
      </c>
      <c r="W771" t="s">
        <v>14908</v>
      </c>
      <c r="X771" t="s">
        <v>14909</v>
      </c>
      <c r="Y771" t="s">
        <v>14910</v>
      </c>
      <c r="Z771" t="s">
        <v>14911</v>
      </c>
      <c r="AA771" t="s">
        <v>74</v>
      </c>
      <c r="AB771" t="s">
        <v>14912</v>
      </c>
      <c r="AC771" t="s">
        <v>14913</v>
      </c>
      <c r="AD771" t="s">
        <v>14914</v>
      </c>
      <c r="AE771" t="s">
        <v>14915</v>
      </c>
      <c r="AF771" t="s">
        <v>74</v>
      </c>
      <c r="AG771">
        <v>64</v>
      </c>
      <c r="AH771">
        <v>10</v>
      </c>
      <c r="AI771">
        <v>11</v>
      </c>
      <c r="AJ771">
        <v>0</v>
      </c>
      <c r="AK771">
        <v>18</v>
      </c>
      <c r="AL771" t="s">
        <v>3290</v>
      </c>
      <c r="AM771" t="s">
        <v>2520</v>
      </c>
      <c r="AN771" t="s">
        <v>3291</v>
      </c>
      <c r="AO771" t="s">
        <v>14916</v>
      </c>
      <c r="AP771" t="s">
        <v>14917</v>
      </c>
      <c r="AQ771" t="s">
        <v>74</v>
      </c>
      <c r="AR771" t="s">
        <v>14918</v>
      </c>
      <c r="AS771" t="s">
        <v>14919</v>
      </c>
      <c r="AT771" t="s">
        <v>14661</v>
      </c>
      <c r="AU771">
        <v>2018</v>
      </c>
      <c r="AV771">
        <v>48</v>
      </c>
      <c r="AW771" t="s">
        <v>74</v>
      </c>
      <c r="AX771" t="s">
        <v>74</v>
      </c>
      <c r="AY771" t="s">
        <v>74</v>
      </c>
      <c r="AZ771" t="s">
        <v>74</v>
      </c>
      <c r="BA771" t="s">
        <v>74</v>
      </c>
      <c r="BB771">
        <v>1</v>
      </c>
      <c r="BC771">
        <v>11</v>
      </c>
      <c r="BD771" t="s">
        <v>74</v>
      </c>
      <c r="BE771" t="s">
        <v>14920</v>
      </c>
      <c r="BF771" t="str">
        <f>HYPERLINK("http://dx.doi.org/10.1016/j.ecoinf.2018.07.004","http://dx.doi.org/10.1016/j.ecoinf.2018.07.004")</f>
        <v>http://dx.doi.org/10.1016/j.ecoinf.2018.07.004</v>
      </c>
      <c r="BG771" t="s">
        <v>74</v>
      </c>
      <c r="BH771" t="s">
        <v>74</v>
      </c>
      <c r="BI771">
        <v>11</v>
      </c>
      <c r="BJ771" t="s">
        <v>2400</v>
      </c>
      <c r="BK771" t="s">
        <v>101</v>
      </c>
      <c r="BL771" t="s">
        <v>799</v>
      </c>
      <c r="BM771" t="s">
        <v>14921</v>
      </c>
      <c r="BN771" t="s">
        <v>74</v>
      </c>
      <c r="BO771" t="s">
        <v>74</v>
      </c>
      <c r="BP771" t="s">
        <v>74</v>
      </c>
      <c r="BQ771" t="s">
        <v>74</v>
      </c>
      <c r="BR771" t="s">
        <v>104</v>
      </c>
      <c r="BS771" t="s">
        <v>14922</v>
      </c>
      <c r="BT771" t="str">
        <f>HYPERLINK("https%3A%2F%2Fwww.webofscience.com%2Fwos%2Fwoscc%2Ffull-record%2FWOS:000453641900001","View Full Record in Web of Science")</f>
        <v>View Full Record in Web of Science</v>
      </c>
    </row>
    <row r="772" spans="1:72" x14ac:dyDescent="0.15">
      <c r="A772" t="s">
        <v>72</v>
      </c>
      <c r="B772" t="s">
        <v>14923</v>
      </c>
      <c r="C772" t="s">
        <v>74</v>
      </c>
      <c r="D772" t="s">
        <v>74</v>
      </c>
      <c r="E772" t="s">
        <v>74</v>
      </c>
      <c r="F772" t="s">
        <v>14924</v>
      </c>
      <c r="G772" t="s">
        <v>74</v>
      </c>
      <c r="H772" t="s">
        <v>74</v>
      </c>
      <c r="I772" t="s">
        <v>14925</v>
      </c>
      <c r="J772" t="s">
        <v>4496</v>
      </c>
      <c r="K772" t="s">
        <v>74</v>
      </c>
      <c r="L772" t="s">
        <v>74</v>
      </c>
      <c r="M772" t="s">
        <v>78</v>
      </c>
      <c r="N772" t="s">
        <v>79</v>
      </c>
      <c r="O772" t="s">
        <v>74</v>
      </c>
      <c r="P772" t="s">
        <v>74</v>
      </c>
      <c r="Q772" t="s">
        <v>74</v>
      </c>
      <c r="R772" t="s">
        <v>74</v>
      </c>
      <c r="S772" t="s">
        <v>74</v>
      </c>
      <c r="T772" t="s">
        <v>14926</v>
      </c>
      <c r="U772" t="s">
        <v>14927</v>
      </c>
      <c r="V772" t="s">
        <v>14928</v>
      </c>
      <c r="W772" t="s">
        <v>14929</v>
      </c>
      <c r="X772" t="s">
        <v>6412</v>
      </c>
      <c r="Y772" t="s">
        <v>14930</v>
      </c>
      <c r="Z772" t="s">
        <v>14931</v>
      </c>
      <c r="AA772" t="s">
        <v>74</v>
      </c>
      <c r="AB772" t="s">
        <v>14932</v>
      </c>
      <c r="AC772" t="s">
        <v>14933</v>
      </c>
      <c r="AD772" t="s">
        <v>14934</v>
      </c>
      <c r="AE772" t="s">
        <v>14935</v>
      </c>
      <c r="AF772" t="s">
        <v>74</v>
      </c>
      <c r="AG772">
        <v>72</v>
      </c>
      <c r="AH772">
        <v>24</v>
      </c>
      <c r="AI772">
        <v>29</v>
      </c>
      <c r="AJ772">
        <v>0</v>
      </c>
      <c r="AK772">
        <v>16</v>
      </c>
      <c r="AL772" t="s">
        <v>4034</v>
      </c>
      <c r="AM772" t="s">
        <v>4035</v>
      </c>
      <c r="AN772" t="s">
        <v>4036</v>
      </c>
      <c r="AO772" t="s">
        <v>4507</v>
      </c>
      <c r="AP772" t="s">
        <v>4508</v>
      </c>
      <c r="AQ772" t="s">
        <v>74</v>
      </c>
      <c r="AR772" t="s">
        <v>4509</v>
      </c>
      <c r="AS772" t="s">
        <v>4510</v>
      </c>
      <c r="AT772" t="s">
        <v>14661</v>
      </c>
      <c r="AU772">
        <v>2018</v>
      </c>
      <c r="AV772">
        <v>123</v>
      </c>
      <c r="AW772">
        <v>11</v>
      </c>
      <c r="AX772" t="s">
        <v>74</v>
      </c>
      <c r="AY772" t="s">
        <v>74</v>
      </c>
      <c r="AZ772" t="s">
        <v>74</v>
      </c>
      <c r="BA772" t="s">
        <v>74</v>
      </c>
      <c r="BB772">
        <v>7678</v>
      </c>
      <c r="BC772">
        <v>7701</v>
      </c>
      <c r="BD772" t="s">
        <v>74</v>
      </c>
      <c r="BE772" t="s">
        <v>14936</v>
      </c>
      <c r="BF772" t="str">
        <f>HYPERLINK("http://dx.doi.org/10.1029/2018JC014345","http://dx.doi.org/10.1029/2018JC014345")</f>
        <v>http://dx.doi.org/10.1029/2018JC014345</v>
      </c>
      <c r="BG772" t="s">
        <v>74</v>
      </c>
      <c r="BH772" t="s">
        <v>74</v>
      </c>
      <c r="BI772">
        <v>24</v>
      </c>
      <c r="BJ772" t="s">
        <v>773</v>
      </c>
      <c r="BK772" t="s">
        <v>101</v>
      </c>
      <c r="BL772" t="s">
        <v>773</v>
      </c>
      <c r="BM772" t="s">
        <v>14937</v>
      </c>
      <c r="BN772" t="s">
        <v>74</v>
      </c>
      <c r="BO772" t="s">
        <v>14938</v>
      </c>
      <c r="BP772" t="s">
        <v>74</v>
      </c>
      <c r="BQ772" t="s">
        <v>74</v>
      </c>
      <c r="BR772" t="s">
        <v>104</v>
      </c>
      <c r="BS772" t="s">
        <v>14939</v>
      </c>
      <c r="BT772" t="str">
        <f>HYPERLINK("https%3A%2F%2Fwww.webofscience.com%2Fwos%2Fwoscc%2Ffull-record%2FWOS:000453907000003","View Full Record in Web of Science")</f>
        <v>View Full Record in Web of Science</v>
      </c>
    </row>
    <row r="773" spans="1:72" x14ac:dyDescent="0.15">
      <c r="A773" t="s">
        <v>72</v>
      </c>
      <c r="B773" t="s">
        <v>14940</v>
      </c>
      <c r="C773" t="s">
        <v>74</v>
      </c>
      <c r="D773" t="s">
        <v>74</v>
      </c>
      <c r="E773" t="s">
        <v>74</v>
      </c>
      <c r="F773" t="s">
        <v>14941</v>
      </c>
      <c r="G773" t="s">
        <v>74</v>
      </c>
      <c r="H773" t="s">
        <v>74</v>
      </c>
      <c r="I773" t="s">
        <v>14942</v>
      </c>
      <c r="J773" t="s">
        <v>4496</v>
      </c>
      <c r="K773" t="s">
        <v>74</v>
      </c>
      <c r="L773" t="s">
        <v>74</v>
      </c>
      <c r="M773" t="s">
        <v>78</v>
      </c>
      <c r="N773" t="s">
        <v>79</v>
      </c>
      <c r="O773" t="s">
        <v>74</v>
      </c>
      <c r="P773" t="s">
        <v>74</v>
      </c>
      <c r="Q773" t="s">
        <v>74</v>
      </c>
      <c r="R773" t="s">
        <v>74</v>
      </c>
      <c r="S773" t="s">
        <v>74</v>
      </c>
      <c r="T773" t="s">
        <v>14943</v>
      </c>
      <c r="U773" t="s">
        <v>14944</v>
      </c>
      <c r="V773" t="s">
        <v>14945</v>
      </c>
      <c r="W773" t="s">
        <v>14946</v>
      </c>
      <c r="X773" t="s">
        <v>14947</v>
      </c>
      <c r="Y773" t="s">
        <v>14948</v>
      </c>
      <c r="Z773" t="s">
        <v>14949</v>
      </c>
      <c r="AA773" t="s">
        <v>14950</v>
      </c>
      <c r="AB773" t="s">
        <v>14951</v>
      </c>
      <c r="AC773" t="s">
        <v>14952</v>
      </c>
      <c r="AD773" t="s">
        <v>14953</v>
      </c>
      <c r="AE773" t="s">
        <v>14954</v>
      </c>
      <c r="AF773" t="s">
        <v>74</v>
      </c>
      <c r="AG773">
        <v>135</v>
      </c>
      <c r="AH773">
        <v>31</v>
      </c>
      <c r="AI773">
        <v>32</v>
      </c>
      <c r="AJ773">
        <v>0</v>
      </c>
      <c r="AK773">
        <v>34</v>
      </c>
      <c r="AL773" t="s">
        <v>4034</v>
      </c>
      <c r="AM773" t="s">
        <v>4035</v>
      </c>
      <c r="AN773" t="s">
        <v>4036</v>
      </c>
      <c r="AO773" t="s">
        <v>4507</v>
      </c>
      <c r="AP773" t="s">
        <v>4508</v>
      </c>
      <c r="AQ773" t="s">
        <v>74</v>
      </c>
      <c r="AR773" t="s">
        <v>4509</v>
      </c>
      <c r="AS773" t="s">
        <v>4510</v>
      </c>
      <c r="AT773" t="s">
        <v>14661</v>
      </c>
      <c r="AU773">
        <v>2018</v>
      </c>
      <c r="AV773">
        <v>123</v>
      </c>
      <c r="AW773">
        <v>11</v>
      </c>
      <c r="AX773" t="s">
        <v>74</v>
      </c>
      <c r="AY773" t="s">
        <v>74</v>
      </c>
      <c r="AZ773" t="s">
        <v>74</v>
      </c>
      <c r="BA773" t="s">
        <v>74</v>
      </c>
      <c r="BB773">
        <v>7702</v>
      </c>
      <c r="BC773">
        <v>7724</v>
      </c>
      <c r="BD773" t="s">
        <v>74</v>
      </c>
      <c r="BE773" t="s">
        <v>14955</v>
      </c>
      <c r="BF773" t="str">
        <f>HYPERLINK("http://dx.doi.org/10.1029/2018JC013965","http://dx.doi.org/10.1029/2018JC013965")</f>
        <v>http://dx.doi.org/10.1029/2018JC013965</v>
      </c>
      <c r="BG773" t="s">
        <v>74</v>
      </c>
      <c r="BH773" t="s">
        <v>74</v>
      </c>
      <c r="BI773">
        <v>23</v>
      </c>
      <c r="BJ773" t="s">
        <v>773</v>
      </c>
      <c r="BK773" t="s">
        <v>101</v>
      </c>
      <c r="BL773" t="s">
        <v>773</v>
      </c>
      <c r="BM773" t="s">
        <v>14937</v>
      </c>
      <c r="BN773" t="s">
        <v>74</v>
      </c>
      <c r="BO773" t="s">
        <v>162</v>
      </c>
      <c r="BP773" t="s">
        <v>74</v>
      </c>
      <c r="BQ773" t="s">
        <v>74</v>
      </c>
      <c r="BR773" t="s">
        <v>104</v>
      </c>
      <c r="BS773" t="s">
        <v>14956</v>
      </c>
      <c r="BT773" t="str">
        <f>HYPERLINK("https%3A%2F%2Fwww.webofscience.com%2Fwos%2Fwoscc%2Ffull-record%2FWOS:000453907000004","View Full Record in Web of Science")</f>
        <v>View Full Record in Web of Science</v>
      </c>
    </row>
    <row r="774" spans="1:72" x14ac:dyDescent="0.15">
      <c r="A774" t="s">
        <v>72</v>
      </c>
      <c r="B774" t="s">
        <v>14957</v>
      </c>
      <c r="C774" t="s">
        <v>74</v>
      </c>
      <c r="D774" t="s">
        <v>74</v>
      </c>
      <c r="E774" t="s">
        <v>74</v>
      </c>
      <c r="F774" t="s">
        <v>14958</v>
      </c>
      <c r="G774" t="s">
        <v>74</v>
      </c>
      <c r="H774" t="s">
        <v>74</v>
      </c>
      <c r="I774" t="s">
        <v>14959</v>
      </c>
      <c r="J774" t="s">
        <v>4496</v>
      </c>
      <c r="K774" t="s">
        <v>74</v>
      </c>
      <c r="L774" t="s">
        <v>74</v>
      </c>
      <c r="M774" t="s">
        <v>78</v>
      </c>
      <c r="N774" t="s">
        <v>79</v>
      </c>
      <c r="O774" t="s">
        <v>74</v>
      </c>
      <c r="P774" t="s">
        <v>74</v>
      </c>
      <c r="Q774" t="s">
        <v>74</v>
      </c>
      <c r="R774" t="s">
        <v>74</v>
      </c>
      <c r="S774" t="s">
        <v>74</v>
      </c>
      <c r="T774" t="s">
        <v>14960</v>
      </c>
      <c r="U774" t="s">
        <v>14961</v>
      </c>
      <c r="V774" t="s">
        <v>14962</v>
      </c>
      <c r="W774" t="s">
        <v>14963</v>
      </c>
      <c r="X774" t="s">
        <v>14964</v>
      </c>
      <c r="Y774" t="s">
        <v>14965</v>
      </c>
      <c r="Z774" t="s">
        <v>14966</v>
      </c>
      <c r="AA774" t="s">
        <v>14967</v>
      </c>
      <c r="AB774" t="s">
        <v>14968</v>
      </c>
      <c r="AC774" t="s">
        <v>14969</v>
      </c>
      <c r="AD774" t="s">
        <v>14970</v>
      </c>
      <c r="AE774" t="s">
        <v>14971</v>
      </c>
      <c r="AF774" t="s">
        <v>74</v>
      </c>
      <c r="AG774">
        <v>63</v>
      </c>
      <c r="AH774">
        <v>21</v>
      </c>
      <c r="AI774">
        <v>28</v>
      </c>
      <c r="AJ774">
        <v>1</v>
      </c>
      <c r="AK774">
        <v>42</v>
      </c>
      <c r="AL774" t="s">
        <v>4034</v>
      </c>
      <c r="AM774" t="s">
        <v>4035</v>
      </c>
      <c r="AN774" t="s">
        <v>4036</v>
      </c>
      <c r="AO774" t="s">
        <v>4507</v>
      </c>
      <c r="AP774" t="s">
        <v>4508</v>
      </c>
      <c r="AQ774" t="s">
        <v>74</v>
      </c>
      <c r="AR774" t="s">
        <v>4509</v>
      </c>
      <c r="AS774" t="s">
        <v>4510</v>
      </c>
      <c r="AT774" t="s">
        <v>14661</v>
      </c>
      <c r="AU774">
        <v>2018</v>
      </c>
      <c r="AV774">
        <v>123</v>
      </c>
      <c r="AW774">
        <v>11</v>
      </c>
      <c r="AX774" t="s">
        <v>74</v>
      </c>
      <c r="AY774" t="s">
        <v>74</v>
      </c>
      <c r="AZ774" t="s">
        <v>74</v>
      </c>
      <c r="BA774" t="s">
        <v>74</v>
      </c>
      <c r="BB774">
        <v>7819</v>
      </c>
      <c r="BC774">
        <v>7838</v>
      </c>
      <c r="BD774" t="s">
        <v>74</v>
      </c>
      <c r="BE774" t="s">
        <v>14972</v>
      </c>
      <c r="BF774" t="str">
        <f>HYPERLINK("http://dx.doi.org/10.1029/2018JC014026","http://dx.doi.org/10.1029/2018JC014026")</f>
        <v>http://dx.doi.org/10.1029/2018JC014026</v>
      </c>
      <c r="BG774" t="s">
        <v>74</v>
      </c>
      <c r="BH774" t="s">
        <v>74</v>
      </c>
      <c r="BI774">
        <v>20</v>
      </c>
      <c r="BJ774" t="s">
        <v>773</v>
      </c>
      <c r="BK774" t="s">
        <v>101</v>
      </c>
      <c r="BL774" t="s">
        <v>773</v>
      </c>
      <c r="BM774" t="s">
        <v>14937</v>
      </c>
      <c r="BN774" t="s">
        <v>74</v>
      </c>
      <c r="BO774" t="s">
        <v>162</v>
      </c>
      <c r="BP774" t="s">
        <v>74</v>
      </c>
      <c r="BQ774" t="s">
        <v>74</v>
      </c>
      <c r="BR774" t="s">
        <v>104</v>
      </c>
      <c r="BS774" t="s">
        <v>14973</v>
      </c>
      <c r="BT774" t="str">
        <f>HYPERLINK("https%3A%2F%2Fwww.webofscience.com%2Fwos%2Fwoscc%2Ffull-record%2FWOS:000453907000010","View Full Record in Web of Science")</f>
        <v>View Full Record in Web of Science</v>
      </c>
    </row>
    <row r="775" spans="1:72" x14ac:dyDescent="0.15">
      <c r="A775" t="s">
        <v>72</v>
      </c>
      <c r="B775" t="s">
        <v>14974</v>
      </c>
      <c r="C775" t="s">
        <v>74</v>
      </c>
      <c r="D775" t="s">
        <v>74</v>
      </c>
      <c r="E775" t="s">
        <v>74</v>
      </c>
      <c r="F775" t="s">
        <v>14975</v>
      </c>
      <c r="G775" t="s">
        <v>74</v>
      </c>
      <c r="H775" t="s">
        <v>74</v>
      </c>
      <c r="I775" t="s">
        <v>14976</v>
      </c>
      <c r="J775" t="s">
        <v>4496</v>
      </c>
      <c r="K775" t="s">
        <v>74</v>
      </c>
      <c r="L775" t="s">
        <v>74</v>
      </c>
      <c r="M775" t="s">
        <v>78</v>
      </c>
      <c r="N775" t="s">
        <v>79</v>
      </c>
      <c r="O775" t="s">
        <v>74</v>
      </c>
      <c r="P775" t="s">
        <v>74</v>
      </c>
      <c r="Q775" t="s">
        <v>74</v>
      </c>
      <c r="R775" t="s">
        <v>74</v>
      </c>
      <c r="S775" t="s">
        <v>74</v>
      </c>
      <c r="T775" t="s">
        <v>14977</v>
      </c>
      <c r="U775" t="s">
        <v>14978</v>
      </c>
      <c r="V775" t="s">
        <v>14979</v>
      </c>
      <c r="W775" t="s">
        <v>14980</v>
      </c>
      <c r="X775" t="s">
        <v>14688</v>
      </c>
      <c r="Y775" t="s">
        <v>14981</v>
      </c>
      <c r="Z775" t="s">
        <v>14982</v>
      </c>
      <c r="AA775" t="s">
        <v>14983</v>
      </c>
      <c r="AB775" t="s">
        <v>14984</v>
      </c>
      <c r="AC775" t="s">
        <v>14985</v>
      </c>
      <c r="AD775" t="s">
        <v>14986</v>
      </c>
      <c r="AE775" t="s">
        <v>14987</v>
      </c>
      <c r="AF775" t="s">
        <v>74</v>
      </c>
      <c r="AG775">
        <v>52</v>
      </c>
      <c r="AH775">
        <v>9</v>
      </c>
      <c r="AI775">
        <v>9</v>
      </c>
      <c r="AJ775">
        <v>1</v>
      </c>
      <c r="AK775">
        <v>33</v>
      </c>
      <c r="AL775" t="s">
        <v>4034</v>
      </c>
      <c r="AM775" t="s">
        <v>4035</v>
      </c>
      <c r="AN775" t="s">
        <v>4036</v>
      </c>
      <c r="AO775" t="s">
        <v>4507</v>
      </c>
      <c r="AP775" t="s">
        <v>4508</v>
      </c>
      <c r="AQ775" t="s">
        <v>74</v>
      </c>
      <c r="AR775" t="s">
        <v>4509</v>
      </c>
      <c r="AS775" t="s">
        <v>4510</v>
      </c>
      <c r="AT775" t="s">
        <v>14661</v>
      </c>
      <c r="AU775">
        <v>2018</v>
      </c>
      <c r="AV775">
        <v>123</v>
      </c>
      <c r="AW775">
        <v>11</v>
      </c>
      <c r="AX775" t="s">
        <v>74</v>
      </c>
      <c r="AY775" t="s">
        <v>74</v>
      </c>
      <c r="AZ775" t="s">
        <v>74</v>
      </c>
      <c r="BA775" t="s">
        <v>74</v>
      </c>
      <c r="BB775">
        <v>7914</v>
      </c>
      <c r="BC775">
        <v>7938</v>
      </c>
      <c r="BD775" t="s">
        <v>74</v>
      </c>
      <c r="BE775" t="s">
        <v>14988</v>
      </c>
      <c r="BF775" t="str">
        <f>HYPERLINK("http://dx.doi.org/10.1029/2018JC014177","http://dx.doi.org/10.1029/2018JC014177")</f>
        <v>http://dx.doi.org/10.1029/2018JC014177</v>
      </c>
      <c r="BG775" t="s">
        <v>74</v>
      </c>
      <c r="BH775" t="s">
        <v>74</v>
      </c>
      <c r="BI775">
        <v>25</v>
      </c>
      <c r="BJ775" t="s">
        <v>773</v>
      </c>
      <c r="BK775" t="s">
        <v>101</v>
      </c>
      <c r="BL775" t="s">
        <v>773</v>
      </c>
      <c r="BM775" t="s">
        <v>14937</v>
      </c>
      <c r="BN775" t="s">
        <v>74</v>
      </c>
      <c r="BO775" t="s">
        <v>5883</v>
      </c>
      <c r="BP775" t="s">
        <v>74</v>
      </c>
      <c r="BQ775" t="s">
        <v>74</v>
      </c>
      <c r="BR775" t="s">
        <v>104</v>
      </c>
      <c r="BS775" t="s">
        <v>14989</v>
      </c>
      <c r="BT775" t="str">
        <f>HYPERLINK("https%3A%2F%2Fwww.webofscience.com%2Fwos%2Fwoscc%2Ffull-record%2FWOS:000453907000015","View Full Record in Web of Science")</f>
        <v>View Full Record in Web of Science</v>
      </c>
    </row>
    <row r="776" spans="1:72" x14ac:dyDescent="0.15">
      <c r="A776" t="s">
        <v>72</v>
      </c>
      <c r="B776" t="s">
        <v>14990</v>
      </c>
      <c r="C776" t="s">
        <v>74</v>
      </c>
      <c r="D776" t="s">
        <v>74</v>
      </c>
      <c r="E776" t="s">
        <v>74</v>
      </c>
      <c r="F776" t="s">
        <v>14991</v>
      </c>
      <c r="G776" t="s">
        <v>74</v>
      </c>
      <c r="H776" t="s">
        <v>74</v>
      </c>
      <c r="I776" t="s">
        <v>14992</v>
      </c>
      <c r="J776" t="s">
        <v>4496</v>
      </c>
      <c r="K776" t="s">
        <v>74</v>
      </c>
      <c r="L776" t="s">
        <v>74</v>
      </c>
      <c r="M776" t="s">
        <v>78</v>
      </c>
      <c r="N776" t="s">
        <v>79</v>
      </c>
      <c r="O776" t="s">
        <v>74</v>
      </c>
      <c r="P776" t="s">
        <v>74</v>
      </c>
      <c r="Q776" t="s">
        <v>74</v>
      </c>
      <c r="R776" t="s">
        <v>74</v>
      </c>
      <c r="S776" t="s">
        <v>74</v>
      </c>
      <c r="T776" t="s">
        <v>14993</v>
      </c>
      <c r="U776" t="s">
        <v>14994</v>
      </c>
      <c r="V776" t="s">
        <v>14995</v>
      </c>
      <c r="W776" t="s">
        <v>14996</v>
      </c>
      <c r="X776" t="s">
        <v>14997</v>
      </c>
      <c r="Y776" t="s">
        <v>14998</v>
      </c>
      <c r="Z776" t="s">
        <v>14999</v>
      </c>
      <c r="AA776" t="s">
        <v>15000</v>
      </c>
      <c r="AB776" t="s">
        <v>15001</v>
      </c>
      <c r="AC776" t="s">
        <v>15002</v>
      </c>
      <c r="AD776" t="s">
        <v>15003</v>
      </c>
      <c r="AE776" t="s">
        <v>15004</v>
      </c>
      <c r="AF776" t="s">
        <v>74</v>
      </c>
      <c r="AG776">
        <v>22</v>
      </c>
      <c r="AH776">
        <v>9</v>
      </c>
      <c r="AI776">
        <v>9</v>
      </c>
      <c r="AJ776">
        <v>1</v>
      </c>
      <c r="AK776">
        <v>6</v>
      </c>
      <c r="AL776" t="s">
        <v>4034</v>
      </c>
      <c r="AM776" t="s">
        <v>4035</v>
      </c>
      <c r="AN776" t="s">
        <v>4036</v>
      </c>
      <c r="AO776" t="s">
        <v>4507</v>
      </c>
      <c r="AP776" t="s">
        <v>4508</v>
      </c>
      <c r="AQ776" t="s">
        <v>74</v>
      </c>
      <c r="AR776" t="s">
        <v>4509</v>
      </c>
      <c r="AS776" t="s">
        <v>4510</v>
      </c>
      <c r="AT776" t="s">
        <v>14661</v>
      </c>
      <c r="AU776">
        <v>2018</v>
      </c>
      <c r="AV776">
        <v>123</v>
      </c>
      <c r="AW776">
        <v>11</v>
      </c>
      <c r="AX776" t="s">
        <v>74</v>
      </c>
      <c r="AY776" t="s">
        <v>74</v>
      </c>
      <c r="AZ776" t="s">
        <v>74</v>
      </c>
      <c r="BA776" t="s">
        <v>74</v>
      </c>
      <c r="BB776">
        <v>8299</v>
      </c>
      <c r="BC776">
        <v>8312</v>
      </c>
      <c r="BD776" t="s">
        <v>74</v>
      </c>
      <c r="BE776" t="s">
        <v>15005</v>
      </c>
      <c r="BF776" t="str">
        <f>HYPERLINK("http://dx.doi.org/10.1029/2018JC014463","http://dx.doi.org/10.1029/2018JC014463")</f>
        <v>http://dx.doi.org/10.1029/2018JC014463</v>
      </c>
      <c r="BG776" t="s">
        <v>74</v>
      </c>
      <c r="BH776" t="s">
        <v>74</v>
      </c>
      <c r="BI776">
        <v>14</v>
      </c>
      <c r="BJ776" t="s">
        <v>773</v>
      </c>
      <c r="BK776" t="s">
        <v>101</v>
      </c>
      <c r="BL776" t="s">
        <v>773</v>
      </c>
      <c r="BM776" t="s">
        <v>14937</v>
      </c>
      <c r="BN776" t="s">
        <v>74</v>
      </c>
      <c r="BO776" t="s">
        <v>5797</v>
      </c>
      <c r="BP776" t="s">
        <v>74</v>
      </c>
      <c r="BQ776" t="s">
        <v>74</v>
      </c>
      <c r="BR776" t="s">
        <v>104</v>
      </c>
      <c r="BS776" t="s">
        <v>15006</v>
      </c>
      <c r="BT776" t="str">
        <f>HYPERLINK("https%3A%2F%2Fwww.webofscience.com%2Fwos%2Fwoscc%2Ffull-record%2FWOS:000453907000034","View Full Record in Web of Science")</f>
        <v>View Full Record in Web of Science</v>
      </c>
    </row>
    <row r="777" spans="1:72" x14ac:dyDescent="0.15">
      <c r="A777" t="s">
        <v>72</v>
      </c>
      <c r="B777" t="s">
        <v>15007</v>
      </c>
      <c r="C777" t="s">
        <v>74</v>
      </c>
      <c r="D777" t="s">
        <v>74</v>
      </c>
      <c r="E777" t="s">
        <v>74</v>
      </c>
      <c r="F777" t="s">
        <v>15008</v>
      </c>
      <c r="G777" t="s">
        <v>74</v>
      </c>
      <c r="H777" t="s">
        <v>74</v>
      </c>
      <c r="I777" t="s">
        <v>15009</v>
      </c>
      <c r="J777" t="s">
        <v>4496</v>
      </c>
      <c r="K777" t="s">
        <v>74</v>
      </c>
      <c r="L777" t="s">
        <v>74</v>
      </c>
      <c r="M777" t="s">
        <v>78</v>
      </c>
      <c r="N777" t="s">
        <v>79</v>
      </c>
      <c r="O777" t="s">
        <v>74</v>
      </c>
      <c r="P777" t="s">
        <v>74</v>
      </c>
      <c r="Q777" t="s">
        <v>74</v>
      </c>
      <c r="R777" t="s">
        <v>74</v>
      </c>
      <c r="S777" t="s">
        <v>74</v>
      </c>
      <c r="T777" t="s">
        <v>15010</v>
      </c>
      <c r="U777" t="s">
        <v>15011</v>
      </c>
      <c r="V777" t="s">
        <v>15012</v>
      </c>
      <c r="W777" t="s">
        <v>15013</v>
      </c>
      <c r="X777" t="s">
        <v>15014</v>
      </c>
      <c r="Y777" t="s">
        <v>15015</v>
      </c>
      <c r="Z777" t="s">
        <v>15016</v>
      </c>
      <c r="AA777" t="s">
        <v>15017</v>
      </c>
      <c r="AB777" t="s">
        <v>15018</v>
      </c>
      <c r="AC777" t="s">
        <v>15019</v>
      </c>
      <c r="AD777" t="s">
        <v>15020</v>
      </c>
      <c r="AE777" t="s">
        <v>15021</v>
      </c>
      <c r="AF777" t="s">
        <v>74</v>
      </c>
      <c r="AG777">
        <v>106</v>
      </c>
      <c r="AH777">
        <v>32</v>
      </c>
      <c r="AI777">
        <v>33</v>
      </c>
      <c r="AJ777">
        <v>7</v>
      </c>
      <c r="AK777">
        <v>42</v>
      </c>
      <c r="AL777" t="s">
        <v>4034</v>
      </c>
      <c r="AM777" t="s">
        <v>4035</v>
      </c>
      <c r="AN777" t="s">
        <v>4036</v>
      </c>
      <c r="AO777" t="s">
        <v>4507</v>
      </c>
      <c r="AP777" t="s">
        <v>4508</v>
      </c>
      <c r="AQ777" t="s">
        <v>74</v>
      </c>
      <c r="AR777" t="s">
        <v>4509</v>
      </c>
      <c r="AS777" t="s">
        <v>4510</v>
      </c>
      <c r="AT777" t="s">
        <v>14661</v>
      </c>
      <c r="AU777">
        <v>2018</v>
      </c>
      <c r="AV777">
        <v>123</v>
      </c>
      <c r="AW777">
        <v>11</v>
      </c>
      <c r="AX777" t="s">
        <v>74</v>
      </c>
      <c r="AY777" t="s">
        <v>74</v>
      </c>
      <c r="AZ777" t="s">
        <v>74</v>
      </c>
      <c r="BA777" t="s">
        <v>74</v>
      </c>
      <c r="BB777">
        <v>8444</v>
      </c>
      <c r="BC777">
        <v>8459</v>
      </c>
      <c r="BD777" t="s">
        <v>74</v>
      </c>
      <c r="BE777" t="s">
        <v>15022</v>
      </c>
      <c r="BF777" t="str">
        <f>HYPERLINK("http://dx.doi.org/10.1029/2018JC014245","http://dx.doi.org/10.1029/2018JC014245")</f>
        <v>http://dx.doi.org/10.1029/2018JC014245</v>
      </c>
      <c r="BG777" t="s">
        <v>74</v>
      </c>
      <c r="BH777" t="s">
        <v>74</v>
      </c>
      <c r="BI777">
        <v>16</v>
      </c>
      <c r="BJ777" t="s">
        <v>773</v>
      </c>
      <c r="BK777" t="s">
        <v>101</v>
      </c>
      <c r="BL777" t="s">
        <v>773</v>
      </c>
      <c r="BM777" t="s">
        <v>14937</v>
      </c>
      <c r="BN777" t="s">
        <v>74</v>
      </c>
      <c r="BO777" t="s">
        <v>15023</v>
      </c>
      <c r="BP777" t="s">
        <v>74</v>
      </c>
      <c r="BQ777" t="s">
        <v>74</v>
      </c>
      <c r="BR777" t="s">
        <v>104</v>
      </c>
      <c r="BS777" t="s">
        <v>15024</v>
      </c>
      <c r="BT777" t="str">
        <f>HYPERLINK("https%3A%2F%2Fwww.webofscience.com%2Fwos%2Fwoscc%2Ffull-record%2FWOS:000453907000042","View Full Record in Web of Science")</f>
        <v>View Full Record in Web of Science</v>
      </c>
    </row>
    <row r="778" spans="1:72" x14ac:dyDescent="0.15">
      <c r="A778" t="s">
        <v>72</v>
      </c>
      <c r="B778" t="s">
        <v>15025</v>
      </c>
      <c r="C778" t="s">
        <v>74</v>
      </c>
      <c r="D778" t="s">
        <v>74</v>
      </c>
      <c r="E778" t="s">
        <v>74</v>
      </c>
      <c r="F778" t="s">
        <v>15026</v>
      </c>
      <c r="G778" t="s">
        <v>74</v>
      </c>
      <c r="H778" t="s">
        <v>74</v>
      </c>
      <c r="I778" t="s">
        <v>15027</v>
      </c>
      <c r="J778" t="s">
        <v>4496</v>
      </c>
      <c r="K778" t="s">
        <v>74</v>
      </c>
      <c r="L778" t="s">
        <v>74</v>
      </c>
      <c r="M778" t="s">
        <v>78</v>
      </c>
      <c r="N778" t="s">
        <v>79</v>
      </c>
      <c r="O778" t="s">
        <v>74</v>
      </c>
      <c r="P778" t="s">
        <v>74</v>
      </c>
      <c r="Q778" t="s">
        <v>74</v>
      </c>
      <c r="R778" t="s">
        <v>74</v>
      </c>
      <c r="S778" t="s">
        <v>74</v>
      </c>
      <c r="T778" t="s">
        <v>15028</v>
      </c>
      <c r="U778" t="s">
        <v>15029</v>
      </c>
      <c r="V778" t="s">
        <v>15030</v>
      </c>
      <c r="W778" t="s">
        <v>15031</v>
      </c>
      <c r="X778" t="s">
        <v>15032</v>
      </c>
      <c r="Y778" t="s">
        <v>15033</v>
      </c>
      <c r="Z778" t="s">
        <v>15034</v>
      </c>
      <c r="AA778" t="s">
        <v>74</v>
      </c>
      <c r="AB778" t="s">
        <v>15035</v>
      </c>
      <c r="AC778" t="s">
        <v>15036</v>
      </c>
      <c r="AD778" t="s">
        <v>15037</v>
      </c>
      <c r="AE778" t="s">
        <v>15038</v>
      </c>
      <c r="AF778" t="s">
        <v>74</v>
      </c>
      <c r="AG778">
        <v>20</v>
      </c>
      <c r="AH778">
        <v>10</v>
      </c>
      <c r="AI778">
        <v>10</v>
      </c>
      <c r="AJ778">
        <v>0</v>
      </c>
      <c r="AK778">
        <v>6</v>
      </c>
      <c r="AL778" t="s">
        <v>4034</v>
      </c>
      <c r="AM778" t="s">
        <v>4035</v>
      </c>
      <c r="AN778" t="s">
        <v>4036</v>
      </c>
      <c r="AO778" t="s">
        <v>4507</v>
      </c>
      <c r="AP778" t="s">
        <v>4508</v>
      </c>
      <c r="AQ778" t="s">
        <v>74</v>
      </c>
      <c r="AR778" t="s">
        <v>4509</v>
      </c>
      <c r="AS778" t="s">
        <v>4510</v>
      </c>
      <c r="AT778" t="s">
        <v>14661</v>
      </c>
      <c r="AU778">
        <v>2018</v>
      </c>
      <c r="AV778">
        <v>123</v>
      </c>
      <c r="AW778">
        <v>11</v>
      </c>
      <c r="AX778" t="s">
        <v>74</v>
      </c>
      <c r="AY778" t="s">
        <v>74</v>
      </c>
      <c r="AZ778" t="s">
        <v>74</v>
      </c>
      <c r="BA778" t="s">
        <v>74</v>
      </c>
      <c r="BB778">
        <v>8489</v>
      </c>
      <c r="BC778">
        <v>8507</v>
      </c>
      <c r="BD778" t="s">
        <v>74</v>
      </c>
      <c r="BE778" t="s">
        <v>15039</v>
      </c>
      <c r="BF778" t="str">
        <f>HYPERLINK("http://dx.doi.org/10.1029/2018JC014528","http://dx.doi.org/10.1029/2018JC014528")</f>
        <v>http://dx.doi.org/10.1029/2018JC014528</v>
      </c>
      <c r="BG778" t="s">
        <v>74</v>
      </c>
      <c r="BH778" t="s">
        <v>74</v>
      </c>
      <c r="BI778">
        <v>19</v>
      </c>
      <c r="BJ778" t="s">
        <v>773</v>
      </c>
      <c r="BK778" t="s">
        <v>101</v>
      </c>
      <c r="BL778" t="s">
        <v>773</v>
      </c>
      <c r="BM778" t="s">
        <v>14937</v>
      </c>
      <c r="BN778" t="s">
        <v>74</v>
      </c>
      <c r="BO778" t="s">
        <v>7017</v>
      </c>
      <c r="BP778" t="s">
        <v>74</v>
      </c>
      <c r="BQ778" t="s">
        <v>74</v>
      </c>
      <c r="BR778" t="s">
        <v>104</v>
      </c>
      <c r="BS778" t="s">
        <v>15040</v>
      </c>
      <c r="BT778" t="str">
        <f>HYPERLINK("https%3A%2F%2Fwww.webofscience.com%2Fwos%2Fwoscc%2Ffull-record%2FWOS:000453907000044","View Full Record in Web of Science")</f>
        <v>View Full Record in Web of Science</v>
      </c>
    </row>
    <row r="779" spans="1:72" x14ac:dyDescent="0.15">
      <c r="A779" t="s">
        <v>72</v>
      </c>
      <c r="B779" t="s">
        <v>15041</v>
      </c>
      <c r="C779" t="s">
        <v>74</v>
      </c>
      <c r="D779" t="s">
        <v>74</v>
      </c>
      <c r="E779" t="s">
        <v>74</v>
      </c>
      <c r="F779" t="s">
        <v>15042</v>
      </c>
      <c r="G779" t="s">
        <v>74</v>
      </c>
      <c r="H779" t="s">
        <v>74</v>
      </c>
      <c r="I779" t="s">
        <v>15043</v>
      </c>
      <c r="J779" t="s">
        <v>4496</v>
      </c>
      <c r="K779" t="s">
        <v>74</v>
      </c>
      <c r="L779" t="s">
        <v>74</v>
      </c>
      <c r="M779" t="s">
        <v>78</v>
      </c>
      <c r="N779" t="s">
        <v>79</v>
      </c>
      <c r="O779" t="s">
        <v>74</v>
      </c>
      <c r="P779" t="s">
        <v>74</v>
      </c>
      <c r="Q779" t="s">
        <v>74</v>
      </c>
      <c r="R779" t="s">
        <v>74</v>
      </c>
      <c r="S779" t="s">
        <v>74</v>
      </c>
      <c r="T779" t="s">
        <v>15044</v>
      </c>
      <c r="U779" t="s">
        <v>15045</v>
      </c>
      <c r="V779" t="s">
        <v>15046</v>
      </c>
      <c r="W779" t="s">
        <v>15047</v>
      </c>
      <c r="X779" t="s">
        <v>15048</v>
      </c>
      <c r="Y779" t="s">
        <v>15049</v>
      </c>
      <c r="Z779" t="s">
        <v>15050</v>
      </c>
      <c r="AA779" t="s">
        <v>15051</v>
      </c>
      <c r="AB779" t="s">
        <v>15052</v>
      </c>
      <c r="AC779" t="s">
        <v>15053</v>
      </c>
      <c r="AD779" t="s">
        <v>15054</v>
      </c>
      <c r="AE779" t="s">
        <v>15055</v>
      </c>
      <c r="AF779" t="s">
        <v>74</v>
      </c>
      <c r="AG779">
        <v>62</v>
      </c>
      <c r="AH779">
        <v>31</v>
      </c>
      <c r="AI779">
        <v>32</v>
      </c>
      <c r="AJ779">
        <v>2</v>
      </c>
      <c r="AK779">
        <v>21</v>
      </c>
      <c r="AL779" t="s">
        <v>4034</v>
      </c>
      <c r="AM779" t="s">
        <v>4035</v>
      </c>
      <c r="AN779" t="s">
        <v>4036</v>
      </c>
      <c r="AO779" t="s">
        <v>4507</v>
      </c>
      <c r="AP779" t="s">
        <v>4508</v>
      </c>
      <c r="AQ779" t="s">
        <v>74</v>
      </c>
      <c r="AR779" t="s">
        <v>4509</v>
      </c>
      <c r="AS779" t="s">
        <v>4510</v>
      </c>
      <c r="AT779" t="s">
        <v>14661</v>
      </c>
      <c r="AU779">
        <v>2018</v>
      </c>
      <c r="AV779">
        <v>123</v>
      </c>
      <c r="AW779">
        <v>11</v>
      </c>
      <c r="AX779" t="s">
        <v>74</v>
      </c>
      <c r="AY779" t="s">
        <v>74</v>
      </c>
      <c r="AZ779" t="s">
        <v>74</v>
      </c>
      <c r="BA779" t="s">
        <v>74</v>
      </c>
      <c r="BB779">
        <v>8568</v>
      </c>
      <c r="BC779">
        <v>8580</v>
      </c>
      <c r="BD779" t="s">
        <v>74</v>
      </c>
      <c r="BE779" t="s">
        <v>15056</v>
      </c>
      <c r="BF779" t="str">
        <f>HYPERLINK("http://dx.doi.org/10.1029/2018JC014352","http://dx.doi.org/10.1029/2018JC014352")</f>
        <v>http://dx.doi.org/10.1029/2018JC014352</v>
      </c>
      <c r="BG779" t="s">
        <v>74</v>
      </c>
      <c r="BH779" t="s">
        <v>74</v>
      </c>
      <c r="BI779">
        <v>13</v>
      </c>
      <c r="BJ779" t="s">
        <v>773</v>
      </c>
      <c r="BK779" t="s">
        <v>101</v>
      </c>
      <c r="BL779" t="s">
        <v>773</v>
      </c>
      <c r="BM779" t="s">
        <v>14937</v>
      </c>
      <c r="BN779" t="s">
        <v>74</v>
      </c>
      <c r="BO779" t="s">
        <v>4470</v>
      </c>
      <c r="BP779" t="s">
        <v>74</v>
      </c>
      <c r="BQ779" t="s">
        <v>74</v>
      </c>
      <c r="BR779" t="s">
        <v>104</v>
      </c>
      <c r="BS779" t="s">
        <v>15057</v>
      </c>
      <c r="BT779" t="str">
        <f>HYPERLINK("https%3A%2F%2Fwww.webofscience.com%2Fwos%2Fwoscc%2Ffull-record%2FWOS:000453907000048","View Full Record in Web of Science")</f>
        <v>View Full Record in Web of Science</v>
      </c>
    </row>
    <row r="780" spans="1:72" x14ac:dyDescent="0.15">
      <c r="A780" t="s">
        <v>72</v>
      </c>
      <c r="B780" t="s">
        <v>15058</v>
      </c>
      <c r="C780" t="s">
        <v>74</v>
      </c>
      <c r="D780" t="s">
        <v>74</v>
      </c>
      <c r="E780" t="s">
        <v>74</v>
      </c>
      <c r="F780" t="s">
        <v>15059</v>
      </c>
      <c r="G780" t="s">
        <v>74</v>
      </c>
      <c r="H780" t="s">
        <v>74</v>
      </c>
      <c r="I780" t="s">
        <v>15060</v>
      </c>
      <c r="J780" t="s">
        <v>4496</v>
      </c>
      <c r="K780" t="s">
        <v>74</v>
      </c>
      <c r="L780" t="s">
        <v>74</v>
      </c>
      <c r="M780" t="s">
        <v>78</v>
      </c>
      <c r="N780" t="s">
        <v>79</v>
      </c>
      <c r="O780" t="s">
        <v>74</v>
      </c>
      <c r="P780" t="s">
        <v>74</v>
      </c>
      <c r="Q780" t="s">
        <v>74</v>
      </c>
      <c r="R780" t="s">
        <v>74</v>
      </c>
      <c r="S780" t="s">
        <v>74</v>
      </c>
      <c r="T780" t="s">
        <v>74</v>
      </c>
      <c r="U780" t="s">
        <v>15061</v>
      </c>
      <c r="V780" t="s">
        <v>15062</v>
      </c>
      <c r="W780" t="s">
        <v>15063</v>
      </c>
      <c r="X780" t="s">
        <v>15064</v>
      </c>
      <c r="Y780" t="s">
        <v>15065</v>
      </c>
      <c r="Z780" t="s">
        <v>4522</v>
      </c>
      <c r="AA780" t="s">
        <v>15066</v>
      </c>
      <c r="AB780" t="s">
        <v>15067</v>
      </c>
      <c r="AC780" t="s">
        <v>15068</v>
      </c>
      <c r="AD780" t="s">
        <v>15069</v>
      </c>
      <c r="AE780" t="s">
        <v>15070</v>
      </c>
      <c r="AF780" t="s">
        <v>74</v>
      </c>
      <c r="AG780">
        <v>61</v>
      </c>
      <c r="AH780">
        <v>34</v>
      </c>
      <c r="AI780">
        <v>36</v>
      </c>
      <c r="AJ780">
        <v>0</v>
      </c>
      <c r="AK780">
        <v>12</v>
      </c>
      <c r="AL780" t="s">
        <v>4034</v>
      </c>
      <c r="AM780" t="s">
        <v>4035</v>
      </c>
      <c r="AN780" t="s">
        <v>4036</v>
      </c>
      <c r="AO780" t="s">
        <v>4507</v>
      </c>
      <c r="AP780" t="s">
        <v>4508</v>
      </c>
      <c r="AQ780" t="s">
        <v>74</v>
      </c>
      <c r="AR780" t="s">
        <v>4509</v>
      </c>
      <c r="AS780" t="s">
        <v>4510</v>
      </c>
      <c r="AT780" t="s">
        <v>14661</v>
      </c>
      <c r="AU780">
        <v>2018</v>
      </c>
      <c r="AV780">
        <v>123</v>
      </c>
      <c r="AW780">
        <v>11</v>
      </c>
      <c r="AX780" t="s">
        <v>74</v>
      </c>
      <c r="AY780" t="s">
        <v>74</v>
      </c>
      <c r="AZ780" t="s">
        <v>74</v>
      </c>
      <c r="BA780" t="s">
        <v>74</v>
      </c>
      <c r="BB780">
        <v>8655</v>
      </c>
      <c r="BC780">
        <v>8669</v>
      </c>
      <c r="BD780" t="s">
        <v>74</v>
      </c>
      <c r="BE780" t="s">
        <v>15071</v>
      </c>
      <c r="BF780" t="str">
        <f>HYPERLINK("http://dx.doi.org/10.1029/2018JC014464","http://dx.doi.org/10.1029/2018JC014464")</f>
        <v>http://dx.doi.org/10.1029/2018JC014464</v>
      </c>
      <c r="BG780" t="s">
        <v>74</v>
      </c>
      <c r="BH780" t="s">
        <v>74</v>
      </c>
      <c r="BI780">
        <v>15</v>
      </c>
      <c r="BJ780" t="s">
        <v>773</v>
      </c>
      <c r="BK780" t="s">
        <v>101</v>
      </c>
      <c r="BL780" t="s">
        <v>773</v>
      </c>
      <c r="BM780" t="s">
        <v>14937</v>
      </c>
      <c r="BN780" t="s">
        <v>74</v>
      </c>
      <c r="BO780" t="s">
        <v>9577</v>
      </c>
      <c r="BP780" t="s">
        <v>74</v>
      </c>
      <c r="BQ780" t="s">
        <v>74</v>
      </c>
      <c r="BR780" t="s">
        <v>104</v>
      </c>
      <c r="BS780" t="s">
        <v>15072</v>
      </c>
      <c r="BT780" t="str">
        <f>HYPERLINK("https%3A%2F%2Fwww.webofscience.com%2Fwos%2Fwoscc%2Ffull-record%2FWOS:000453907000053","View Full Record in Web of Science")</f>
        <v>View Full Record in Web of Science</v>
      </c>
    </row>
    <row r="781" spans="1:72" x14ac:dyDescent="0.15">
      <c r="A781" t="s">
        <v>72</v>
      </c>
      <c r="B781" t="s">
        <v>15073</v>
      </c>
      <c r="C781" t="s">
        <v>74</v>
      </c>
      <c r="D781" t="s">
        <v>74</v>
      </c>
      <c r="E781" t="s">
        <v>74</v>
      </c>
      <c r="F781" t="s">
        <v>15074</v>
      </c>
      <c r="G781" t="s">
        <v>74</v>
      </c>
      <c r="H781" t="s">
        <v>74</v>
      </c>
      <c r="I781" t="s">
        <v>15075</v>
      </c>
      <c r="J781" t="s">
        <v>12677</v>
      </c>
      <c r="K781" t="s">
        <v>74</v>
      </c>
      <c r="L781" t="s">
        <v>74</v>
      </c>
      <c r="M781" t="s">
        <v>78</v>
      </c>
      <c r="N781" t="s">
        <v>79</v>
      </c>
      <c r="O781" t="s">
        <v>74</v>
      </c>
      <c r="P781" t="s">
        <v>74</v>
      </c>
      <c r="Q781" t="s">
        <v>74</v>
      </c>
      <c r="R781" t="s">
        <v>74</v>
      </c>
      <c r="S781" t="s">
        <v>74</v>
      </c>
      <c r="T781" t="s">
        <v>74</v>
      </c>
      <c r="U781" t="s">
        <v>15076</v>
      </c>
      <c r="V781" t="s">
        <v>15077</v>
      </c>
      <c r="W781" t="s">
        <v>15078</v>
      </c>
      <c r="X781" t="s">
        <v>15079</v>
      </c>
      <c r="Y781" t="s">
        <v>15080</v>
      </c>
      <c r="Z781" t="s">
        <v>15081</v>
      </c>
      <c r="AA781" t="s">
        <v>15082</v>
      </c>
      <c r="AB781" t="s">
        <v>15083</v>
      </c>
      <c r="AC781" t="s">
        <v>15084</v>
      </c>
      <c r="AD781" t="s">
        <v>15085</v>
      </c>
      <c r="AE781" t="s">
        <v>15086</v>
      </c>
      <c r="AF781" t="s">
        <v>74</v>
      </c>
      <c r="AG781">
        <v>63</v>
      </c>
      <c r="AH781">
        <v>39</v>
      </c>
      <c r="AI781">
        <v>40</v>
      </c>
      <c r="AJ781">
        <v>2</v>
      </c>
      <c r="AK781">
        <v>28</v>
      </c>
      <c r="AL781" t="s">
        <v>3352</v>
      </c>
      <c r="AM781" t="s">
        <v>3353</v>
      </c>
      <c r="AN781" t="s">
        <v>3354</v>
      </c>
      <c r="AO781" t="s">
        <v>12690</v>
      </c>
      <c r="AP781" t="s">
        <v>74</v>
      </c>
      <c r="AQ781" t="s">
        <v>74</v>
      </c>
      <c r="AR781" t="s">
        <v>12691</v>
      </c>
      <c r="AS781" t="s">
        <v>12692</v>
      </c>
      <c r="AT781" t="s">
        <v>14661</v>
      </c>
      <c r="AU781">
        <v>2018</v>
      </c>
      <c r="AV781">
        <v>168</v>
      </c>
      <c r="AW781" t="s">
        <v>74</v>
      </c>
      <c r="AX781" t="s">
        <v>74</v>
      </c>
      <c r="AY781" t="s">
        <v>74</v>
      </c>
      <c r="AZ781" t="s">
        <v>74</v>
      </c>
      <c r="BA781" t="s">
        <v>74</v>
      </c>
      <c r="BB781">
        <v>100</v>
      </c>
      <c r="BC781">
        <v>111</v>
      </c>
      <c r="BD781" t="s">
        <v>74</v>
      </c>
      <c r="BE781" t="s">
        <v>15087</v>
      </c>
      <c r="BF781" t="str">
        <f>HYPERLINK("http://dx.doi.org/10.1016/j.pocean.2018.09.008","http://dx.doi.org/10.1016/j.pocean.2018.09.008")</f>
        <v>http://dx.doi.org/10.1016/j.pocean.2018.09.008</v>
      </c>
      <c r="BG781" t="s">
        <v>74</v>
      </c>
      <c r="BH781" t="s">
        <v>74</v>
      </c>
      <c r="BI781">
        <v>12</v>
      </c>
      <c r="BJ781" t="s">
        <v>773</v>
      </c>
      <c r="BK781" t="s">
        <v>101</v>
      </c>
      <c r="BL781" t="s">
        <v>773</v>
      </c>
      <c r="BM781" t="s">
        <v>15088</v>
      </c>
      <c r="BN781" t="s">
        <v>74</v>
      </c>
      <c r="BO781" t="s">
        <v>3810</v>
      </c>
      <c r="BP781" t="s">
        <v>74</v>
      </c>
      <c r="BQ781" t="s">
        <v>74</v>
      </c>
      <c r="BR781" t="s">
        <v>104</v>
      </c>
      <c r="BS781" t="s">
        <v>15089</v>
      </c>
      <c r="BT781" t="str">
        <f>HYPERLINK("https%3A%2F%2Fwww.webofscience.com%2Fwos%2Fwoscc%2Ffull-record%2FWOS:000452943300009","View Full Record in Web of Science")</f>
        <v>View Full Record in Web of Science</v>
      </c>
    </row>
    <row r="782" spans="1:72" x14ac:dyDescent="0.15">
      <c r="A782" t="s">
        <v>72</v>
      </c>
      <c r="B782" t="s">
        <v>15090</v>
      </c>
      <c r="C782" t="s">
        <v>74</v>
      </c>
      <c r="D782" t="s">
        <v>74</v>
      </c>
      <c r="E782" t="s">
        <v>74</v>
      </c>
      <c r="F782" t="s">
        <v>15091</v>
      </c>
      <c r="G782" t="s">
        <v>74</v>
      </c>
      <c r="H782" t="s">
        <v>74</v>
      </c>
      <c r="I782" t="s">
        <v>15092</v>
      </c>
      <c r="J782" t="s">
        <v>12677</v>
      </c>
      <c r="K782" t="s">
        <v>74</v>
      </c>
      <c r="L782" t="s">
        <v>74</v>
      </c>
      <c r="M782" t="s">
        <v>78</v>
      </c>
      <c r="N782" t="s">
        <v>79</v>
      </c>
      <c r="O782" t="s">
        <v>74</v>
      </c>
      <c r="P782" t="s">
        <v>74</v>
      </c>
      <c r="Q782" t="s">
        <v>74</v>
      </c>
      <c r="R782" t="s">
        <v>74</v>
      </c>
      <c r="S782" t="s">
        <v>74</v>
      </c>
      <c r="T782" t="s">
        <v>15093</v>
      </c>
      <c r="U782" t="s">
        <v>15094</v>
      </c>
      <c r="V782" t="s">
        <v>15095</v>
      </c>
      <c r="W782" t="s">
        <v>15096</v>
      </c>
      <c r="X782" t="s">
        <v>15097</v>
      </c>
      <c r="Y782" t="s">
        <v>15098</v>
      </c>
      <c r="Z782" t="s">
        <v>15099</v>
      </c>
      <c r="AA782" t="s">
        <v>15100</v>
      </c>
      <c r="AB782" t="s">
        <v>15101</v>
      </c>
      <c r="AC782" t="s">
        <v>15102</v>
      </c>
      <c r="AD782" t="s">
        <v>15103</v>
      </c>
      <c r="AE782" t="s">
        <v>15104</v>
      </c>
      <c r="AF782" t="s">
        <v>74</v>
      </c>
      <c r="AG782">
        <v>83</v>
      </c>
      <c r="AH782">
        <v>14</v>
      </c>
      <c r="AI782">
        <v>14</v>
      </c>
      <c r="AJ782">
        <v>2</v>
      </c>
      <c r="AK782">
        <v>47</v>
      </c>
      <c r="AL782" t="s">
        <v>3352</v>
      </c>
      <c r="AM782" t="s">
        <v>3353</v>
      </c>
      <c r="AN782" t="s">
        <v>3354</v>
      </c>
      <c r="AO782" t="s">
        <v>12690</v>
      </c>
      <c r="AP782" t="s">
        <v>74</v>
      </c>
      <c r="AQ782" t="s">
        <v>74</v>
      </c>
      <c r="AR782" t="s">
        <v>12691</v>
      </c>
      <c r="AS782" t="s">
        <v>12692</v>
      </c>
      <c r="AT782" t="s">
        <v>14661</v>
      </c>
      <c r="AU782">
        <v>2018</v>
      </c>
      <c r="AV782">
        <v>168</v>
      </c>
      <c r="AW782" t="s">
        <v>74</v>
      </c>
      <c r="AX782" t="s">
        <v>74</v>
      </c>
      <c r="AY782" t="s">
        <v>74</v>
      </c>
      <c r="AZ782" t="s">
        <v>74</v>
      </c>
      <c r="BA782" t="s">
        <v>74</v>
      </c>
      <c r="BB782">
        <v>123</v>
      </c>
      <c r="BC782">
        <v>144</v>
      </c>
      <c r="BD782" t="s">
        <v>74</v>
      </c>
      <c r="BE782" t="s">
        <v>15105</v>
      </c>
      <c r="BF782" t="str">
        <f>HYPERLINK("http://dx.doi.org/10.1016/j.pocean.2018.09.017","http://dx.doi.org/10.1016/j.pocean.2018.09.017")</f>
        <v>http://dx.doi.org/10.1016/j.pocean.2018.09.017</v>
      </c>
      <c r="BG782" t="s">
        <v>74</v>
      </c>
      <c r="BH782" t="s">
        <v>74</v>
      </c>
      <c r="BI782">
        <v>22</v>
      </c>
      <c r="BJ782" t="s">
        <v>773</v>
      </c>
      <c r="BK782" t="s">
        <v>101</v>
      </c>
      <c r="BL782" t="s">
        <v>773</v>
      </c>
      <c r="BM782" t="s">
        <v>15088</v>
      </c>
      <c r="BN782" t="s">
        <v>74</v>
      </c>
      <c r="BO782" t="s">
        <v>2948</v>
      </c>
      <c r="BP782" t="s">
        <v>74</v>
      </c>
      <c r="BQ782" t="s">
        <v>74</v>
      </c>
      <c r="BR782" t="s">
        <v>104</v>
      </c>
      <c r="BS782" t="s">
        <v>15106</v>
      </c>
      <c r="BT782" t="str">
        <f>HYPERLINK("https%3A%2F%2Fwww.webofscience.com%2Fwos%2Fwoscc%2Ffull-record%2FWOS:000452943300011","View Full Record in Web of Science")</f>
        <v>View Full Record in Web of Science</v>
      </c>
    </row>
    <row r="783" spans="1:72" x14ac:dyDescent="0.15">
      <c r="A783" t="s">
        <v>72</v>
      </c>
      <c r="B783" t="s">
        <v>15107</v>
      </c>
      <c r="C783" t="s">
        <v>74</v>
      </c>
      <c r="D783" t="s">
        <v>74</v>
      </c>
      <c r="E783" t="s">
        <v>74</v>
      </c>
      <c r="F783" t="s">
        <v>15108</v>
      </c>
      <c r="G783" t="s">
        <v>74</v>
      </c>
      <c r="H783" t="s">
        <v>74</v>
      </c>
      <c r="I783" t="s">
        <v>15109</v>
      </c>
      <c r="J783" t="s">
        <v>15110</v>
      </c>
      <c r="K783" t="s">
        <v>74</v>
      </c>
      <c r="L783" t="s">
        <v>74</v>
      </c>
      <c r="M783" t="s">
        <v>78</v>
      </c>
      <c r="N783" t="s">
        <v>79</v>
      </c>
      <c r="O783" t="s">
        <v>74</v>
      </c>
      <c r="P783" t="s">
        <v>74</v>
      </c>
      <c r="Q783" t="s">
        <v>74</v>
      </c>
      <c r="R783" t="s">
        <v>74</v>
      </c>
      <c r="S783" t="s">
        <v>74</v>
      </c>
      <c r="T783" t="s">
        <v>15111</v>
      </c>
      <c r="U783" t="s">
        <v>15112</v>
      </c>
      <c r="V783" t="s">
        <v>15113</v>
      </c>
      <c r="W783" t="s">
        <v>15114</v>
      </c>
      <c r="X783" t="s">
        <v>15115</v>
      </c>
      <c r="Y783" t="s">
        <v>15116</v>
      </c>
      <c r="Z783" t="s">
        <v>15117</v>
      </c>
      <c r="AA783" t="s">
        <v>15118</v>
      </c>
      <c r="AB783" t="s">
        <v>15119</v>
      </c>
      <c r="AC783" t="s">
        <v>15120</v>
      </c>
      <c r="AD783" t="s">
        <v>15121</v>
      </c>
      <c r="AE783" t="s">
        <v>15122</v>
      </c>
      <c r="AF783" t="s">
        <v>74</v>
      </c>
      <c r="AG783">
        <v>39</v>
      </c>
      <c r="AH783">
        <v>8</v>
      </c>
      <c r="AI783">
        <v>9</v>
      </c>
      <c r="AJ783">
        <v>2</v>
      </c>
      <c r="AK783">
        <v>18</v>
      </c>
      <c r="AL783" t="s">
        <v>6114</v>
      </c>
      <c r="AM783" t="s">
        <v>6115</v>
      </c>
      <c r="AN783" t="s">
        <v>6116</v>
      </c>
      <c r="AO783" t="s">
        <v>15123</v>
      </c>
      <c r="AP783" t="s">
        <v>15124</v>
      </c>
      <c r="AQ783" t="s">
        <v>74</v>
      </c>
      <c r="AR783" t="s">
        <v>15125</v>
      </c>
      <c r="AS783" t="s">
        <v>15126</v>
      </c>
      <c r="AT783" t="s">
        <v>14661</v>
      </c>
      <c r="AU783">
        <v>2018</v>
      </c>
      <c r="AV783">
        <v>410</v>
      </c>
      <c r="AW783">
        <v>28</v>
      </c>
      <c r="AX783" t="s">
        <v>74</v>
      </c>
      <c r="AY783" t="s">
        <v>74</v>
      </c>
      <c r="AZ783" t="s">
        <v>74</v>
      </c>
      <c r="BA783" t="s">
        <v>74</v>
      </c>
      <c r="BB783">
        <v>7477</v>
      </c>
      <c r="BC783">
        <v>7488</v>
      </c>
      <c r="BD783" t="s">
        <v>74</v>
      </c>
      <c r="BE783" t="s">
        <v>15127</v>
      </c>
      <c r="BF783" t="str">
        <f>HYPERLINK("http://dx.doi.org/10.1007/s00216-018-1363-5","http://dx.doi.org/10.1007/s00216-018-1363-5")</f>
        <v>http://dx.doi.org/10.1007/s00216-018-1363-5</v>
      </c>
      <c r="BG783" t="s">
        <v>74</v>
      </c>
      <c r="BH783" t="s">
        <v>74</v>
      </c>
      <c r="BI783">
        <v>12</v>
      </c>
      <c r="BJ783" t="s">
        <v>15128</v>
      </c>
      <c r="BK783" t="s">
        <v>101</v>
      </c>
      <c r="BL783" t="s">
        <v>4195</v>
      </c>
      <c r="BM783" t="s">
        <v>15129</v>
      </c>
      <c r="BN783">
        <v>30218122</v>
      </c>
      <c r="BO783" t="s">
        <v>404</v>
      </c>
      <c r="BP783" t="s">
        <v>74</v>
      </c>
      <c r="BQ783" t="s">
        <v>74</v>
      </c>
      <c r="BR783" t="s">
        <v>104</v>
      </c>
      <c r="BS783" t="s">
        <v>15130</v>
      </c>
      <c r="BT783" t="str">
        <f>HYPERLINK("https%3A%2F%2Fwww.webofscience.com%2Fwos%2Fwoscc%2Ffull-record%2FWOS:000447989800021","View Full Record in Web of Science")</f>
        <v>View Full Record in Web of Science</v>
      </c>
    </row>
    <row r="784" spans="1:72" x14ac:dyDescent="0.15">
      <c r="A784" t="s">
        <v>72</v>
      </c>
      <c r="B784" t="s">
        <v>15131</v>
      </c>
      <c r="C784" t="s">
        <v>74</v>
      </c>
      <c r="D784" t="s">
        <v>74</v>
      </c>
      <c r="E784" t="s">
        <v>74</v>
      </c>
      <c r="F784" t="s">
        <v>15132</v>
      </c>
      <c r="G784" t="s">
        <v>74</v>
      </c>
      <c r="H784" t="s">
        <v>74</v>
      </c>
      <c r="I784" t="s">
        <v>15133</v>
      </c>
      <c r="J784" t="s">
        <v>15134</v>
      </c>
      <c r="K784" t="s">
        <v>74</v>
      </c>
      <c r="L784" t="s">
        <v>74</v>
      </c>
      <c r="M784" t="s">
        <v>78</v>
      </c>
      <c r="N784" t="s">
        <v>79</v>
      </c>
      <c r="O784" t="s">
        <v>74</v>
      </c>
      <c r="P784" t="s">
        <v>74</v>
      </c>
      <c r="Q784" t="s">
        <v>74</v>
      </c>
      <c r="R784" t="s">
        <v>74</v>
      </c>
      <c r="S784" t="s">
        <v>74</v>
      </c>
      <c r="T784" t="s">
        <v>15135</v>
      </c>
      <c r="U784" t="s">
        <v>15136</v>
      </c>
      <c r="V784" t="s">
        <v>15137</v>
      </c>
      <c r="W784" t="s">
        <v>15138</v>
      </c>
      <c r="X784" t="s">
        <v>15139</v>
      </c>
      <c r="Y784" t="s">
        <v>15140</v>
      </c>
      <c r="Z784" t="s">
        <v>15141</v>
      </c>
      <c r="AA784" t="s">
        <v>15142</v>
      </c>
      <c r="AB784" t="s">
        <v>15143</v>
      </c>
      <c r="AC784" t="s">
        <v>15144</v>
      </c>
      <c r="AD784" t="s">
        <v>15144</v>
      </c>
      <c r="AE784" t="s">
        <v>15145</v>
      </c>
      <c r="AF784" t="s">
        <v>74</v>
      </c>
      <c r="AG784">
        <v>30</v>
      </c>
      <c r="AH784">
        <v>15</v>
      </c>
      <c r="AI784">
        <v>15</v>
      </c>
      <c r="AJ784">
        <v>3</v>
      </c>
      <c r="AK784">
        <v>7</v>
      </c>
      <c r="AL784" t="s">
        <v>2519</v>
      </c>
      <c r="AM784" t="s">
        <v>2520</v>
      </c>
      <c r="AN784" t="s">
        <v>3313</v>
      </c>
      <c r="AO784" t="s">
        <v>15146</v>
      </c>
      <c r="AP784" t="s">
        <v>74</v>
      </c>
      <c r="AQ784" t="s">
        <v>74</v>
      </c>
      <c r="AR784" t="s">
        <v>15147</v>
      </c>
      <c r="AS784" t="s">
        <v>15148</v>
      </c>
      <c r="AT784" t="s">
        <v>14661</v>
      </c>
      <c r="AU784">
        <v>2018</v>
      </c>
      <c r="AV784">
        <v>12</v>
      </c>
      <c r="AW784" t="s">
        <v>74</v>
      </c>
      <c r="AX784" t="s">
        <v>74</v>
      </c>
      <c r="AY784" t="s">
        <v>74</v>
      </c>
      <c r="AZ784" t="s">
        <v>74</v>
      </c>
      <c r="BA784" t="s">
        <v>74</v>
      </c>
      <c r="BB784">
        <v>30</v>
      </c>
      <c r="BC784">
        <v>35</v>
      </c>
      <c r="BD784" t="s">
        <v>74</v>
      </c>
      <c r="BE784" t="s">
        <v>15149</v>
      </c>
      <c r="BF784" t="str">
        <f>HYPERLINK("http://dx.doi.org/10.1016/j.aqrep.2018.09.004","http://dx.doi.org/10.1016/j.aqrep.2018.09.004")</f>
        <v>http://dx.doi.org/10.1016/j.aqrep.2018.09.004</v>
      </c>
      <c r="BG784" t="s">
        <v>74</v>
      </c>
      <c r="BH784" t="s">
        <v>74</v>
      </c>
      <c r="BI784">
        <v>6</v>
      </c>
      <c r="BJ784" t="s">
        <v>625</v>
      </c>
      <c r="BK784" t="s">
        <v>101</v>
      </c>
      <c r="BL784" t="s">
        <v>625</v>
      </c>
      <c r="BM784" t="s">
        <v>15150</v>
      </c>
      <c r="BN784" t="s">
        <v>74</v>
      </c>
      <c r="BO784" t="s">
        <v>131</v>
      </c>
      <c r="BP784" t="s">
        <v>74</v>
      </c>
      <c r="BQ784" t="s">
        <v>74</v>
      </c>
      <c r="BR784" t="s">
        <v>104</v>
      </c>
      <c r="BS784" t="s">
        <v>15151</v>
      </c>
      <c r="BT784" t="str">
        <f>HYPERLINK("https%3A%2F%2Fwww.webofscience.com%2Fwos%2Fwoscc%2Ffull-record%2FWOS:000452096100006","View Full Record in Web of Science")</f>
        <v>View Full Record in Web of Science</v>
      </c>
    </row>
    <row r="785" spans="1:72" x14ac:dyDescent="0.15">
      <c r="A785" t="s">
        <v>72</v>
      </c>
      <c r="B785" t="s">
        <v>15152</v>
      </c>
      <c r="C785" t="s">
        <v>74</v>
      </c>
      <c r="D785" t="s">
        <v>74</v>
      </c>
      <c r="E785" t="s">
        <v>74</v>
      </c>
      <c r="F785" t="s">
        <v>15153</v>
      </c>
      <c r="G785" t="s">
        <v>74</v>
      </c>
      <c r="H785" t="s">
        <v>74</v>
      </c>
      <c r="I785" t="s">
        <v>15154</v>
      </c>
      <c r="J785" t="s">
        <v>7348</v>
      </c>
      <c r="K785" t="s">
        <v>74</v>
      </c>
      <c r="L785" t="s">
        <v>74</v>
      </c>
      <c r="M785" t="s">
        <v>78</v>
      </c>
      <c r="N785" t="s">
        <v>1003</v>
      </c>
      <c r="O785" t="s">
        <v>74</v>
      </c>
      <c r="P785" t="s">
        <v>74</v>
      </c>
      <c r="Q785" t="s">
        <v>74</v>
      </c>
      <c r="R785" t="s">
        <v>74</v>
      </c>
      <c r="S785" t="s">
        <v>74</v>
      </c>
      <c r="T785" t="s">
        <v>74</v>
      </c>
      <c r="U785" t="s">
        <v>15155</v>
      </c>
      <c r="V785" t="s">
        <v>15156</v>
      </c>
      <c r="W785" t="s">
        <v>15157</v>
      </c>
      <c r="X785" t="s">
        <v>15158</v>
      </c>
      <c r="Y785" t="s">
        <v>15159</v>
      </c>
      <c r="Z785" t="s">
        <v>15160</v>
      </c>
      <c r="AA785" t="s">
        <v>8644</v>
      </c>
      <c r="AB785" t="s">
        <v>15161</v>
      </c>
      <c r="AC785" t="s">
        <v>74</v>
      </c>
      <c r="AD785" t="s">
        <v>74</v>
      </c>
      <c r="AE785" t="s">
        <v>74</v>
      </c>
      <c r="AF785" t="s">
        <v>74</v>
      </c>
      <c r="AG785">
        <v>159</v>
      </c>
      <c r="AH785">
        <v>21</v>
      </c>
      <c r="AI785">
        <v>22</v>
      </c>
      <c r="AJ785">
        <v>7</v>
      </c>
      <c r="AK785">
        <v>146</v>
      </c>
      <c r="AL785" t="s">
        <v>3352</v>
      </c>
      <c r="AM785" t="s">
        <v>3353</v>
      </c>
      <c r="AN785" t="s">
        <v>3354</v>
      </c>
      <c r="AO785" t="s">
        <v>7360</v>
      </c>
      <c r="AP785" t="s">
        <v>7361</v>
      </c>
      <c r="AQ785" t="s">
        <v>74</v>
      </c>
      <c r="AR785" t="s">
        <v>7362</v>
      </c>
      <c r="AS785" t="s">
        <v>7363</v>
      </c>
      <c r="AT785" t="s">
        <v>14661</v>
      </c>
      <c r="AU785">
        <v>2018</v>
      </c>
      <c r="AV785">
        <v>193</v>
      </c>
      <c r="AW785" t="s">
        <v>74</v>
      </c>
      <c r="AX785" t="s">
        <v>74</v>
      </c>
      <c r="AY785" t="s">
        <v>74</v>
      </c>
      <c r="AZ785" t="s">
        <v>74</v>
      </c>
      <c r="BA785" t="s">
        <v>74</v>
      </c>
      <c r="BB785">
        <v>224</v>
      </c>
      <c r="BC785">
        <v>241</v>
      </c>
      <c r="BD785" t="s">
        <v>74</v>
      </c>
      <c r="BE785" t="s">
        <v>15162</v>
      </c>
      <c r="BF785" t="str">
        <f>HYPERLINK("http://dx.doi.org/10.1016/j.atmosenv.2018.09.002","http://dx.doi.org/10.1016/j.atmosenv.2018.09.002")</f>
        <v>http://dx.doi.org/10.1016/j.atmosenv.2018.09.002</v>
      </c>
      <c r="BG785" t="s">
        <v>74</v>
      </c>
      <c r="BH785" t="s">
        <v>74</v>
      </c>
      <c r="BI785">
        <v>18</v>
      </c>
      <c r="BJ785" t="s">
        <v>2635</v>
      </c>
      <c r="BK785" t="s">
        <v>101</v>
      </c>
      <c r="BL785" t="s">
        <v>2636</v>
      </c>
      <c r="BM785" t="s">
        <v>15163</v>
      </c>
      <c r="BN785" t="s">
        <v>74</v>
      </c>
      <c r="BO785" t="s">
        <v>74</v>
      </c>
      <c r="BP785" t="s">
        <v>74</v>
      </c>
      <c r="BQ785" t="s">
        <v>74</v>
      </c>
      <c r="BR785" t="s">
        <v>104</v>
      </c>
      <c r="BS785" t="s">
        <v>15164</v>
      </c>
      <c r="BT785" t="str">
        <f>HYPERLINK("https%3A%2F%2Fwww.webofscience.com%2Fwos%2Fwoscc%2Ffull-record%2FWOS:000448091600023","View Full Record in Web of Science")</f>
        <v>View Full Record in Web of Science</v>
      </c>
    </row>
    <row r="786" spans="1:72" x14ac:dyDescent="0.15">
      <c r="A786" t="s">
        <v>72</v>
      </c>
      <c r="B786" t="s">
        <v>15165</v>
      </c>
      <c r="C786" t="s">
        <v>74</v>
      </c>
      <c r="D786" t="s">
        <v>74</v>
      </c>
      <c r="E786" t="s">
        <v>74</v>
      </c>
      <c r="F786" t="s">
        <v>15166</v>
      </c>
      <c r="G786" t="s">
        <v>74</v>
      </c>
      <c r="H786" t="s">
        <v>74</v>
      </c>
      <c r="I786" t="s">
        <v>15167</v>
      </c>
      <c r="J786" t="s">
        <v>15168</v>
      </c>
      <c r="K786" t="s">
        <v>74</v>
      </c>
      <c r="L786" t="s">
        <v>74</v>
      </c>
      <c r="M786" t="s">
        <v>78</v>
      </c>
      <c r="N786" t="s">
        <v>79</v>
      </c>
      <c r="O786" t="s">
        <v>74</v>
      </c>
      <c r="P786" t="s">
        <v>74</v>
      </c>
      <c r="Q786" t="s">
        <v>74</v>
      </c>
      <c r="R786" t="s">
        <v>74</v>
      </c>
      <c r="S786" t="s">
        <v>74</v>
      </c>
      <c r="T786" t="s">
        <v>74</v>
      </c>
      <c r="U786" t="s">
        <v>15169</v>
      </c>
      <c r="V786" t="s">
        <v>74</v>
      </c>
      <c r="W786" t="s">
        <v>15170</v>
      </c>
      <c r="X786" t="s">
        <v>15171</v>
      </c>
      <c r="Y786" t="s">
        <v>15172</v>
      </c>
      <c r="Z786" t="s">
        <v>74</v>
      </c>
      <c r="AA786" t="s">
        <v>74</v>
      </c>
      <c r="AB786" t="s">
        <v>15173</v>
      </c>
      <c r="AC786" t="s">
        <v>74</v>
      </c>
      <c r="AD786" t="s">
        <v>74</v>
      </c>
      <c r="AE786" t="s">
        <v>74</v>
      </c>
      <c r="AF786" t="s">
        <v>74</v>
      </c>
      <c r="AG786">
        <v>43</v>
      </c>
      <c r="AH786">
        <v>5</v>
      </c>
      <c r="AI786">
        <v>6</v>
      </c>
      <c r="AJ786">
        <v>0</v>
      </c>
      <c r="AK786">
        <v>1</v>
      </c>
      <c r="AL786" t="s">
        <v>15174</v>
      </c>
      <c r="AM786" t="s">
        <v>15175</v>
      </c>
      <c r="AN786" t="s">
        <v>15176</v>
      </c>
      <c r="AO786" t="s">
        <v>15177</v>
      </c>
      <c r="AP786" t="s">
        <v>15178</v>
      </c>
      <c r="AQ786" t="s">
        <v>74</v>
      </c>
      <c r="AR786" t="s">
        <v>15179</v>
      </c>
      <c r="AS786" t="s">
        <v>15180</v>
      </c>
      <c r="AT786" t="s">
        <v>14661</v>
      </c>
      <c r="AU786">
        <v>2018</v>
      </c>
      <c r="AV786" t="s">
        <v>74</v>
      </c>
      <c r="AW786">
        <v>63</v>
      </c>
      <c r="AX786" t="s">
        <v>74</v>
      </c>
      <c r="AY786" t="s">
        <v>74</v>
      </c>
      <c r="AZ786" t="s">
        <v>74</v>
      </c>
      <c r="BA786" t="s">
        <v>74</v>
      </c>
      <c r="BB786">
        <v>99</v>
      </c>
      <c r="BC786">
        <v>115</v>
      </c>
      <c r="BD786" t="s">
        <v>74</v>
      </c>
      <c r="BE786" t="s">
        <v>74</v>
      </c>
      <c r="BF786" t="s">
        <v>74</v>
      </c>
      <c r="BG786" t="s">
        <v>74</v>
      </c>
      <c r="BH786" t="s">
        <v>74</v>
      </c>
      <c r="BI786">
        <v>17</v>
      </c>
      <c r="BJ786" t="s">
        <v>2484</v>
      </c>
      <c r="BK786" t="s">
        <v>349</v>
      </c>
      <c r="BL786" t="s">
        <v>2485</v>
      </c>
      <c r="BM786" t="s">
        <v>15181</v>
      </c>
      <c r="BN786" t="s">
        <v>74</v>
      </c>
      <c r="BO786" t="s">
        <v>74</v>
      </c>
      <c r="BP786" t="s">
        <v>74</v>
      </c>
      <c r="BQ786" t="s">
        <v>74</v>
      </c>
      <c r="BR786" t="s">
        <v>104</v>
      </c>
      <c r="BS786" t="s">
        <v>15182</v>
      </c>
      <c r="BT786" t="str">
        <f>HYPERLINK("https%3A%2F%2Fwww.webofscience.com%2Fwos%2Fwoscc%2Ffull-record%2FWOS:000451889400007","View Full Record in Web of Science")</f>
        <v>View Full Record in Web of Science</v>
      </c>
    </row>
    <row r="787" spans="1:72" x14ac:dyDescent="0.15">
      <c r="A787" t="s">
        <v>72</v>
      </c>
      <c r="B787" t="s">
        <v>15183</v>
      </c>
      <c r="C787" t="s">
        <v>74</v>
      </c>
      <c r="D787" t="s">
        <v>74</v>
      </c>
      <c r="E787" t="s">
        <v>74</v>
      </c>
      <c r="F787" t="s">
        <v>15184</v>
      </c>
      <c r="G787" t="s">
        <v>74</v>
      </c>
      <c r="H787" t="s">
        <v>74</v>
      </c>
      <c r="I787" t="s">
        <v>15185</v>
      </c>
      <c r="J787" t="s">
        <v>15186</v>
      </c>
      <c r="K787" t="s">
        <v>74</v>
      </c>
      <c r="L787" t="s">
        <v>74</v>
      </c>
      <c r="M787" t="s">
        <v>78</v>
      </c>
      <c r="N787" t="s">
        <v>79</v>
      </c>
      <c r="O787" t="s">
        <v>74</v>
      </c>
      <c r="P787" t="s">
        <v>74</v>
      </c>
      <c r="Q787" t="s">
        <v>74</v>
      </c>
      <c r="R787" t="s">
        <v>74</v>
      </c>
      <c r="S787" t="s">
        <v>74</v>
      </c>
      <c r="T787" t="s">
        <v>15187</v>
      </c>
      <c r="U787" t="s">
        <v>15188</v>
      </c>
      <c r="V787" t="s">
        <v>15189</v>
      </c>
      <c r="W787" t="s">
        <v>15190</v>
      </c>
      <c r="X787" t="s">
        <v>15191</v>
      </c>
      <c r="Y787" t="s">
        <v>15192</v>
      </c>
      <c r="Z787" t="s">
        <v>15193</v>
      </c>
      <c r="AA787" t="s">
        <v>15194</v>
      </c>
      <c r="AB787" t="s">
        <v>15195</v>
      </c>
      <c r="AC787" t="s">
        <v>15196</v>
      </c>
      <c r="AD787" t="s">
        <v>15197</v>
      </c>
      <c r="AE787" t="s">
        <v>15198</v>
      </c>
      <c r="AF787" t="s">
        <v>74</v>
      </c>
      <c r="AG787">
        <v>240</v>
      </c>
      <c r="AH787">
        <v>117</v>
      </c>
      <c r="AI787">
        <v>130</v>
      </c>
      <c r="AJ787">
        <v>15</v>
      </c>
      <c r="AK787">
        <v>176</v>
      </c>
      <c r="AL787" t="s">
        <v>3670</v>
      </c>
      <c r="AM787" t="s">
        <v>3671</v>
      </c>
      <c r="AN787" t="s">
        <v>3672</v>
      </c>
      <c r="AO787" t="s">
        <v>15199</v>
      </c>
      <c r="AP787" t="s">
        <v>15200</v>
      </c>
      <c r="AQ787" t="s">
        <v>74</v>
      </c>
      <c r="AR787" t="s">
        <v>15201</v>
      </c>
      <c r="AS787" t="s">
        <v>15202</v>
      </c>
      <c r="AT787" t="s">
        <v>14661</v>
      </c>
      <c r="AU787">
        <v>2018</v>
      </c>
      <c r="AV787">
        <v>93</v>
      </c>
      <c r="AW787">
        <v>4</v>
      </c>
      <c r="AX787" t="s">
        <v>74</v>
      </c>
      <c r="AY787" t="s">
        <v>74</v>
      </c>
      <c r="AZ787" t="s">
        <v>74</v>
      </c>
      <c r="BA787" t="s">
        <v>74</v>
      </c>
      <c r="BB787">
        <v>1891</v>
      </c>
      <c r="BC787">
        <v>1914</v>
      </c>
      <c r="BD787" t="s">
        <v>74</v>
      </c>
      <c r="BE787" t="s">
        <v>15203</v>
      </c>
      <c r="BF787" t="str">
        <f>HYPERLINK("http://dx.doi.org/10.1111/brv.12425","http://dx.doi.org/10.1111/brv.12425")</f>
        <v>http://dx.doi.org/10.1111/brv.12425</v>
      </c>
      <c r="BG787" t="s">
        <v>74</v>
      </c>
      <c r="BH787" t="s">
        <v>74</v>
      </c>
      <c r="BI787">
        <v>24</v>
      </c>
      <c r="BJ787" t="s">
        <v>598</v>
      </c>
      <c r="BK787" t="s">
        <v>101</v>
      </c>
      <c r="BL787" t="s">
        <v>599</v>
      </c>
      <c r="BM787" t="s">
        <v>15204</v>
      </c>
      <c r="BN787">
        <v>29749114</v>
      </c>
      <c r="BO787" t="s">
        <v>404</v>
      </c>
      <c r="BP787" t="s">
        <v>74</v>
      </c>
      <c r="BQ787" t="s">
        <v>74</v>
      </c>
      <c r="BR787" t="s">
        <v>104</v>
      </c>
      <c r="BS787" t="s">
        <v>15205</v>
      </c>
      <c r="BT787" t="str">
        <f>HYPERLINK("https%3A%2F%2Fwww.webofscience.com%2Fwos%2Fwoscc%2Ffull-record%2FWOS:000446427600010","View Full Record in Web of Science")</f>
        <v>View Full Record in Web of Science</v>
      </c>
    </row>
    <row r="788" spans="1:72" x14ac:dyDescent="0.15">
      <c r="A788" t="s">
        <v>72</v>
      </c>
      <c r="B788" t="s">
        <v>15206</v>
      </c>
      <c r="C788" t="s">
        <v>74</v>
      </c>
      <c r="D788" t="s">
        <v>74</v>
      </c>
      <c r="E788" t="s">
        <v>74</v>
      </c>
      <c r="F788" t="s">
        <v>15207</v>
      </c>
      <c r="G788" t="s">
        <v>74</v>
      </c>
      <c r="H788" t="s">
        <v>74</v>
      </c>
      <c r="I788" t="s">
        <v>15208</v>
      </c>
      <c r="J788" t="s">
        <v>15209</v>
      </c>
      <c r="K788" t="s">
        <v>74</v>
      </c>
      <c r="L788" t="s">
        <v>74</v>
      </c>
      <c r="M788" t="s">
        <v>78</v>
      </c>
      <c r="N788" t="s">
        <v>79</v>
      </c>
      <c r="O788" t="s">
        <v>74</v>
      </c>
      <c r="P788" t="s">
        <v>74</v>
      </c>
      <c r="Q788" t="s">
        <v>74</v>
      </c>
      <c r="R788" t="s">
        <v>74</v>
      </c>
      <c r="S788" t="s">
        <v>74</v>
      </c>
      <c r="T788" t="s">
        <v>15210</v>
      </c>
      <c r="U788" t="s">
        <v>15211</v>
      </c>
      <c r="V788" t="s">
        <v>15212</v>
      </c>
      <c r="W788" t="s">
        <v>15213</v>
      </c>
      <c r="X788" t="s">
        <v>15214</v>
      </c>
      <c r="Y788" t="s">
        <v>15215</v>
      </c>
      <c r="Z788" t="s">
        <v>15216</v>
      </c>
      <c r="AA788" t="s">
        <v>15217</v>
      </c>
      <c r="AB788" t="s">
        <v>15218</v>
      </c>
      <c r="AC788" t="s">
        <v>15219</v>
      </c>
      <c r="AD788" t="s">
        <v>15220</v>
      </c>
      <c r="AE788" t="s">
        <v>15221</v>
      </c>
      <c r="AF788" t="s">
        <v>74</v>
      </c>
      <c r="AG788">
        <v>44</v>
      </c>
      <c r="AH788">
        <v>11</v>
      </c>
      <c r="AI788">
        <v>11</v>
      </c>
      <c r="AJ788">
        <v>4</v>
      </c>
      <c r="AK788">
        <v>13</v>
      </c>
      <c r="AL788" t="s">
        <v>15222</v>
      </c>
      <c r="AM788" t="s">
        <v>15223</v>
      </c>
      <c r="AN788" t="s">
        <v>15224</v>
      </c>
      <c r="AO788" t="s">
        <v>15225</v>
      </c>
      <c r="AP788" t="s">
        <v>15226</v>
      </c>
      <c r="AQ788" t="s">
        <v>74</v>
      </c>
      <c r="AR788" t="s">
        <v>15227</v>
      </c>
      <c r="AS788" t="s">
        <v>15228</v>
      </c>
      <c r="AT788" t="s">
        <v>14661</v>
      </c>
      <c r="AU788">
        <v>2018</v>
      </c>
      <c r="AV788">
        <v>96</v>
      </c>
      <c r="AW788">
        <v>11</v>
      </c>
      <c r="AX788" t="s">
        <v>74</v>
      </c>
      <c r="AY788" t="s">
        <v>74</v>
      </c>
      <c r="AZ788" t="s">
        <v>74</v>
      </c>
      <c r="BA788" t="s">
        <v>74</v>
      </c>
      <c r="BB788">
        <v>1203</v>
      </c>
      <c r="BC788">
        <v>1213</v>
      </c>
      <c r="BD788" t="s">
        <v>74</v>
      </c>
      <c r="BE788" t="s">
        <v>15229</v>
      </c>
      <c r="BF788" t="str">
        <f>HYPERLINK("http://dx.doi.org/10.1139/cjz-2017-0353","http://dx.doi.org/10.1139/cjz-2017-0353")</f>
        <v>http://dx.doi.org/10.1139/cjz-2017-0353</v>
      </c>
      <c r="BG788" t="s">
        <v>74</v>
      </c>
      <c r="BH788" t="s">
        <v>74</v>
      </c>
      <c r="BI788">
        <v>11</v>
      </c>
      <c r="BJ788" t="s">
        <v>3516</v>
      </c>
      <c r="BK788" t="s">
        <v>101</v>
      </c>
      <c r="BL788" t="s">
        <v>3516</v>
      </c>
      <c r="BM788" t="s">
        <v>15230</v>
      </c>
      <c r="BN788" t="s">
        <v>74</v>
      </c>
      <c r="BO788" t="s">
        <v>8789</v>
      </c>
      <c r="BP788" t="s">
        <v>74</v>
      </c>
      <c r="BQ788" t="s">
        <v>74</v>
      </c>
      <c r="BR788" t="s">
        <v>104</v>
      </c>
      <c r="BS788" t="s">
        <v>15231</v>
      </c>
      <c r="BT788" t="str">
        <f>HYPERLINK("https%3A%2F%2Fwww.webofscience.com%2Fwos%2Fwoscc%2Ffull-record%2FWOS:000449749800003","View Full Record in Web of Science")</f>
        <v>View Full Record in Web of Science</v>
      </c>
    </row>
    <row r="789" spans="1:72" x14ac:dyDescent="0.15">
      <c r="A789" t="s">
        <v>72</v>
      </c>
      <c r="B789" t="s">
        <v>15232</v>
      </c>
      <c r="C789" t="s">
        <v>74</v>
      </c>
      <c r="D789" t="s">
        <v>74</v>
      </c>
      <c r="E789" t="s">
        <v>74</v>
      </c>
      <c r="F789" t="s">
        <v>15233</v>
      </c>
      <c r="G789" t="s">
        <v>74</v>
      </c>
      <c r="H789" t="s">
        <v>74</v>
      </c>
      <c r="I789" t="s">
        <v>15234</v>
      </c>
      <c r="J789" t="s">
        <v>3873</v>
      </c>
      <c r="K789" t="s">
        <v>74</v>
      </c>
      <c r="L789" t="s">
        <v>74</v>
      </c>
      <c r="M789" t="s">
        <v>78</v>
      </c>
      <c r="N789" t="s">
        <v>79</v>
      </c>
      <c r="O789" t="s">
        <v>74</v>
      </c>
      <c r="P789" t="s">
        <v>74</v>
      </c>
      <c r="Q789" t="s">
        <v>74</v>
      </c>
      <c r="R789" t="s">
        <v>74</v>
      </c>
      <c r="S789" t="s">
        <v>74</v>
      </c>
      <c r="T789" t="s">
        <v>15235</v>
      </c>
      <c r="U789" t="s">
        <v>15236</v>
      </c>
      <c r="V789" t="s">
        <v>15237</v>
      </c>
      <c r="W789" t="s">
        <v>15238</v>
      </c>
      <c r="X789" t="s">
        <v>15239</v>
      </c>
      <c r="Y789" t="s">
        <v>15240</v>
      </c>
      <c r="Z789" t="s">
        <v>15241</v>
      </c>
      <c r="AA789" t="s">
        <v>15242</v>
      </c>
      <c r="AB789" t="s">
        <v>15243</v>
      </c>
      <c r="AC789" t="s">
        <v>15244</v>
      </c>
      <c r="AD789" t="s">
        <v>15245</v>
      </c>
      <c r="AE789" t="s">
        <v>15246</v>
      </c>
      <c r="AF789" t="s">
        <v>74</v>
      </c>
      <c r="AG789">
        <v>78</v>
      </c>
      <c r="AH789">
        <v>11</v>
      </c>
      <c r="AI789">
        <v>11</v>
      </c>
      <c r="AJ789">
        <v>2</v>
      </c>
      <c r="AK789">
        <v>30</v>
      </c>
      <c r="AL789" t="s">
        <v>1079</v>
      </c>
      <c r="AM789" t="s">
        <v>1080</v>
      </c>
      <c r="AN789" t="s">
        <v>1081</v>
      </c>
      <c r="AO789" t="s">
        <v>3886</v>
      </c>
      <c r="AP789" t="s">
        <v>3887</v>
      </c>
      <c r="AQ789" t="s">
        <v>74</v>
      </c>
      <c r="AR789" t="s">
        <v>3888</v>
      </c>
      <c r="AS789" t="s">
        <v>3889</v>
      </c>
      <c r="AT789" t="s">
        <v>14661</v>
      </c>
      <c r="AU789">
        <v>2018</v>
      </c>
      <c r="AV789">
        <v>51</v>
      </c>
      <c r="AW789" t="s">
        <v>15247</v>
      </c>
      <c r="AX789" t="s">
        <v>74</v>
      </c>
      <c r="AY789" t="s">
        <v>74</v>
      </c>
      <c r="AZ789" t="s">
        <v>74</v>
      </c>
      <c r="BA789" t="s">
        <v>74</v>
      </c>
      <c r="BB789">
        <v>3579</v>
      </c>
      <c r="BC789">
        <v>3596</v>
      </c>
      <c r="BD789" t="s">
        <v>74</v>
      </c>
      <c r="BE789" t="s">
        <v>15248</v>
      </c>
      <c r="BF789" t="str">
        <f>HYPERLINK("http://dx.doi.org/10.1007/s00382-018-4097-3","http://dx.doi.org/10.1007/s00382-018-4097-3")</f>
        <v>http://dx.doi.org/10.1007/s00382-018-4097-3</v>
      </c>
      <c r="BG789" t="s">
        <v>74</v>
      </c>
      <c r="BH789" t="s">
        <v>74</v>
      </c>
      <c r="BI789">
        <v>18</v>
      </c>
      <c r="BJ789" t="s">
        <v>3037</v>
      </c>
      <c r="BK789" t="s">
        <v>101</v>
      </c>
      <c r="BL789" t="s">
        <v>3037</v>
      </c>
      <c r="BM789" t="s">
        <v>15249</v>
      </c>
      <c r="BN789" t="s">
        <v>74</v>
      </c>
      <c r="BO789" t="s">
        <v>74</v>
      </c>
      <c r="BP789" t="s">
        <v>74</v>
      </c>
      <c r="BQ789" t="s">
        <v>74</v>
      </c>
      <c r="BR789" t="s">
        <v>104</v>
      </c>
      <c r="BS789" t="s">
        <v>15250</v>
      </c>
      <c r="BT789" t="str">
        <f>HYPERLINK("https%3A%2F%2Fwww.webofscience.com%2Fwos%2Fwoscc%2Ffull-record%2FWOS:000447366100023","View Full Record in Web of Science")</f>
        <v>View Full Record in Web of Science</v>
      </c>
    </row>
    <row r="790" spans="1:72" x14ac:dyDescent="0.15">
      <c r="A790" t="s">
        <v>72</v>
      </c>
      <c r="B790" t="s">
        <v>15251</v>
      </c>
      <c r="C790" t="s">
        <v>74</v>
      </c>
      <c r="D790" t="s">
        <v>74</v>
      </c>
      <c r="E790" t="s">
        <v>74</v>
      </c>
      <c r="F790" t="s">
        <v>15252</v>
      </c>
      <c r="G790" t="s">
        <v>74</v>
      </c>
      <c r="H790" t="s">
        <v>74</v>
      </c>
      <c r="I790" t="s">
        <v>15253</v>
      </c>
      <c r="J790" t="s">
        <v>3873</v>
      </c>
      <c r="K790" t="s">
        <v>74</v>
      </c>
      <c r="L790" t="s">
        <v>74</v>
      </c>
      <c r="M790" t="s">
        <v>78</v>
      </c>
      <c r="N790" t="s">
        <v>79</v>
      </c>
      <c r="O790" t="s">
        <v>74</v>
      </c>
      <c r="P790" t="s">
        <v>74</v>
      </c>
      <c r="Q790" t="s">
        <v>74</v>
      </c>
      <c r="R790" t="s">
        <v>74</v>
      </c>
      <c r="S790" t="s">
        <v>74</v>
      </c>
      <c r="T790" t="s">
        <v>15254</v>
      </c>
      <c r="U790" t="s">
        <v>15255</v>
      </c>
      <c r="V790" t="s">
        <v>15256</v>
      </c>
      <c r="W790" t="s">
        <v>15257</v>
      </c>
      <c r="X790" t="s">
        <v>15258</v>
      </c>
      <c r="Y790" t="s">
        <v>15259</v>
      </c>
      <c r="Z790" t="s">
        <v>15260</v>
      </c>
      <c r="AA790" t="s">
        <v>15261</v>
      </c>
      <c r="AB790" t="s">
        <v>15262</v>
      </c>
      <c r="AC790" t="s">
        <v>15263</v>
      </c>
      <c r="AD790" t="s">
        <v>15264</v>
      </c>
      <c r="AE790" t="s">
        <v>15265</v>
      </c>
      <c r="AF790" t="s">
        <v>74</v>
      </c>
      <c r="AG790">
        <v>62</v>
      </c>
      <c r="AH790">
        <v>1</v>
      </c>
      <c r="AI790">
        <v>1</v>
      </c>
      <c r="AJ790">
        <v>3</v>
      </c>
      <c r="AK790">
        <v>31</v>
      </c>
      <c r="AL790" t="s">
        <v>1079</v>
      </c>
      <c r="AM790" t="s">
        <v>1080</v>
      </c>
      <c r="AN790" t="s">
        <v>1081</v>
      </c>
      <c r="AO790" t="s">
        <v>3886</v>
      </c>
      <c r="AP790" t="s">
        <v>3887</v>
      </c>
      <c r="AQ790" t="s">
        <v>74</v>
      </c>
      <c r="AR790" t="s">
        <v>3888</v>
      </c>
      <c r="AS790" t="s">
        <v>3889</v>
      </c>
      <c r="AT790" t="s">
        <v>14661</v>
      </c>
      <c r="AU790">
        <v>2018</v>
      </c>
      <c r="AV790">
        <v>51</v>
      </c>
      <c r="AW790" t="s">
        <v>15247</v>
      </c>
      <c r="AX790" t="s">
        <v>74</v>
      </c>
      <c r="AY790" t="s">
        <v>74</v>
      </c>
      <c r="AZ790" t="s">
        <v>74</v>
      </c>
      <c r="BA790" t="s">
        <v>74</v>
      </c>
      <c r="BB790">
        <v>3943</v>
      </c>
      <c r="BC790">
        <v>3955</v>
      </c>
      <c r="BD790" t="s">
        <v>74</v>
      </c>
      <c r="BE790" t="s">
        <v>15266</v>
      </c>
      <c r="BF790" t="str">
        <f>HYPERLINK("http://dx.doi.org/10.1007/s00382-018-4121-7","http://dx.doi.org/10.1007/s00382-018-4121-7")</f>
        <v>http://dx.doi.org/10.1007/s00382-018-4121-7</v>
      </c>
      <c r="BG790" t="s">
        <v>74</v>
      </c>
      <c r="BH790" t="s">
        <v>74</v>
      </c>
      <c r="BI790">
        <v>13</v>
      </c>
      <c r="BJ790" t="s">
        <v>3037</v>
      </c>
      <c r="BK790" t="s">
        <v>101</v>
      </c>
      <c r="BL790" t="s">
        <v>3037</v>
      </c>
      <c r="BM790" t="s">
        <v>15249</v>
      </c>
      <c r="BN790" t="s">
        <v>74</v>
      </c>
      <c r="BO790" t="s">
        <v>74</v>
      </c>
      <c r="BP790" t="s">
        <v>74</v>
      </c>
      <c r="BQ790" t="s">
        <v>74</v>
      </c>
      <c r="BR790" t="s">
        <v>104</v>
      </c>
      <c r="BS790" t="s">
        <v>15267</v>
      </c>
      <c r="BT790" t="str">
        <f>HYPERLINK("https%3A%2F%2Fwww.webofscience.com%2Fwos%2Fwoscc%2Ffull-record%2FWOS:000447366100044","View Full Record in Web of Science")</f>
        <v>View Full Record in Web of Science</v>
      </c>
    </row>
    <row r="791" spans="1:72" x14ac:dyDescent="0.15">
      <c r="A791" t="s">
        <v>72</v>
      </c>
      <c r="B791" t="s">
        <v>15268</v>
      </c>
      <c r="C791" t="s">
        <v>74</v>
      </c>
      <c r="D791" t="s">
        <v>74</v>
      </c>
      <c r="E791" t="s">
        <v>74</v>
      </c>
      <c r="F791" t="s">
        <v>15269</v>
      </c>
      <c r="G791" t="s">
        <v>74</v>
      </c>
      <c r="H791" t="s">
        <v>74</v>
      </c>
      <c r="I791" t="s">
        <v>15270</v>
      </c>
      <c r="J791" t="s">
        <v>15271</v>
      </c>
      <c r="K791" t="s">
        <v>74</v>
      </c>
      <c r="L791" t="s">
        <v>74</v>
      </c>
      <c r="M791" t="s">
        <v>78</v>
      </c>
      <c r="N791" t="s">
        <v>79</v>
      </c>
      <c r="O791" t="s">
        <v>74</v>
      </c>
      <c r="P791" t="s">
        <v>74</v>
      </c>
      <c r="Q791" t="s">
        <v>74</v>
      </c>
      <c r="R791" t="s">
        <v>74</v>
      </c>
      <c r="S791" t="s">
        <v>74</v>
      </c>
      <c r="T791" t="s">
        <v>15272</v>
      </c>
      <c r="U791" t="s">
        <v>15273</v>
      </c>
      <c r="V791" t="s">
        <v>15274</v>
      </c>
      <c r="W791" t="s">
        <v>15275</v>
      </c>
      <c r="X791" t="s">
        <v>3858</v>
      </c>
      <c r="Y791" t="s">
        <v>15276</v>
      </c>
      <c r="Z791" t="s">
        <v>15277</v>
      </c>
      <c r="AA791" t="s">
        <v>15278</v>
      </c>
      <c r="AB791" t="s">
        <v>15279</v>
      </c>
      <c r="AC791" t="s">
        <v>15280</v>
      </c>
      <c r="AD791" t="s">
        <v>15281</v>
      </c>
      <c r="AE791" t="s">
        <v>15282</v>
      </c>
      <c r="AF791" t="s">
        <v>74</v>
      </c>
      <c r="AG791">
        <v>61</v>
      </c>
      <c r="AH791">
        <v>5</v>
      </c>
      <c r="AI791">
        <v>5</v>
      </c>
      <c r="AJ791">
        <v>2</v>
      </c>
      <c r="AK791">
        <v>25</v>
      </c>
      <c r="AL791" t="s">
        <v>5392</v>
      </c>
      <c r="AM791" t="s">
        <v>5393</v>
      </c>
      <c r="AN791" t="s">
        <v>5394</v>
      </c>
      <c r="AO791" t="s">
        <v>15283</v>
      </c>
      <c r="AP791" t="s">
        <v>15284</v>
      </c>
      <c r="AQ791" t="s">
        <v>74</v>
      </c>
      <c r="AR791" t="s">
        <v>15285</v>
      </c>
      <c r="AS791" t="s">
        <v>15286</v>
      </c>
      <c r="AT791" t="s">
        <v>14661</v>
      </c>
      <c r="AU791">
        <v>2018</v>
      </c>
      <c r="AV791">
        <v>350</v>
      </c>
      <c r="AW791">
        <v>7</v>
      </c>
      <c r="AX791" t="s">
        <v>74</v>
      </c>
      <c r="AY791" t="s">
        <v>74</v>
      </c>
      <c r="AZ791" t="s">
        <v>74</v>
      </c>
      <c r="BA791" t="s">
        <v>74</v>
      </c>
      <c r="BB791">
        <v>376</v>
      </c>
      <c r="BC791">
        <v>383</v>
      </c>
      <c r="BD791" t="s">
        <v>74</v>
      </c>
      <c r="BE791" t="s">
        <v>15287</v>
      </c>
      <c r="BF791" t="str">
        <f>HYPERLINK("http://dx.doi.org/10.1016/j.crte.2018.06.014","http://dx.doi.org/10.1016/j.crte.2018.06.014")</f>
        <v>http://dx.doi.org/10.1016/j.crte.2018.06.014</v>
      </c>
      <c r="BG791" t="s">
        <v>74</v>
      </c>
      <c r="BH791" t="s">
        <v>74</v>
      </c>
      <c r="BI791">
        <v>8</v>
      </c>
      <c r="BJ791" t="s">
        <v>884</v>
      </c>
      <c r="BK791" t="s">
        <v>101</v>
      </c>
      <c r="BL791" t="s">
        <v>528</v>
      </c>
      <c r="BM791" t="s">
        <v>15288</v>
      </c>
      <c r="BN791" t="s">
        <v>74</v>
      </c>
      <c r="BO791" t="s">
        <v>1089</v>
      </c>
      <c r="BP791" t="s">
        <v>74</v>
      </c>
      <c r="BQ791" t="s">
        <v>74</v>
      </c>
      <c r="BR791" t="s">
        <v>104</v>
      </c>
      <c r="BS791" t="s">
        <v>15289</v>
      </c>
      <c r="BT791" t="str">
        <f>HYPERLINK("https%3A%2F%2Fwww.webofscience.com%2Fwos%2Fwoscc%2Ffull-record%2FWOS:000450932300007","View Full Record in Web of Science")</f>
        <v>View Full Record in Web of Science</v>
      </c>
    </row>
    <row r="792" spans="1:72" x14ac:dyDescent="0.15">
      <c r="A792" t="s">
        <v>72</v>
      </c>
      <c r="B792" t="s">
        <v>15290</v>
      </c>
      <c r="C792" t="s">
        <v>74</v>
      </c>
      <c r="D792" t="s">
        <v>74</v>
      </c>
      <c r="E792" t="s">
        <v>74</v>
      </c>
      <c r="F792" t="s">
        <v>15291</v>
      </c>
      <c r="G792" t="s">
        <v>74</v>
      </c>
      <c r="H792" t="s">
        <v>74</v>
      </c>
      <c r="I792" t="s">
        <v>15292</v>
      </c>
      <c r="J792" t="s">
        <v>15271</v>
      </c>
      <c r="K792" t="s">
        <v>74</v>
      </c>
      <c r="L792" t="s">
        <v>74</v>
      </c>
      <c r="M792" t="s">
        <v>78</v>
      </c>
      <c r="N792" t="s">
        <v>79</v>
      </c>
      <c r="O792" t="s">
        <v>74</v>
      </c>
      <c r="P792" t="s">
        <v>74</v>
      </c>
      <c r="Q792" t="s">
        <v>74</v>
      </c>
      <c r="R792" t="s">
        <v>74</v>
      </c>
      <c r="S792" t="s">
        <v>74</v>
      </c>
      <c r="T792" t="s">
        <v>15293</v>
      </c>
      <c r="U792" t="s">
        <v>15294</v>
      </c>
      <c r="V792" t="s">
        <v>15295</v>
      </c>
      <c r="W792" t="s">
        <v>15296</v>
      </c>
      <c r="X792" t="s">
        <v>15297</v>
      </c>
      <c r="Y792" t="s">
        <v>15298</v>
      </c>
      <c r="Z792" t="s">
        <v>15299</v>
      </c>
      <c r="AA792" t="s">
        <v>74</v>
      </c>
      <c r="AB792" t="s">
        <v>74</v>
      </c>
      <c r="AC792" t="s">
        <v>15300</v>
      </c>
      <c r="AD792" t="s">
        <v>2314</v>
      </c>
      <c r="AE792" t="s">
        <v>15301</v>
      </c>
      <c r="AF792" t="s">
        <v>74</v>
      </c>
      <c r="AG792">
        <v>19</v>
      </c>
      <c r="AH792">
        <v>10</v>
      </c>
      <c r="AI792">
        <v>10</v>
      </c>
      <c r="AJ792">
        <v>3</v>
      </c>
      <c r="AK792">
        <v>43</v>
      </c>
      <c r="AL792" t="s">
        <v>15302</v>
      </c>
      <c r="AM792" t="s">
        <v>15303</v>
      </c>
      <c r="AN792" t="s">
        <v>15304</v>
      </c>
      <c r="AO792" t="s">
        <v>15283</v>
      </c>
      <c r="AP792" t="s">
        <v>15284</v>
      </c>
      <c r="AQ792" t="s">
        <v>74</v>
      </c>
      <c r="AR792" t="s">
        <v>15285</v>
      </c>
      <c r="AS792" t="s">
        <v>15286</v>
      </c>
      <c r="AT792" t="s">
        <v>14661</v>
      </c>
      <c r="AU792">
        <v>2018</v>
      </c>
      <c r="AV792">
        <v>350</v>
      </c>
      <c r="AW792">
        <v>7</v>
      </c>
      <c r="AX792" t="s">
        <v>74</v>
      </c>
      <c r="AY792" t="s">
        <v>74</v>
      </c>
      <c r="AZ792" t="s">
        <v>74</v>
      </c>
      <c r="BA792" t="s">
        <v>74</v>
      </c>
      <c r="BB792">
        <v>403</v>
      </c>
      <c r="BC792">
        <v>409</v>
      </c>
      <c r="BD792" t="s">
        <v>74</v>
      </c>
      <c r="BE792" t="s">
        <v>15305</v>
      </c>
      <c r="BF792" t="str">
        <f>HYPERLINK("http://dx.doi.org/10.1016/j.crte.2018.06.015","http://dx.doi.org/10.1016/j.crte.2018.06.015")</f>
        <v>http://dx.doi.org/10.1016/j.crte.2018.06.015</v>
      </c>
      <c r="BG792" t="s">
        <v>74</v>
      </c>
      <c r="BH792" t="s">
        <v>74</v>
      </c>
      <c r="BI792">
        <v>7</v>
      </c>
      <c r="BJ792" t="s">
        <v>884</v>
      </c>
      <c r="BK792" t="s">
        <v>101</v>
      </c>
      <c r="BL792" t="s">
        <v>528</v>
      </c>
      <c r="BM792" t="s">
        <v>15288</v>
      </c>
      <c r="BN792" t="s">
        <v>74</v>
      </c>
      <c r="BO792" t="s">
        <v>1089</v>
      </c>
      <c r="BP792" t="s">
        <v>74</v>
      </c>
      <c r="BQ792" t="s">
        <v>74</v>
      </c>
      <c r="BR792" t="s">
        <v>104</v>
      </c>
      <c r="BS792" t="s">
        <v>15306</v>
      </c>
      <c r="BT792" t="str">
        <f>HYPERLINK("https%3A%2F%2Fwww.webofscience.com%2Fwos%2Fwoscc%2Ffull-record%2FWOS:000450932300010","View Full Record in Web of Science")</f>
        <v>View Full Record in Web of Science</v>
      </c>
    </row>
    <row r="793" spans="1:72" x14ac:dyDescent="0.15">
      <c r="A793" t="s">
        <v>72</v>
      </c>
      <c r="B793" t="s">
        <v>15307</v>
      </c>
      <c r="C793" t="s">
        <v>74</v>
      </c>
      <c r="D793" t="s">
        <v>74</v>
      </c>
      <c r="E793" t="s">
        <v>74</v>
      </c>
      <c r="F793" t="s">
        <v>15308</v>
      </c>
      <c r="G793" t="s">
        <v>74</v>
      </c>
      <c r="H793" t="s">
        <v>74</v>
      </c>
      <c r="I793" t="s">
        <v>15309</v>
      </c>
      <c r="J793" t="s">
        <v>15310</v>
      </c>
      <c r="K793" t="s">
        <v>74</v>
      </c>
      <c r="L793" t="s">
        <v>74</v>
      </c>
      <c r="M793" t="s">
        <v>78</v>
      </c>
      <c r="N793" t="s">
        <v>79</v>
      </c>
      <c r="O793" t="s">
        <v>74</v>
      </c>
      <c r="P793" t="s">
        <v>74</v>
      </c>
      <c r="Q793" t="s">
        <v>74</v>
      </c>
      <c r="R793" t="s">
        <v>74</v>
      </c>
      <c r="S793" t="s">
        <v>74</v>
      </c>
      <c r="T793" t="s">
        <v>15311</v>
      </c>
      <c r="U793" t="s">
        <v>15312</v>
      </c>
      <c r="V793" t="s">
        <v>15313</v>
      </c>
      <c r="W793" t="s">
        <v>15314</v>
      </c>
      <c r="X793" t="s">
        <v>15315</v>
      </c>
      <c r="Y793" t="s">
        <v>15316</v>
      </c>
      <c r="Z793" t="s">
        <v>15317</v>
      </c>
      <c r="AA793" t="s">
        <v>15318</v>
      </c>
      <c r="AB793" t="s">
        <v>15319</v>
      </c>
      <c r="AC793" t="s">
        <v>15320</v>
      </c>
      <c r="AD793" t="s">
        <v>15321</v>
      </c>
      <c r="AE793" t="s">
        <v>15322</v>
      </c>
      <c r="AF793" t="s">
        <v>74</v>
      </c>
      <c r="AG793">
        <v>64</v>
      </c>
      <c r="AH793">
        <v>11</v>
      </c>
      <c r="AI793">
        <v>12</v>
      </c>
      <c r="AJ793">
        <v>0</v>
      </c>
      <c r="AK793">
        <v>6</v>
      </c>
      <c r="AL793" t="s">
        <v>15323</v>
      </c>
      <c r="AM793" t="s">
        <v>15324</v>
      </c>
      <c r="AN793" t="s">
        <v>15325</v>
      </c>
      <c r="AO793" t="s">
        <v>15326</v>
      </c>
      <c r="AP793" t="s">
        <v>15327</v>
      </c>
      <c r="AQ793" t="s">
        <v>74</v>
      </c>
      <c r="AR793" t="s">
        <v>15328</v>
      </c>
      <c r="AS793" t="s">
        <v>15329</v>
      </c>
      <c r="AT793" t="s">
        <v>14661</v>
      </c>
      <c r="AU793">
        <v>2018</v>
      </c>
      <c r="AV793">
        <v>39</v>
      </c>
      <c r="AW793">
        <v>4</v>
      </c>
      <c r="AX793" t="s">
        <v>74</v>
      </c>
      <c r="AY793" t="s">
        <v>74</v>
      </c>
      <c r="AZ793" t="s">
        <v>74</v>
      </c>
      <c r="BA793" t="s">
        <v>74</v>
      </c>
      <c r="BB793">
        <v>409</v>
      </c>
      <c r="BC793">
        <v>429</v>
      </c>
      <c r="BD793" t="s">
        <v>74</v>
      </c>
      <c r="BE793" t="s">
        <v>15330</v>
      </c>
      <c r="BF793" t="str">
        <f>HYPERLINK("http://dx.doi.org/10.7872/crya/v39.iss4.2018.409","http://dx.doi.org/10.7872/crya/v39.iss4.2018.409")</f>
        <v>http://dx.doi.org/10.7872/crya/v39.iss4.2018.409</v>
      </c>
      <c r="BG793" t="s">
        <v>74</v>
      </c>
      <c r="BH793" t="s">
        <v>74</v>
      </c>
      <c r="BI793">
        <v>21</v>
      </c>
      <c r="BJ793" t="s">
        <v>2549</v>
      </c>
      <c r="BK793" t="s">
        <v>101</v>
      </c>
      <c r="BL793" t="s">
        <v>2549</v>
      </c>
      <c r="BM793" t="s">
        <v>15331</v>
      </c>
      <c r="BN793" t="s">
        <v>74</v>
      </c>
      <c r="BO793" t="s">
        <v>404</v>
      </c>
      <c r="BP793" t="s">
        <v>74</v>
      </c>
      <c r="BQ793" t="s">
        <v>74</v>
      </c>
      <c r="BR793" t="s">
        <v>104</v>
      </c>
      <c r="BS793" t="s">
        <v>15332</v>
      </c>
      <c r="BT793" t="str">
        <f>HYPERLINK("https%3A%2F%2Fwww.webofscience.com%2Fwos%2Fwoscc%2Ffull-record%2FWOS:000451813400002","View Full Record in Web of Science")</f>
        <v>View Full Record in Web of Science</v>
      </c>
    </row>
    <row r="794" spans="1:72" x14ac:dyDescent="0.15">
      <c r="A794" t="s">
        <v>72</v>
      </c>
      <c r="B794" t="s">
        <v>15333</v>
      </c>
      <c r="C794" t="s">
        <v>74</v>
      </c>
      <c r="D794" t="s">
        <v>74</v>
      </c>
      <c r="E794" t="s">
        <v>74</v>
      </c>
      <c r="F794" t="s">
        <v>15334</v>
      </c>
      <c r="G794" t="s">
        <v>74</v>
      </c>
      <c r="H794" t="s">
        <v>74</v>
      </c>
      <c r="I794" t="s">
        <v>15335</v>
      </c>
      <c r="J794" t="s">
        <v>4705</v>
      </c>
      <c r="K794" t="s">
        <v>74</v>
      </c>
      <c r="L794" t="s">
        <v>74</v>
      </c>
      <c r="M794" t="s">
        <v>78</v>
      </c>
      <c r="N794" t="s">
        <v>79</v>
      </c>
      <c r="O794" t="s">
        <v>74</v>
      </c>
      <c r="P794" t="s">
        <v>74</v>
      </c>
      <c r="Q794" t="s">
        <v>74</v>
      </c>
      <c r="R794" t="s">
        <v>74</v>
      </c>
      <c r="S794" t="s">
        <v>74</v>
      </c>
      <c r="T794" t="s">
        <v>15336</v>
      </c>
      <c r="U794" t="s">
        <v>15337</v>
      </c>
      <c r="V794" t="s">
        <v>15338</v>
      </c>
      <c r="W794" t="s">
        <v>15339</v>
      </c>
      <c r="X794" t="s">
        <v>15340</v>
      </c>
      <c r="Y794" t="s">
        <v>15341</v>
      </c>
      <c r="Z794" t="s">
        <v>15342</v>
      </c>
      <c r="AA794" t="s">
        <v>15343</v>
      </c>
      <c r="AB794" t="s">
        <v>15344</v>
      </c>
      <c r="AC794" t="s">
        <v>15345</v>
      </c>
      <c r="AD794" t="s">
        <v>15346</v>
      </c>
      <c r="AE794" t="s">
        <v>15347</v>
      </c>
      <c r="AF794" t="s">
        <v>74</v>
      </c>
      <c r="AG794">
        <v>74</v>
      </c>
      <c r="AH794">
        <v>20</v>
      </c>
      <c r="AI794">
        <v>20</v>
      </c>
      <c r="AJ794">
        <v>2</v>
      </c>
      <c r="AK794">
        <v>34</v>
      </c>
      <c r="AL794" t="s">
        <v>3352</v>
      </c>
      <c r="AM794" t="s">
        <v>3353</v>
      </c>
      <c r="AN794" t="s">
        <v>3354</v>
      </c>
      <c r="AO794" t="s">
        <v>4718</v>
      </c>
      <c r="AP794" t="s">
        <v>4719</v>
      </c>
      <c r="AQ794" t="s">
        <v>74</v>
      </c>
      <c r="AR794" t="s">
        <v>4720</v>
      </c>
      <c r="AS794" t="s">
        <v>4721</v>
      </c>
      <c r="AT794" t="s">
        <v>14661</v>
      </c>
      <c r="AU794">
        <v>2018</v>
      </c>
      <c r="AV794">
        <v>141</v>
      </c>
      <c r="AW794" t="s">
        <v>74</v>
      </c>
      <c r="AX794" t="s">
        <v>74</v>
      </c>
      <c r="AY794" t="s">
        <v>74</v>
      </c>
      <c r="AZ794" t="s">
        <v>74</v>
      </c>
      <c r="BA794" t="s">
        <v>74</v>
      </c>
      <c r="BB794">
        <v>118</v>
      </c>
      <c r="BC794">
        <v>129</v>
      </c>
      <c r="BD794" t="s">
        <v>74</v>
      </c>
      <c r="BE794" t="s">
        <v>15348</v>
      </c>
      <c r="BF794" t="str">
        <f>HYPERLINK("http://dx.doi.org/10.1016/j.dsr.2018.09.006","http://dx.doi.org/10.1016/j.dsr.2018.09.006")</f>
        <v>http://dx.doi.org/10.1016/j.dsr.2018.09.006</v>
      </c>
      <c r="BG794" t="s">
        <v>74</v>
      </c>
      <c r="BH794" t="s">
        <v>74</v>
      </c>
      <c r="BI794">
        <v>12</v>
      </c>
      <c r="BJ794" t="s">
        <v>773</v>
      </c>
      <c r="BK794" t="s">
        <v>101</v>
      </c>
      <c r="BL794" t="s">
        <v>773</v>
      </c>
      <c r="BM794" t="s">
        <v>15349</v>
      </c>
      <c r="BN794" t="s">
        <v>74</v>
      </c>
      <c r="BO794" t="s">
        <v>3810</v>
      </c>
      <c r="BP794" t="s">
        <v>74</v>
      </c>
      <c r="BQ794" t="s">
        <v>74</v>
      </c>
      <c r="BR794" t="s">
        <v>104</v>
      </c>
      <c r="BS794" t="s">
        <v>15350</v>
      </c>
      <c r="BT794" t="str">
        <f>HYPERLINK("https%3A%2F%2Fwww.webofscience.com%2Fwos%2Fwoscc%2Ffull-record%2FWOS:000451104200011","View Full Record in Web of Science")</f>
        <v>View Full Record in Web of Science</v>
      </c>
    </row>
    <row r="795" spans="1:72" x14ac:dyDescent="0.15">
      <c r="A795" t="s">
        <v>72</v>
      </c>
      <c r="B795" t="s">
        <v>15351</v>
      </c>
      <c r="C795" t="s">
        <v>74</v>
      </c>
      <c r="D795" t="s">
        <v>74</v>
      </c>
      <c r="E795" t="s">
        <v>74</v>
      </c>
      <c r="F795" t="s">
        <v>15352</v>
      </c>
      <c r="G795" t="s">
        <v>74</v>
      </c>
      <c r="H795" t="s">
        <v>74</v>
      </c>
      <c r="I795" t="s">
        <v>15353</v>
      </c>
      <c r="J795" t="s">
        <v>3545</v>
      </c>
      <c r="K795" t="s">
        <v>74</v>
      </c>
      <c r="L795" t="s">
        <v>74</v>
      </c>
      <c r="M795" t="s">
        <v>78</v>
      </c>
      <c r="N795" t="s">
        <v>79</v>
      </c>
      <c r="O795" t="s">
        <v>74</v>
      </c>
      <c r="P795" t="s">
        <v>74</v>
      </c>
      <c r="Q795" t="s">
        <v>74</v>
      </c>
      <c r="R795" t="s">
        <v>74</v>
      </c>
      <c r="S795" t="s">
        <v>74</v>
      </c>
      <c r="T795" t="s">
        <v>15354</v>
      </c>
      <c r="U795" t="s">
        <v>15355</v>
      </c>
      <c r="V795" t="s">
        <v>15356</v>
      </c>
      <c r="W795" t="s">
        <v>15357</v>
      </c>
      <c r="X795" t="s">
        <v>15358</v>
      </c>
      <c r="Y795" t="s">
        <v>15359</v>
      </c>
      <c r="Z795" t="s">
        <v>15360</v>
      </c>
      <c r="AA795" t="s">
        <v>15361</v>
      </c>
      <c r="AB795" t="s">
        <v>15362</v>
      </c>
      <c r="AC795" t="s">
        <v>15363</v>
      </c>
      <c r="AD795" t="s">
        <v>15364</v>
      </c>
      <c r="AE795" t="s">
        <v>15365</v>
      </c>
      <c r="AF795" t="s">
        <v>74</v>
      </c>
      <c r="AG795">
        <v>54</v>
      </c>
      <c r="AH795">
        <v>15</v>
      </c>
      <c r="AI795">
        <v>16</v>
      </c>
      <c r="AJ795">
        <v>2</v>
      </c>
      <c r="AK795">
        <v>11</v>
      </c>
      <c r="AL795" t="s">
        <v>3290</v>
      </c>
      <c r="AM795" t="s">
        <v>2520</v>
      </c>
      <c r="AN795" t="s">
        <v>3291</v>
      </c>
      <c r="AO795" t="s">
        <v>3558</v>
      </c>
      <c r="AP795" t="s">
        <v>3559</v>
      </c>
      <c r="AQ795" t="s">
        <v>74</v>
      </c>
      <c r="AR795" t="s">
        <v>3560</v>
      </c>
      <c r="AS795" t="s">
        <v>3561</v>
      </c>
      <c r="AT795" t="s">
        <v>14661</v>
      </c>
      <c r="AU795">
        <v>2018</v>
      </c>
      <c r="AV795">
        <v>94</v>
      </c>
      <c r="AW795" t="s">
        <v>74</v>
      </c>
      <c r="AX795">
        <v>1</v>
      </c>
      <c r="AY795" t="s">
        <v>74</v>
      </c>
      <c r="AZ795" t="s">
        <v>74</v>
      </c>
      <c r="BA795" t="s">
        <v>74</v>
      </c>
      <c r="BB795">
        <v>218</v>
      </c>
      <c r="BC795">
        <v>225</v>
      </c>
      <c r="BD795" t="s">
        <v>74</v>
      </c>
      <c r="BE795" t="s">
        <v>15366</v>
      </c>
      <c r="BF795" t="str">
        <f>HYPERLINK("http://dx.doi.org/10.1016/j.ecolind.2018.06.035","http://dx.doi.org/10.1016/j.ecolind.2018.06.035")</f>
        <v>http://dx.doi.org/10.1016/j.ecolind.2018.06.035</v>
      </c>
      <c r="BG795" t="s">
        <v>74</v>
      </c>
      <c r="BH795" t="s">
        <v>74</v>
      </c>
      <c r="BI795">
        <v>8</v>
      </c>
      <c r="BJ795" t="s">
        <v>100</v>
      </c>
      <c r="BK795" t="s">
        <v>101</v>
      </c>
      <c r="BL795" t="s">
        <v>102</v>
      </c>
      <c r="BM795" t="s">
        <v>15367</v>
      </c>
      <c r="BN795" t="s">
        <v>74</v>
      </c>
      <c r="BO795" t="s">
        <v>3540</v>
      </c>
      <c r="BP795" t="s">
        <v>74</v>
      </c>
      <c r="BQ795" t="s">
        <v>74</v>
      </c>
      <c r="BR795" t="s">
        <v>104</v>
      </c>
      <c r="BS795" t="s">
        <v>15368</v>
      </c>
      <c r="BT795" t="str">
        <f>HYPERLINK("https%3A%2F%2Fwww.webofscience.com%2Fwos%2Fwoscc%2Ffull-record%2FWOS:000452692500021","View Full Record in Web of Science")</f>
        <v>View Full Record in Web of Science</v>
      </c>
    </row>
    <row r="796" spans="1:72" x14ac:dyDescent="0.15">
      <c r="A796" t="s">
        <v>72</v>
      </c>
      <c r="B796" t="s">
        <v>15369</v>
      </c>
      <c r="C796" t="s">
        <v>74</v>
      </c>
      <c r="D796" t="s">
        <v>74</v>
      </c>
      <c r="E796" t="s">
        <v>74</v>
      </c>
      <c r="F796" t="s">
        <v>15370</v>
      </c>
      <c r="G796" t="s">
        <v>74</v>
      </c>
      <c r="H796" t="s">
        <v>74</v>
      </c>
      <c r="I796" t="s">
        <v>15371</v>
      </c>
      <c r="J796" t="s">
        <v>5779</v>
      </c>
      <c r="K796" t="s">
        <v>74</v>
      </c>
      <c r="L796" t="s">
        <v>74</v>
      </c>
      <c r="M796" t="s">
        <v>78</v>
      </c>
      <c r="N796" t="s">
        <v>79</v>
      </c>
      <c r="O796" t="s">
        <v>74</v>
      </c>
      <c r="P796" t="s">
        <v>74</v>
      </c>
      <c r="Q796" t="s">
        <v>74</v>
      </c>
      <c r="R796" t="s">
        <v>74</v>
      </c>
      <c r="S796" t="s">
        <v>74</v>
      </c>
      <c r="T796" t="s">
        <v>15372</v>
      </c>
      <c r="U796" t="s">
        <v>15373</v>
      </c>
      <c r="V796" t="s">
        <v>15374</v>
      </c>
      <c r="W796" t="s">
        <v>15375</v>
      </c>
      <c r="X796" t="s">
        <v>15376</v>
      </c>
      <c r="Y796" t="s">
        <v>15377</v>
      </c>
      <c r="Z796" t="s">
        <v>15378</v>
      </c>
      <c r="AA796" t="s">
        <v>15379</v>
      </c>
      <c r="AB796" t="s">
        <v>15380</v>
      </c>
      <c r="AC796" t="s">
        <v>15381</v>
      </c>
      <c r="AD796" t="s">
        <v>15382</v>
      </c>
      <c r="AE796" t="s">
        <v>15383</v>
      </c>
      <c r="AF796" t="s">
        <v>74</v>
      </c>
      <c r="AG796">
        <v>99</v>
      </c>
      <c r="AH796">
        <v>15</v>
      </c>
      <c r="AI796">
        <v>17</v>
      </c>
      <c r="AJ796">
        <v>5</v>
      </c>
      <c r="AK796">
        <v>62</v>
      </c>
      <c r="AL796" t="s">
        <v>3670</v>
      </c>
      <c r="AM796" t="s">
        <v>3671</v>
      </c>
      <c r="AN796" t="s">
        <v>3672</v>
      </c>
      <c r="AO796" t="s">
        <v>5792</v>
      </c>
      <c r="AP796" t="s">
        <v>5793</v>
      </c>
      <c r="AQ796" t="s">
        <v>74</v>
      </c>
      <c r="AR796" t="s">
        <v>5779</v>
      </c>
      <c r="AS796" t="s">
        <v>2400</v>
      </c>
      <c r="AT796" t="s">
        <v>14661</v>
      </c>
      <c r="AU796">
        <v>2018</v>
      </c>
      <c r="AV796">
        <v>99</v>
      </c>
      <c r="AW796">
        <v>11</v>
      </c>
      <c r="AX796" t="s">
        <v>74</v>
      </c>
      <c r="AY796" t="s">
        <v>74</v>
      </c>
      <c r="AZ796" t="s">
        <v>74</v>
      </c>
      <c r="BA796" t="s">
        <v>74</v>
      </c>
      <c r="BB796">
        <v>2421</v>
      </c>
      <c r="BC796">
        <v>2432</v>
      </c>
      <c r="BD796" t="s">
        <v>74</v>
      </c>
      <c r="BE796" t="s">
        <v>15384</v>
      </c>
      <c r="BF796" t="str">
        <f>HYPERLINK("http://dx.doi.org/10.1002/ecy.2508","http://dx.doi.org/10.1002/ecy.2508")</f>
        <v>http://dx.doi.org/10.1002/ecy.2508</v>
      </c>
      <c r="BG796" t="s">
        <v>74</v>
      </c>
      <c r="BH796" t="s">
        <v>74</v>
      </c>
      <c r="BI796">
        <v>12</v>
      </c>
      <c r="BJ796" t="s">
        <v>2400</v>
      </c>
      <c r="BK796" t="s">
        <v>101</v>
      </c>
      <c r="BL796" t="s">
        <v>799</v>
      </c>
      <c r="BM796" t="s">
        <v>15385</v>
      </c>
      <c r="BN796">
        <v>30175443</v>
      </c>
      <c r="BO796" t="s">
        <v>15386</v>
      </c>
      <c r="BP796" t="s">
        <v>74</v>
      </c>
      <c r="BQ796" t="s">
        <v>74</v>
      </c>
      <c r="BR796" t="s">
        <v>104</v>
      </c>
      <c r="BS796" t="s">
        <v>15387</v>
      </c>
      <c r="BT796" t="str">
        <f>HYPERLINK("https%3A%2F%2Fwww.webofscience.com%2Fwos%2Fwoscc%2Ffull-record%2FWOS:000449937900002","View Full Record in Web of Science")</f>
        <v>View Full Record in Web of Science</v>
      </c>
    </row>
    <row r="797" spans="1:72" x14ac:dyDescent="0.15">
      <c r="A797" t="s">
        <v>72</v>
      </c>
      <c r="B797" t="s">
        <v>15388</v>
      </c>
      <c r="C797" t="s">
        <v>74</v>
      </c>
      <c r="D797" t="s">
        <v>74</v>
      </c>
      <c r="E797" t="s">
        <v>74</v>
      </c>
      <c r="F797" t="s">
        <v>15389</v>
      </c>
      <c r="G797" t="s">
        <v>74</v>
      </c>
      <c r="H797" t="s">
        <v>74</v>
      </c>
      <c r="I797" t="s">
        <v>15390</v>
      </c>
      <c r="J797" t="s">
        <v>15391</v>
      </c>
      <c r="K797" t="s">
        <v>74</v>
      </c>
      <c r="L797" t="s">
        <v>74</v>
      </c>
      <c r="M797" t="s">
        <v>78</v>
      </c>
      <c r="N797" t="s">
        <v>79</v>
      </c>
      <c r="O797" t="s">
        <v>74</v>
      </c>
      <c r="P797" t="s">
        <v>74</v>
      </c>
      <c r="Q797" t="s">
        <v>74</v>
      </c>
      <c r="R797" t="s">
        <v>74</v>
      </c>
      <c r="S797" t="s">
        <v>74</v>
      </c>
      <c r="T797" t="s">
        <v>15392</v>
      </c>
      <c r="U797" t="s">
        <v>15393</v>
      </c>
      <c r="V797" t="s">
        <v>15394</v>
      </c>
      <c r="W797" t="s">
        <v>15395</v>
      </c>
      <c r="X797" t="s">
        <v>15396</v>
      </c>
      <c r="Y797" t="s">
        <v>15397</v>
      </c>
      <c r="Z797" t="s">
        <v>15398</v>
      </c>
      <c r="AA797" t="s">
        <v>15399</v>
      </c>
      <c r="AB797" t="s">
        <v>15400</v>
      </c>
      <c r="AC797" t="s">
        <v>15401</v>
      </c>
      <c r="AD797" t="s">
        <v>15402</v>
      </c>
      <c r="AE797" t="s">
        <v>15403</v>
      </c>
      <c r="AF797" t="s">
        <v>74</v>
      </c>
      <c r="AG797">
        <v>60</v>
      </c>
      <c r="AH797">
        <v>12</v>
      </c>
      <c r="AI797">
        <v>12</v>
      </c>
      <c r="AJ797">
        <v>1</v>
      </c>
      <c r="AK797">
        <v>23</v>
      </c>
      <c r="AL797" t="s">
        <v>3670</v>
      </c>
      <c r="AM797" t="s">
        <v>3671</v>
      </c>
      <c r="AN797" t="s">
        <v>3672</v>
      </c>
      <c r="AO797" t="s">
        <v>15404</v>
      </c>
      <c r="AP797" t="s">
        <v>15405</v>
      </c>
      <c r="AQ797" t="s">
        <v>74</v>
      </c>
      <c r="AR797" t="s">
        <v>15391</v>
      </c>
      <c r="AS797" t="s">
        <v>15406</v>
      </c>
      <c r="AT797" t="s">
        <v>14661</v>
      </c>
      <c r="AU797">
        <v>2018</v>
      </c>
      <c r="AV797">
        <v>39</v>
      </c>
      <c r="AW797">
        <v>22</v>
      </c>
      <c r="AX797" t="s">
        <v>74</v>
      </c>
      <c r="AY797" t="s">
        <v>74</v>
      </c>
      <c r="AZ797" t="s">
        <v>4266</v>
      </c>
      <c r="BA797" t="s">
        <v>74</v>
      </c>
      <c r="BB797">
        <v>2854</v>
      </c>
      <c r="BC797">
        <v>2863</v>
      </c>
      <c r="BD797" t="s">
        <v>74</v>
      </c>
      <c r="BE797" t="s">
        <v>15407</v>
      </c>
      <c r="BF797" t="str">
        <f>HYPERLINK("http://dx.doi.org/10.1002/elps.201700459","http://dx.doi.org/10.1002/elps.201700459")</f>
        <v>http://dx.doi.org/10.1002/elps.201700459</v>
      </c>
      <c r="BG797" t="s">
        <v>74</v>
      </c>
      <c r="BH797" t="s">
        <v>74</v>
      </c>
      <c r="BI797">
        <v>10</v>
      </c>
      <c r="BJ797" t="s">
        <v>15128</v>
      </c>
      <c r="BK797" t="s">
        <v>101</v>
      </c>
      <c r="BL797" t="s">
        <v>4195</v>
      </c>
      <c r="BM797" t="s">
        <v>15408</v>
      </c>
      <c r="BN797">
        <v>29349822</v>
      </c>
      <c r="BO797" t="s">
        <v>74</v>
      </c>
      <c r="BP797" t="s">
        <v>74</v>
      </c>
      <c r="BQ797" t="s">
        <v>74</v>
      </c>
      <c r="BR797" t="s">
        <v>104</v>
      </c>
      <c r="BS797" t="s">
        <v>15409</v>
      </c>
      <c r="BT797" t="str">
        <f>HYPERLINK("https%3A%2F%2Fwww.webofscience.com%2Fwos%2Fwoscc%2Ffull-record%2FWOS:000450406900004","View Full Record in Web of Science")</f>
        <v>View Full Record in Web of Science</v>
      </c>
    </row>
    <row r="798" spans="1:72" x14ac:dyDescent="0.15">
      <c r="A798" t="s">
        <v>72</v>
      </c>
      <c r="B798" t="s">
        <v>15410</v>
      </c>
      <c r="C798" t="s">
        <v>74</v>
      </c>
      <c r="D798" t="s">
        <v>74</v>
      </c>
      <c r="E798" t="s">
        <v>74</v>
      </c>
      <c r="F798" t="s">
        <v>15411</v>
      </c>
      <c r="G798" t="s">
        <v>74</v>
      </c>
      <c r="H798" t="s">
        <v>74</v>
      </c>
      <c r="I798" t="s">
        <v>15412</v>
      </c>
      <c r="J798" t="s">
        <v>10903</v>
      </c>
      <c r="K798" t="s">
        <v>74</v>
      </c>
      <c r="L798" t="s">
        <v>74</v>
      </c>
      <c r="M798" t="s">
        <v>78</v>
      </c>
      <c r="N798" t="s">
        <v>79</v>
      </c>
      <c r="O798" t="s">
        <v>74</v>
      </c>
      <c r="P798" t="s">
        <v>74</v>
      </c>
      <c r="Q798" t="s">
        <v>74</v>
      </c>
      <c r="R798" t="s">
        <v>74</v>
      </c>
      <c r="S798" t="s">
        <v>74</v>
      </c>
      <c r="T798" t="s">
        <v>74</v>
      </c>
      <c r="U798" t="s">
        <v>15413</v>
      </c>
      <c r="V798" t="s">
        <v>15414</v>
      </c>
      <c r="W798" t="s">
        <v>15415</v>
      </c>
      <c r="X798" t="s">
        <v>15416</v>
      </c>
      <c r="Y798" t="s">
        <v>15417</v>
      </c>
      <c r="Z798" t="s">
        <v>15418</v>
      </c>
      <c r="AA798" t="s">
        <v>15419</v>
      </c>
      <c r="AB798" t="s">
        <v>15420</v>
      </c>
      <c r="AC798" t="s">
        <v>15421</v>
      </c>
      <c r="AD798" t="s">
        <v>15422</v>
      </c>
      <c r="AE798" t="s">
        <v>15423</v>
      </c>
      <c r="AF798" t="s">
        <v>74</v>
      </c>
      <c r="AG798">
        <v>64</v>
      </c>
      <c r="AH798">
        <v>24</v>
      </c>
      <c r="AI798">
        <v>29</v>
      </c>
      <c r="AJ798">
        <v>2</v>
      </c>
      <c r="AK798">
        <v>69</v>
      </c>
      <c r="AL798" t="s">
        <v>6139</v>
      </c>
      <c r="AM798" t="s">
        <v>3353</v>
      </c>
      <c r="AN798" t="s">
        <v>6140</v>
      </c>
      <c r="AO798" t="s">
        <v>10916</v>
      </c>
      <c r="AP798" t="s">
        <v>10917</v>
      </c>
      <c r="AQ798" t="s">
        <v>74</v>
      </c>
      <c r="AR798" t="s">
        <v>10918</v>
      </c>
      <c r="AS798" t="s">
        <v>10919</v>
      </c>
      <c r="AT798" t="s">
        <v>14661</v>
      </c>
      <c r="AU798">
        <v>2018</v>
      </c>
      <c r="AV798">
        <v>242</v>
      </c>
      <c r="AW798" t="s">
        <v>74</v>
      </c>
      <c r="AX798" t="s">
        <v>390</v>
      </c>
      <c r="AY798" t="s">
        <v>74</v>
      </c>
      <c r="AZ798" t="s">
        <v>74</v>
      </c>
      <c r="BA798" t="s">
        <v>74</v>
      </c>
      <c r="BB798">
        <v>1319</v>
      </c>
      <c r="BC798">
        <v>1330</v>
      </c>
      <c r="BD798" t="s">
        <v>74</v>
      </c>
      <c r="BE798" t="s">
        <v>15424</v>
      </c>
      <c r="BF798" t="str">
        <f>HYPERLINK("http://dx.doi.org/10.1016/j.envpol.2018.07.110","http://dx.doi.org/10.1016/j.envpol.2018.07.110")</f>
        <v>http://dx.doi.org/10.1016/j.envpol.2018.07.110</v>
      </c>
      <c r="BG798" t="s">
        <v>74</v>
      </c>
      <c r="BH798" t="s">
        <v>74</v>
      </c>
      <c r="BI798">
        <v>12</v>
      </c>
      <c r="BJ798" t="s">
        <v>798</v>
      </c>
      <c r="BK798" t="s">
        <v>101</v>
      </c>
      <c r="BL798" t="s">
        <v>799</v>
      </c>
      <c r="BM798" t="s">
        <v>15425</v>
      </c>
      <c r="BN798">
        <v>30121486</v>
      </c>
      <c r="BO798" t="s">
        <v>404</v>
      </c>
      <c r="BP798" t="s">
        <v>74</v>
      </c>
      <c r="BQ798" t="s">
        <v>74</v>
      </c>
      <c r="BR798" t="s">
        <v>104</v>
      </c>
      <c r="BS798" t="s">
        <v>15426</v>
      </c>
      <c r="BT798" t="str">
        <f>HYPERLINK("https%3A%2F%2Fwww.webofscience.com%2Fwos%2Fwoscc%2Ffull-record%2FWOS:000446282600031","View Full Record in Web of Science")</f>
        <v>View Full Record in Web of Science</v>
      </c>
    </row>
    <row r="799" spans="1:72" x14ac:dyDescent="0.15">
      <c r="A799" t="s">
        <v>72</v>
      </c>
      <c r="B799" t="s">
        <v>15427</v>
      </c>
      <c r="C799" t="s">
        <v>74</v>
      </c>
      <c r="D799" t="s">
        <v>74</v>
      </c>
      <c r="E799" t="s">
        <v>74</v>
      </c>
      <c r="F799" t="s">
        <v>15428</v>
      </c>
      <c r="G799" t="s">
        <v>74</v>
      </c>
      <c r="H799" t="s">
        <v>74</v>
      </c>
      <c r="I799" t="s">
        <v>15429</v>
      </c>
      <c r="J799" t="s">
        <v>10903</v>
      </c>
      <c r="K799" t="s">
        <v>74</v>
      </c>
      <c r="L799" t="s">
        <v>74</v>
      </c>
      <c r="M799" t="s">
        <v>78</v>
      </c>
      <c r="N799" t="s">
        <v>79</v>
      </c>
      <c r="O799" t="s">
        <v>74</v>
      </c>
      <c r="P799" t="s">
        <v>74</v>
      </c>
      <c r="Q799" t="s">
        <v>74</v>
      </c>
      <c r="R799" t="s">
        <v>74</v>
      </c>
      <c r="S799" t="s">
        <v>74</v>
      </c>
      <c r="T799" t="s">
        <v>15430</v>
      </c>
      <c r="U799" t="s">
        <v>15431</v>
      </c>
      <c r="V799" t="s">
        <v>15432</v>
      </c>
      <c r="W799" t="s">
        <v>15433</v>
      </c>
      <c r="X799" t="s">
        <v>15434</v>
      </c>
      <c r="Y799" t="s">
        <v>15435</v>
      </c>
      <c r="Z799" t="s">
        <v>15436</v>
      </c>
      <c r="AA799" t="s">
        <v>15437</v>
      </c>
      <c r="AB799" t="s">
        <v>15438</v>
      </c>
      <c r="AC799" t="s">
        <v>74</v>
      </c>
      <c r="AD799" t="s">
        <v>74</v>
      </c>
      <c r="AE799" t="s">
        <v>74</v>
      </c>
      <c r="AF799" t="s">
        <v>74</v>
      </c>
      <c r="AG799">
        <v>56</v>
      </c>
      <c r="AH799">
        <v>33</v>
      </c>
      <c r="AI799">
        <v>36</v>
      </c>
      <c r="AJ799">
        <v>4</v>
      </c>
      <c r="AK799">
        <v>58</v>
      </c>
      <c r="AL799" t="s">
        <v>6139</v>
      </c>
      <c r="AM799" t="s">
        <v>3353</v>
      </c>
      <c r="AN799" t="s">
        <v>6140</v>
      </c>
      <c r="AO799" t="s">
        <v>10916</v>
      </c>
      <c r="AP799" t="s">
        <v>10917</v>
      </c>
      <c r="AQ799" t="s">
        <v>74</v>
      </c>
      <c r="AR799" t="s">
        <v>10918</v>
      </c>
      <c r="AS799" t="s">
        <v>10919</v>
      </c>
      <c r="AT799" t="s">
        <v>14661</v>
      </c>
      <c r="AU799">
        <v>2018</v>
      </c>
      <c r="AV799">
        <v>242</v>
      </c>
      <c r="AW799" t="s">
        <v>74</v>
      </c>
      <c r="AX799" t="s">
        <v>390</v>
      </c>
      <c r="AY799" t="s">
        <v>74</v>
      </c>
      <c r="AZ799" t="s">
        <v>74</v>
      </c>
      <c r="BA799" t="s">
        <v>74</v>
      </c>
      <c r="BB799">
        <v>1740</v>
      </c>
      <c r="BC799">
        <v>1747</v>
      </c>
      <c r="BD799" t="s">
        <v>74</v>
      </c>
      <c r="BE799" t="s">
        <v>15439</v>
      </c>
      <c r="BF799" t="str">
        <f>HYPERLINK("http://dx.doi.org/10.1016/j.envpol.2018.07.095","http://dx.doi.org/10.1016/j.envpol.2018.07.095")</f>
        <v>http://dx.doi.org/10.1016/j.envpol.2018.07.095</v>
      </c>
      <c r="BG799" t="s">
        <v>74</v>
      </c>
      <c r="BH799" t="s">
        <v>74</v>
      </c>
      <c r="BI799">
        <v>8</v>
      </c>
      <c r="BJ799" t="s">
        <v>798</v>
      </c>
      <c r="BK799" t="s">
        <v>101</v>
      </c>
      <c r="BL799" t="s">
        <v>799</v>
      </c>
      <c r="BM799" t="s">
        <v>15425</v>
      </c>
      <c r="BN799">
        <v>30061079</v>
      </c>
      <c r="BO799" t="s">
        <v>404</v>
      </c>
      <c r="BP799" t="s">
        <v>74</v>
      </c>
      <c r="BQ799" t="s">
        <v>74</v>
      </c>
      <c r="BR799" t="s">
        <v>104</v>
      </c>
      <c r="BS799" t="s">
        <v>15440</v>
      </c>
      <c r="BT799" t="str">
        <f>HYPERLINK("https%3A%2F%2Fwww.webofscience.com%2Fwos%2Fwoscc%2Ffull-record%2FWOS:000446282600076","View Full Record in Web of Science")</f>
        <v>View Full Record in Web of Science</v>
      </c>
    </row>
    <row r="800" spans="1:72" x14ac:dyDescent="0.15">
      <c r="A800" t="s">
        <v>72</v>
      </c>
      <c r="B800" t="s">
        <v>15441</v>
      </c>
      <c r="C800" t="s">
        <v>74</v>
      </c>
      <c r="D800" t="s">
        <v>74</v>
      </c>
      <c r="E800" t="s">
        <v>74</v>
      </c>
      <c r="F800" t="s">
        <v>15442</v>
      </c>
      <c r="G800" t="s">
        <v>74</v>
      </c>
      <c r="H800" t="s">
        <v>74</v>
      </c>
      <c r="I800" t="s">
        <v>15443</v>
      </c>
      <c r="J800" t="s">
        <v>4327</v>
      </c>
      <c r="K800" t="s">
        <v>74</v>
      </c>
      <c r="L800" t="s">
        <v>74</v>
      </c>
      <c r="M800" t="s">
        <v>78</v>
      </c>
      <c r="N800" t="s">
        <v>79</v>
      </c>
      <c r="O800" t="s">
        <v>74</v>
      </c>
      <c r="P800" t="s">
        <v>74</v>
      </c>
      <c r="Q800" t="s">
        <v>74</v>
      </c>
      <c r="R800" t="s">
        <v>74</v>
      </c>
      <c r="S800" t="s">
        <v>74</v>
      </c>
      <c r="T800" t="s">
        <v>15444</v>
      </c>
      <c r="U800" t="s">
        <v>15445</v>
      </c>
      <c r="V800" t="s">
        <v>15446</v>
      </c>
      <c r="W800" t="s">
        <v>15447</v>
      </c>
      <c r="X800" t="s">
        <v>15448</v>
      </c>
      <c r="Y800" t="s">
        <v>15449</v>
      </c>
      <c r="Z800" t="s">
        <v>15450</v>
      </c>
      <c r="AA800" t="s">
        <v>15451</v>
      </c>
      <c r="AB800" t="s">
        <v>15452</v>
      </c>
      <c r="AC800" t="s">
        <v>15453</v>
      </c>
      <c r="AD800" t="s">
        <v>15454</v>
      </c>
      <c r="AE800" t="s">
        <v>15455</v>
      </c>
      <c r="AF800" t="s">
        <v>74</v>
      </c>
      <c r="AG800">
        <v>156</v>
      </c>
      <c r="AH800">
        <v>25</v>
      </c>
      <c r="AI800">
        <v>25</v>
      </c>
      <c r="AJ800">
        <v>0</v>
      </c>
      <c r="AK800">
        <v>10</v>
      </c>
      <c r="AL800" t="s">
        <v>4034</v>
      </c>
      <c r="AM800" t="s">
        <v>4035</v>
      </c>
      <c r="AN800" t="s">
        <v>4036</v>
      </c>
      <c r="AO800" t="s">
        <v>4340</v>
      </c>
      <c r="AP800" t="s">
        <v>74</v>
      </c>
      <c r="AQ800" t="s">
        <v>74</v>
      </c>
      <c r="AR800" t="s">
        <v>4341</v>
      </c>
      <c r="AS800" t="s">
        <v>4342</v>
      </c>
      <c r="AT800" t="s">
        <v>14661</v>
      </c>
      <c r="AU800">
        <v>2018</v>
      </c>
      <c r="AV800">
        <v>19</v>
      </c>
      <c r="AW800">
        <v>11</v>
      </c>
      <c r="AX800" t="s">
        <v>74</v>
      </c>
      <c r="AY800" t="s">
        <v>74</v>
      </c>
      <c r="AZ800" t="s">
        <v>74</v>
      </c>
      <c r="BA800" t="s">
        <v>74</v>
      </c>
      <c r="BB800">
        <v>4143</v>
      </c>
      <c r="BC800">
        <v>4173</v>
      </c>
      <c r="BD800" t="s">
        <v>74</v>
      </c>
      <c r="BE800" t="s">
        <v>15456</v>
      </c>
      <c r="BF800" t="str">
        <f>HYPERLINK("http://dx.doi.org/10.1029/2018GC007832","http://dx.doi.org/10.1029/2018GC007832")</f>
        <v>http://dx.doi.org/10.1029/2018GC007832</v>
      </c>
      <c r="BG800" t="s">
        <v>74</v>
      </c>
      <c r="BH800" t="s">
        <v>74</v>
      </c>
      <c r="BI800">
        <v>31</v>
      </c>
      <c r="BJ800" t="s">
        <v>746</v>
      </c>
      <c r="BK800" t="s">
        <v>101</v>
      </c>
      <c r="BL800" t="s">
        <v>746</v>
      </c>
      <c r="BM800" t="s">
        <v>15457</v>
      </c>
      <c r="BN800" t="s">
        <v>74</v>
      </c>
      <c r="BO800" t="s">
        <v>15458</v>
      </c>
      <c r="BP800" t="s">
        <v>74</v>
      </c>
      <c r="BQ800" t="s">
        <v>74</v>
      </c>
      <c r="BR800" t="s">
        <v>104</v>
      </c>
      <c r="BS800" t="s">
        <v>15459</v>
      </c>
      <c r="BT800" t="str">
        <f>HYPERLINK("https%3A%2F%2Fwww.webofscience.com%2Fwos%2Fwoscc%2Ffull-record%2FWOS:000452727800003","View Full Record in Web of Science")</f>
        <v>View Full Record in Web of Science</v>
      </c>
    </row>
    <row r="801" spans="1:72" x14ac:dyDescent="0.15">
      <c r="A801" t="s">
        <v>72</v>
      </c>
      <c r="B801" t="s">
        <v>15460</v>
      </c>
      <c r="C801" t="s">
        <v>74</v>
      </c>
      <c r="D801" t="s">
        <v>74</v>
      </c>
      <c r="E801" t="s">
        <v>74</v>
      </c>
      <c r="F801" t="s">
        <v>15461</v>
      </c>
      <c r="G801" t="s">
        <v>74</v>
      </c>
      <c r="H801" t="s">
        <v>74</v>
      </c>
      <c r="I801" t="s">
        <v>15462</v>
      </c>
      <c r="J801" t="s">
        <v>15463</v>
      </c>
      <c r="K801" t="s">
        <v>74</v>
      </c>
      <c r="L801" t="s">
        <v>74</v>
      </c>
      <c r="M801" t="s">
        <v>78</v>
      </c>
      <c r="N801" t="s">
        <v>79</v>
      </c>
      <c r="O801" t="s">
        <v>74</v>
      </c>
      <c r="P801" t="s">
        <v>74</v>
      </c>
      <c r="Q801" t="s">
        <v>74</v>
      </c>
      <c r="R801" t="s">
        <v>74</v>
      </c>
      <c r="S801" t="s">
        <v>74</v>
      </c>
      <c r="T801" t="s">
        <v>15464</v>
      </c>
      <c r="U801" t="s">
        <v>15465</v>
      </c>
      <c r="V801" t="s">
        <v>15466</v>
      </c>
      <c r="W801" t="s">
        <v>15467</v>
      </c>
      <c r="X801" t="s">
        <v>15468</v>
      </c>
      <c r="Y801" t="s">
        <v>15469</v>
      </c>
      <c r="Z801" t="s">
        <v>15470</v>
      </c>
      <c r="AA801" t="s">
        <v>15471</v>
      </c>
      <c r="AB801" t="s">
        <v>74</v>
      </c>
      <c r="AC801" t="s">
        <v>15472</v>
      </c>
      <c r="AD801" t="s">
        <v>15473</v>
      </c>
      <c r="AE801" t="s">
        <v>15474</v>
      </c>
      <c r="AF801" t="s">
        <v>74</v>
      </c>
      <c r="AG801">
        <v>36</v>
      </c>
      <c r="AH801">
        <v>3</v>
      </c>
      <c r="AI801">
        <v>3</v>
      </c>
      <c r="AJ801">
        <v>0</v>
      </c>
      <c r="AK801">
        <v>2</v>
      </c>
      <c r="AL801" t="s">
        <v>3423</v>
      </c>
      <c r="AM801" t="s">
        <v>1080</v>
      </c>
      <c r="AN801" t="s">
        <v>3424</v>
      </c>
      <c r="AO801" t="s">
        <v>15475</v>
      </c>
      <c r="AP801" t="s">
        <v>15476</v>
      </c>
      <c r="AQ801" t="s">
        <v>74</v>
      </c>
      <c r="AR801" t="s">
        <v>15477</v>
      </c>
      <c r="AS801" t="s">
        <v>15478</v>
      </c>
      <c r="AT801" t="s">
        <v>14661</v>
      </c>
      <c r="AU801">
        <v>2018</v>
      </c>
      <c r="AV801">
        <v>56</v>
      </c>
      <c r="AW801">
        <v>11</v>
      </c>
      <c r="AX801" t="s">
        <v>74</v>
      </c>
      <c r="AY801" t="s">
        <v>74</v>
      </c>
      <c r="AZ801" t="s">
        <v>74</v>
      </c>
      <c r="BA801" t="s">
        <v>74</v>
      </c>
      <c r="BB801">
        <v>1071</v>
      </c>
      <c r="BC801">
        <v>1083</v>
      </c>
      <c r="BD801" t="s">
        <v>74</v>
      </c>
      <c r="BE801" t="s">
        <v>15479</v>
      </c>
      <c r="BF801" t="str">
        <f>HYPERLINK("http://dx.doi.org/10.1134/S0016702918110022","http://dx.doi.org/10.1134/S0016702918110022")</f>
        <v>http://dx.doi.org/10.1134/S0016702918110022</v>
      </c>
      <c r="BG801" t="s">
        <v>74</v>
      </c>
      <c r="BH801" t="s">
        <v>74</v>
      </c>
      <c r="BI801">
        <v>13</v>
      </c>
      <c r="BJ801" t="s">
        <v>746</v>
      </c>
      <c r="BK801" t="s">
        <v>101</v>
      </c>
      <c r="BL801" t="s">
        <v>746</v>
      </c>
      <c r="BM801" t="s">
        <v>15480</v>
      </c>
      <c r="BN801" t="s">
        <v>74</v>
      </c>
      <c r="BO801" t="s">
        <v>74</v>
      </c>
      <c r="BP801" t="s">
        <v>74</v>
      </c>
      <c r="BQ801" t="s">
        <v>74</v>
      </c>
      <c r="BR801" t="s">
        <v>104</v>
      </c>
      <c r="BS801" t="s">
        <v>15481</v>
      </c>
      <c r="BT801" t="str">
        <f>HYPERLINK("https%3A%2F%2Fwww.webofscience.com%2Fwos%2Fwoscc%2Ffull-record%2FWOS:000450194600002","View Full Record in Web of Science")</f>
        <v>View Full Record in Web of Science</v>
      </c>
    </row>
    <row r="802" spans="1:72" x14ac:dyDescent="0.15">
      <c r="A802" t="s">
        <v>72</v>
      </c>
      <c r="B802" t="s">
        <v>15482</v>
      </c>
      <c r="C802" t="s">
        <v>74</v>
      </c>
      <c r="D802" t="s">
        <v>74</v>
      </c>
      <c r="E802" t="s">
        <v>74</v>
      </c>
      <c r="F802" t="s">
        <v>15483</v>
      </c>
      <c r="G802" t="s">
        <v>74</v>
      </c>
      <c r="H802" t="s">
        <v>74</v>
      </c>
      <c r="I802" t="s">
        <v>15484</v>
      </c>
      <c r="J802" t="s">
        <v>15485</v>
      </c>
      <c r="K802" t="s">
        <v>74</v>
      </c>
      <c r="L802" t="s">
        <v>74</v>
      </c>
      <c r="M802" t="s">
        <v>78</v>
      </c>
      <c r="N802" t="s">
        <v>79</v>
      </c>
      <c r="O802" t="s">
        <v>74</v>
      </c>
      <c r="P802" t="s">
        <v>74</v>
      </c>
      <c r="Q802" t="s">
        <v>74</v>
      </c>
      <c r="R802" t="s">
        <v>74</v>
      </c>
      <c r="S802" t="s">
        <v>74</v>
      </c>
      <c r="T802" t="s">
        <v>15486</v>
      </c>
      <c r="U802" t="s">
        <v>15487</v>
      </c>
      <c r="V802" t="s">
        <v>15488</v>
      </c>
      <c r="W802" t="s">
        <v>15489</v>
      </c>
      <c r="X802" t="s">
        <v>9938</v>
      </c>
      <c r="Y802" t="s">
        <v>9939</v>
      </c>
      <c r="Z802" t="s">
        <v>15490</v>
      </c>
      <c r="AA802" t="s">
        <v>15491</v>
      </c>
      <c r="AB802" t="s">
        <v>15492</v>
      </c>
      <c r="AC802" t="s">
        <v>15493</v>
      </c>
      <c r="AD802" t="s">
        <v>15494</v>
      </c>
      <c r="AE802" t="s">
        <v>15495</v>
      </c>
      <c r="AF802" t="s">
        <v>74</v>
      </c>
      <c r="AG802">
        <v>77</v>
      </c>
      <c r="AH802">
        <v>15</v>
      </c>
      <c r="AI802">
        <v>18</v>
      </c>
      <c r="AJ802">
        <v>1</v>
      </c>
      <c r="AK802">
        <v>14</v>
      </c>
      <c r="AL802" t="s">
        <v>3729</v>
      </c>
      <c r="AM802" t="s">
        <v>3353</v>
      </c>
      <c r="AN802" t="s">
        <v>3730</v>
      </c>
      <c r="AO802" t="s">
        <v>15496</v>
      </c>
      <c r="AP802" t="s">
        <v>15497</v>
      </c>
      <c r="AQ802" t="s">
        <v>74</v>
      </c>
      <c r="AR802" t="s">
        <v>15498</v>
      </c>
      <c r="AS802" t="s">
        <v>15499</v>
      </c>
      <c r="AT802" t="s">
        <v>14661</v>
      </c>
      <c r="AU802">
        <v>2018</v>
      </c>
      <c r="AV802">
        <v>215</v>
      </c>
      <c r="AW802">
        <v>2</v>
      </c>
      <c r="AX802" t="s">
        <v>74</v>
      </c>
      <c r="AY802" t="s">
        <v>74</v>
      </c>
      <c r="AZ802" t="s">
        <v>74</v>
      </c>
      <c r="BA802" t="s">
        <v>74</v>
      </c>
      <c r="BB802">
        <v>1241</v>
      </c>
      <c r="BC802">
        <v>1256</v>
      </c>
      <c r="BD802" t="s">
        <v>74</v>
      </c>
      <c r="BE802" t="s">
        <v>15500</v>
      </c>
      <c r="BF802" t="str">
        <f>HYPERLINK("http://dx.doi.org/10.1093/gji/ggy343","http://dx.doi.org/10.1093/gji/ggy343")</f>
        <v>http://dx.doi.org/10.1093/gji/ggy343</v>
      </c>
      <c r="BG802" t="s">
        <v>74</v>
      </c>
      <c r="BH802" t="s">
        <v>74</v>
      </c>
      <c r="BI802">
        <v>16</v>
      </c>
      <c r="BJ802" t="s">
        <v>746</v>
      </c>
      <c r="BK802" t="s">
        <v>101</v>
      </c>
      <c r="BL802" t="s">
        <v>746</v>
      </c>
      <c r="BM802" t="s">
        <v>15501</v>
      </c>
      <c r="BN802" t="s">
        <v>74</v>
      </c>
      <c r="BO802" t="s">
        <v>3810</v>
      </c>
      <c r="BP802" t="s">
        <v>74</v>
      </c>
      <c r="BQ802" t="s">
        <v>74</v>
      </c>
      <c r="BR802" t="s">
        <v>104</v>
      </c>
      <c r="BS802" t="s">
        <v>15502</v>
      </c>
      <c r="BT802" t="str">
        <f>HYPERLINK("https%3A%2F%2Fwww.webofscience.com%2Fwos%2Fwoscc%2Ffull-record%2FWOS:000448789900032","View Full Record in Web of Science")</f>
        <v>View Full Record in Web of Science</v>
      </c>
    </row>
    <row r="803" spans="1:72" x14ac:dyDescent="0.15">
      <c r="A803" t="s">
        <v>72</v>
      </c>
      <c r="B803" t="s">
        <v>15503</v>
      </c>
      <c r="C803" t="s">
        <v>74</v>
      </c>
      <c r="D803" t="s">
        <v>74</v>
      </c>
      <c r="E803" t="s">
        <v>74</v>
      </c>
      <c r="F803" t="s">
        <v>15504</v>
      </c>
      <c r="G803" t="s">
        <v>74</v>
      </c>
      <c r="H803" t="s">
        <v>74</v>
      </c>
      <c r="I803" t="s">
        <v>15505</v>
      </c>
      <c r="J803" t="s">
        <v>15506</v>
      </c>
      <c r="K803" t="s">
        <v>74</v>
      </c>
      <c r="L803" t="s">
        <v>74</v>
      </c>
      <c r="M803" t="s">
        <v>78</v>
      </c>
      <c r="N803" t="s">
        <v>79</v>
      </c>
      <c r="O803" t="s">
        <v>74</v>
      </c>
      <c r="P803" t="s">
        <v>74</v>
      </c>
      <c r="Q803" t="s">
        <v>74</v>
      </c>
      <c r="R803" t="s">
        <v>74</v>
      </c>
      <c r="S803" t="s">
        <v>74</v>
      </c>
      <c r="T803" t="s">
        <v>15507</v>
      </c>
      <c r="U803" t="s">
        <v>15508</v>
      </c>
      <c r="V803" t="s">
        <v>15509</v>
      </c>
      <c r="W803" t="s">
        <v>15510</v>
      </c>
      <c r="X803" t="s">
        <v>15511</v>
      </c>
      <c r="Y803" t="s">
        <v>15512</v>
      </c>
      <c r="Z803" t="s">
        <v>15513</v>
      </c>
      <c r="AA803" t="s">
        <v>15514</v>
      </c>
      <c r="AB803" t="s">
        <v>15515</v>
      </c>
      <c r="AC803" t="s">
        <v>15516</v>
      </c>
      <c r="AD803" t="s">
        <v>15517</v>
      </c>
      <c r="AE803" t="s">
        <v>15518</v>
      </c>
      <c r="AF803" t="s">
        <v>74</v>
      </c>
      <c r="AG803">
        <v>107</v>
      </c>
      <c r="AH803">
        <v>31</v>
      </c>
      <c r="AI803">
        <v>32</v>
      </c>
      <c r="AJ803">
        <v>2</v>
      </c>
      <c r="AK803">
        <v>44</v>
      </c>
      <c r="AL803" t="s">
        <v>3670</v>
      </c>
      <c r="AM803" t="s">
        <v>3671</v>
      </c>
      <c r="AN803" t="s">
        <v>3672</v>
      </c>
      <c r="AO803" t="s">
        <v>15519</v>
      </c>
      <c r="AP803" t="s">
        <v>15520</v>
      </c>
      <c r="AQ803" t="s">
        <v>74</v>
      </c>
      <c r="AR803" t="s">
        <v>15521</v>
      </c>
      <c r="AS803" t="s">
        <v>15522</v>
      </c>
      <c r="AT803" t="s">
        <v>14661</v>
      </c>
      <c r="AU803">
        <v>2018</v>
      </c>
      <c r="AV803">
        <v>24</v>
      </c>
      <c r="AW803">
        <v>11</v>
      </c>
      <c r="AX803" t="s">
        <v>74</v>
      </c>
      <c r="AY803" t="s">
        <v>74</v>
      </c>
      <c r="AZ803" t="s">
        <v>74</v>
      </c>
      <c r="BA803" t="s">
        <v>74</v>
      </c>
      <c r="BB803">
        <v>5304</v>
      </c>
      <c r="BC803">
        <v>5317</v>
      </c>
      <c r="BD803" t="s">
        <v>74</v>
      </c>
      <c r="BE803" t="s">
        <v>15523</v>
      </c>
      <c r="BF803" t="str">
        <f>HYPERLINK("http://dx.doi.org/10.1111/gcb.14377","http://dx.doi.org/10.1111/gcb.14377")</f>
        <v>http://dx.doi.org/10.1111/gcb.14377</v>
      </c>
      <c r="BG803" t="s">
        <v>74</v>
      </c>
      <c r="BH803" t="s">
        <v>74</v>
      </c>
      <c r="BI803">
        <v>14</v>
      </c>
      <c r="BJ803" t="s">
        <v>6570</v>
      </c>
      <c r="BK803" t="s">
        <v>101</v>
      </c>
      <c r="BL803" t="s">
        <v>102</v>
      </c>
      <c r="BM803" t="s">
        <v>15524</v>
      </c>
      <c r="BN803">
        <v>29957836</v>
      </c>
      <c r="BO803" t="s">
        <v>2948</v>
      </c>
      <c r="BP803" t="s">
        <v>74</v>
      </c>
      <c r="BQ803" t="s">
        <v>74</v>
      </c>
      <c r="BR803" t="s">
        <v>104</v>
      </c>
      <c r="BS803" t="s">
        <v>15525</v>
      </c>
      <c r="BT803" t="str">
        <f>HYPERLINK("https%3A%2F%2Fwww.webofscience.com%2Fwos%2Fwoscc%2Ffull-record%2FWOS:000447760300025","View Full Record in Web of Science")</f>
        <v>View Full Record in Web of Science</v>
      </c>
    </row>
    <row r="804" spans="1:72" x14ac:dyDescent="0.15">
      <c r="A804" t="s">
        <v>72</v>
      </c>
      <c r="B804" t="s">
        <v>15526</v>
      </c>
      <c r="C804" t="s">
        <v>74</v>
      </c>
      <c r="D804" t="s">
        <v>74</v>
      </c>
      <c r="E804" t="s">
        <v>74</v>
      </c>
      <c r="F804" t="s">
        <v>15527</v>
      </c>
      <c r="G804" t="s">
        <v>74</v>
      </c>
      <c r="H804" t="s">
        <v>74</v>
      </c>
      <c r="I804" t="s">
        <v>15528</v>
      </c>
      <c r="J804" t="s">
        <v>15529</v>
      </c>
      <c r="K804" t="s">
        <v>74</v>
      </c>
      <c r="L804" t="s">
        <v>74</v>
      </c>
      <c r="M804" t="s">
        <v>78</v>
      </c>
      <c r="N804" t="s">
        <v>79</v>
      </c>
      <c r="O804" t="s">
        <v>74</v>
      </c>
      <c r="P804" t="s">
        <v>74</v>
      </c>
      <c r="Q804" t="s">
        <v>74</v>
      </c>
      <c r="R804" t="s">
        <v>74</v>
      </c>
      <c r="S804" t="s">
        <v>74</v>
      </c>
      <c r="T804" t="s">
        <v>74</v>
      </c>
      <c r="U804" t="s">
        <v>74</v>
      </c>
      <c r="V804" t="s">
        <v>15530</v>
      </c>
      <c r="W804" t="s">
        <v>15531</v>
      </c>
      <c r="X804" t="s">
        <v>15532</v>
      </c>
      <c r="Y804" t="s">
        <v>15533</v>
      </c>
      <c r="Z804" t="s">
        <v>74</v>
      </c>
      <c r="AA804" t="s">
        <v>74</v>
      </c>
      <c r="AB804" t="s">
        <v>15534</v>
      </c>
      <c r="AC804" t="s">
        <v>15535</v>
      </c>
      <c r="AD804" t="s">
        <v>15536</v>
      </c>
      <c r="AE804" t="s">
        <v>15537</v>
      </c>
      <c r="AF804" t="s">
        <v>74</v>
      </c>
      <c r="AG804">
        <v>35</v>
      </c>
      <c r="AH804">
        <v>14</v>
      </c>
      <c r="AI804">
        <v>15</v>
      </c>
      <c r="AJ804">
        <v>3</v>
      </c>
      <c r="AK804">
        <v>30</v>
      </c>
      <c r="AL804" t="s">
        <v>3670</v>
      </c>
      <c r="AM804" t="s">
        <v>3671</v>
      </c>
      <c r="AN804" t="s">
        <v>3672</v>
      </c>
      <c r="AO804" t="s">
        <v>15538</v>
      </c>
      <c r="AP804" t="s">
        <v>15539</v>
      </c>
      <c r="AQ804" t="s">
        <v>74</v>
      </c>
      <c r="AR804" t="s">
        <v>15540</v>
      </c>
      <c r="AS804" t="s">
        <v>15541</v>
      </c>
      <c r="AT804" t="s">
        <v>14661</v>
      </c>
      <c r="AU804">
        <v>2018</v>
      </c>
      <c r="AV804">
        <v>9</v>
      </c>
      <c r="AW804" t="s">
        <v>74</v>
      </c>
      <c r="AX804" t="s">
        <v>74</v>
      </c>
      <c r="AY804">
        <v>3</v>
      </c>
      <c r="AZ804" t="s">
        <v>4266</v>
      </c>
      <c r="BA804" t="s">
        <v>74</v>
      </c>
      <c r="BB804">
        <v>23</v>
      </c>
      <c r="BC804">
        <v>28</v>
      </c>
      <c r="BD804" t="s">
        <v>74</v>
      </c>
      <c r="BE804" t="s">
        <v>15542</v>
      </c>
      <c r="BF804" t="str">
        <f>HYPERLINK("http://dx.doi.org/10.1111/1758-5899.12576","http://dx.doi.org/10.1111/1758-5899.12576")</f>
        <v>http://dx.doi.org/10.1111/1758-5899.12576</v>
      </c>
      <c r="BG804" t="s">
        <v>74</v>
      </c>
      <c r="BH804" t="s">
        <v>74</v>
      </c>
      <c r="BI804">
        <v>6</v>
      </c>
      <c r="BJ804" t="s">
        <v>15543</v>
      </c>
      <c r="BK804" t="s">
        <v>10505</v>
      </c>
      <c r="BL804" t="s">
        <v>15544</v>
      </c>
      <c r="BM804" t="s">
        <v>15545</v>
      </c>
      <c r="BN804" t="s">
        <v>74</v>
      </c>
      <c r="BO804" t="s">
        <v>162</v>
      </c>
      <c r="BP804" t="s">
        <v>74</v>
      </c>
      <c r="BQ804" t="s">
        <v>74</v>
      </c>
      <c r="BR804" t="s">
        <v>104</v>
      </c>
      <c r="BS804" t="s">
        <v>15546</v>
      </c>
      <c r="BT804" t="str">
        <f>HYPERLINK("https%3A%2F%2Fwww.webofscience.com%2Fwos%2Fwoscc%2Ffull-record%2FWOS:000451604300004","View Full Record in Web of Science")</f>
        <v>View Full Record in Web of Science</v>
      </c>
    </row>
    <row r="805" spans="1:72" x14ac:dyDescent="0.15">
      <c r="A805" t="s">
        <v>72</v>
      </c>
      <c r="B805" t="s">
        <v>15547</v>
      </c>
      <c r="C805" t="s">
        <v>74</v>
      </c>
      <c r="D805" t="s">
        <v>74</v>
      </c>
      <c r="E805" t="s">
        <v>74</v>
      </c>
      <c r="F805" t="s">
        <v>15548</v>
      </c>
      <c r="G805" t="s">
        <v>74</v>
      </c>
      <c r="H805" t="s">
        <v>74</v>
      </c>
      <c r="I805" t="s">
        <v>15549</v>
      </c>
      <c r="J805" t="s">
        <v>15550</v>
      </c>
      <c r="K805" t="s">
        <v>74</v>
      </c>
      <c r="L805" t="s">
        <v>74</v>
      </c>
      <c r="M805" t="s">
        <v>78</v>
      </c>
      <c r="N805" t="s">
        <v>79</v>
      </c>
      <c r="O805" t="s">
        <v>74</v>
      </c>
      <c r="P805" t="s">
        <v>74</v>
      </c>
      <c r="Q805" t="s">
        <v>74</v>
      </c>
      <c r="R805" t="s">
        <v>74</v>
      </c>
      <c r="S805" t="s">
        <v>74</v>
      </c>
      <c r="T805" t="s">
        <v>15551</v>
      </c>
      <c r="U805" t="s">
        <v>15552</v>
      </c>
      <c r="V805" t="s">
        <v>15553</v>
      </c>
      <c r="W805" t="s">
        <v>15554</v>
      </c>
      <c r="X805" t="s">
        <v>15555</v>
      </c>
      <c r="Y805" t="s">
        <v>15556</v>
      </c>
      <c r="Z805" t="s">
        <v>15557</v>
      </c>
      <c r="AA805" t="s">
        <v>15558</v>
      </c>
      <c r="AB805" t="s">
        <v>15559</v>
      </c>
      <c r="AC805" t="s">
        <v>15560</v>
      </c>
      <c r="AD805" t="s">
        <v>15561</v>
      </c>
      <c r="AE805" t="s">
        <v>15562</v>
      </c>
      <c r="AF805" t="s">
        <v>74</v>
      </c>
      <c r="AG805">
        <v>63</v>
      </c>
      <c r="AH805">
        <v>51</v>
      </c>
      <c r="AI805">
        <v>55</v>
      </c>
      <c r="AJ805">
        <v>1</v>
      </c>
      <c r="AK805">
        <v>46</v>
      </c>
      <c r="AL805" t="s">
        <v>3290</v>
      </c>
      <c r="AM805" t="s">
        <v>2520</v>
      </c>
      <c r="AN805" t="s">
        <v>3291</v>
      </c>
      <c r="AO805" t="s">
        <v>15563</v>
      </c>
      <c r="AP805" t="s">
        <v>15564</v>
      </c>
      <c r="AQ805" t="s">
        <v>74</v>
      </c>
      <c r="AR805" t="s">
        <v>15550</v>
      </c>
      <c r="AS805" t="s">
        <v>15565</v>
      </c>
      <c r="AT805" t="s">
        <v>14661</v>
      </c>
      <c r="AU805">
        <v>2018</v>
      </c>
      <c r="AV805">
        <v>79</v>
      </c>
      <c r="AW805" t="s">
        <v>74</v>
      </c>
      <c r="AX805" t="s">
        <v>74</v>
      </c>
      <c r="AY805" t="s">
        <v>74</v>
      </c>
      <c r="AZ805" t="s">
        <v>4266</v>
      </c>
      <c r="BA805" t="s">
        <v>74</v>
      </c>
      <c r="BB805">
        <v>64</v>
      </c>
      <c r="BC805">
        <v>73</v>
      </c>
      <c r="BD805" t="s">
        <v>74</v>
      </c>
      <c r="BE805" t="s">
        <v>15566</v>
      </c>
      <c r="BF805" t="str">
        <f>HYPERLINK("http://dx.doi.org/10.1016/j.hal.2018.06.005","http://dx.doi.org/10.1016/j.hal.2018.06.005")</f>
        <v>http://dx.doi.org/10.1016/j.hal.2018.06.005</v>
      </c>
      <c r="BG805" t="s">
        <v>74</v>
      </c>
      <c r="BH805" t="s">
        <v>74</v>
      </c>
      <c r="BI805">
        <v>10</v>
      </c>
      <c r="BJ805" t="s">
        <v>694</v>
      </c>
      <c r="BK805" t="s">
        <v>101</v>
      </c>
      <c r="BL805" t="s">
        <v>694</v>
      </c>
      <c r="BM805" t="s">
        <v>15567</v>
      </c>
      <c r="BN805">
        <v>30420018</v>
      </c>
      <c r="BO805" t="s">
        <v>74</v>
      </c>
      <c r="BP805" t="s">
        <v>74</v>
      </c>
      <c r="BQ805" t="s">
        <v>74</v>
      </c>
      <c r="BR805" t="s">
        <v>104</v>
      </c>
      <c r="BS805" t="s">
        <v>15568</v>
      </c>
      <c r="BT805" t="str">
        <f>HYPERLINK("https%3A%2F%2Fwww.webofscience.com%2Fwos%2Fwoscc%2Ffull-record%2FWOS:000451655400007","View Full Record in Web of Science")</f>
        <v>View Full Record in Web of Science</v>
      </c>
    </row>
    <row r="806" spans="1:72" x14ac:dyDescent="0.15">
      <c r="A806" t="s">
        <v>72</v>
      </c>
      <c r="B806" t="s">
        <v>15569</v>
      </c>
      <c r="C806" t="s">
        <v>74</v>
      </c>
      <c r="D806" t="s">
        <v>74</v>
      </c>
      <c r="E806" t="s">
        <v>74</v>
      </c>
      <c r="F806" t="s">
        <v>15570</v>
      </c>
      <c r="G806" t="s">
        <v>74</v>
      </c>
      <c r="H806" t="s">
        <v>74</v>
      </c>
      <c r="I806" t="s">
        <v>15571</v>
      </c>
      <c r="J806" t="s">
        <v>15572</v>
      </c>
      <c r="K806" t="s">
        <v>74</v>
      </c>
      <c r="L806" t="s">
        <v>74</v>
      </c>
      <c r="M806" t="s">
        <v>78</v>
      </c>
      <c r="N806" t="s">
        <v>79</v>
      </c>
      <c r="O806" t="s">
        <v>74</v>
      </c>
      <c r="P806" t="s">
        <v>74</v>
      </c>
      <c r="Q806" t="s">
        <v>74</v>
      </c>
      <c r="R806" t="s">
        <v>74</v>
      </c>
      <c r="S806" t="s">
        <v>74</v>
      </c>
      <c r="T806" t="s">
        <v>15573</v>
      </c>
      <c r="U806" t="s">
        <v>15574</v>
      </c>
      <c r="V806" t="s">
        <v>15575</v>
      </c>
      <c r="W806" t="s">
        <v>15576</v>
      </c>
      <c r="X806" t="s">
        <v>15577</v>
      </c>
      <c r="Y806" t="s">
        <v>15578</v>
      </c>
      <c r="Z806" t="s">
        <v>15579</v>
      </c>
      <c r="AA806" t="s">
        <v>15580</v>
      </c>
      <c r="AB806" t="s">
        <v>15581</v>
      </c>
      <c r="AC806" t="s">
        <v>15582</v>
      </c>
      <c r="AD806" t="s">
        <v>15583</v>
      </c>
      <c r="AE806" t="s">
        <v>15584</v>
      </c>
      <c r="AF806" t="s">
        <v>74</v>
      </c>
      <c r="AG806">
        <v>100</v>
      </c>
      <c r="AH806">
        <v>14</v>
      </c>
      <c r="AI806">
        <v>14</v>
      </c>
      <c r="AJ806">
        <v>1</v>
      </c>
      <c r="AK806">
        <v>10</v>
      </c>
      <c r="AL806" t="s">
        <v>11140</v>
      </c>
      <c r="AM806" t="s">
        <v>3008</v>
      </c>
      <c r="AN806" t="s">
        <v>11141</v>
      </c>
      <c r="AO806" t="s">
        <v>15585</v>
      </c>
      <c r="AP806" t="s">
        <v>15586</v>
      </c>
      <c r="AQ806" t="s">
        <v>74</v>
      </c>
      <c r="AR806" t="s">
        <v>15572</v>
      </c>
      <c r="AS806" t="s">
        <v>15587</v>
      </c>
      <c r="AT806" t="s">
        <v>14661</v>
      </c>
      <c r="AU806">
        <v>2018</v>
      </c>
      <c r="AV806">
        <v>28</v>
      </c>
      <c r="AW806">
        <v>11</v>
      </c>
      <c r="AX806" t="s">
        <v>74</v>
      </c>
      <c r="AY806" t="s">
        <v>74</v>
      </c>
      <c r="AZ806" t="s">
        <v>74</v>
      </c>
      <c r="BA806" t="s">
        <v>74</v>
      </c>
      <c r="BB806">
        <v>1731</v>
      </c>
      <c r="BC806">
        <v>1744</v>
      </c>
      <c r="BD806" t="s">
        <v>74</v>
      </c>
      <c r="BE806" t="s">
        <v>15588</v>
      </c>
      <c r="BF806" t="str">
        <f>HYPERLINK("http://dx.doi.org/10.1177/0959683618788701","http://dx.doi.org/10.1177/0959683618788701")</f>
        <v>http://dx.doi.org/10.1177/0959683618788701</v>
      </c>
      <c r="BG806" t="s">
        <v>74</v>
      </c>
      <c r="BH806" t="s">
        <v>74</v>
      </c>
      <c r="BI806">
        <v>14</v>
      </c>
      <c r="BJ806" t="s">
        <v>1480</v>
      </c>
      <c r="BK806" t="s">
        <v>101</v>
      </c>
      <c r="BL806" t="s">
        <v>1481</v>
      </c>
      <c r="BM806" t="s">
        <v>15589</v>
      </c>
      <c r="BN806" t="s">
        <v>74</v>
      </c>
      <c r="BO806" t="s">
        <v>3810</v>
      </c>
      <c r="BP806" t="s">
        <v>74</v>
      </c>
      <c r="BQ806" t="s">
        <v>74</v>
      </c>
      <c r="BR806" t="s">
        <v>104</v>
      </c>
      <c r="BS806" t="s">
        <v>15590</v>
      </c>
      <c r="BT806" t="str">
        <f>HYPERLINK("https%3A%2F%2Fwww.webofscience.com%2Fwos%2Fwoscc%2Ffull-record%2FWOS:000449285200005","View Full Record in Web of Science")</f>
        <v>View Full Record in Web of Science</v>
      </c>
    </row>
    <row r="807" spans="1:72" x14ac:dyDescent="0.15">
      <c r="A807" t="s">
        <v>72</v>
      </c>
      <c r="B807" t="s">
        <v>15591</v>
      </c>
      <c r="C807" t="s">
        <v>74</v>
      </c>
      <c r="D807" t="s">
        <v>74</v>
      </c>
      <c r="E807" t="s">
        <v>74</v>
      </c>
      <c r="F807" t="s">
        <v>15592</v>
      </c>
      <c r="G807" t="s">
        <v>74</v>
      </c>
      <c r="H807" t="s">
        <v>74</v>
      </c>
      <c r="I807" t="s">
        <v>15593</v>
      </c>
      <c r="J807" t="s">
        <v>3742</v>
      </c>
      <c r="K807" t="s">
        <v>74</v>
      </c>
      <c r="L807" t="s">
        <v>74</v>
      </c>
      <c r="M807" t="s">
        <v>78</v>
      </c>
      <c r="N807" t="s">
        <v>79</v>
      </c>
      <c r="O807" t="s">
        <v>74</v>
      </c>
      <c r="P807" t="s">
        <v>74</v>
      </c>
      <c r="Q807" t="s">
        <v>74</v>
      </c>
      <c r="R807" t="s">
        <v>74</v>
      </c>
      <c r="S807" t="s">
        <v>74</v>
      </c>
      <c r="T807" t="s">
        <v>15594</v>
      </c>
      <c r="U807" t="s">
        <v>15595</v>
      </c>
      <c r="V807" t="s">
        <v>15596</v>
      </c>
      <c r="W807" t="s">
        <v>15597</v>
      </c>
      <c r="X807" t="s">
        <v>15598</v>
      </c>
      <c r="Y807" t="s">
        <v>15599</v>
      </c>
      <c r="Z807" t="s">
        <v>15600</v>
      </c>
      <c r="AA807" t="s">
        <v>15601</v>
      </c>
      <c r="AB807" t="s">
        <v>15602</v>
      </c>
      <c r="AC807" t="s">
        <v>15603</v>
      </c>
      <c r="AD807" t="s">
        <v>15604</v>
      </c>
      <c r="AE807" t="s">
        <v>15605</v>
      </c>
      <c r="AF807" t="s">
        <v>74</v>
      </c>
      <c r="AG807">
        <v>41</v>
      </c>
      <c r="AH807">
        <v>7</v>
      </c>
      <c r="AI807">
        <v>7</v>
      </c>
      <c r="AJ807">
        <v>0</v>
      </c>
      <c r="AK807">
        <v>16</v>
      </c>
      <c r="AL807" t="s">
        <v>3729</v>
      </c>
      <c r="AM807" t="s">
        <v>3353</v>
      </c>
      <c r="AN807" t="s">
        <v>3730</v>
      </c>
      <c r="AO807" t="s">
        <v>3754</v>
      </c>
      <c r="AP807" t="s">
        <v>3755</v>
      </c>
      <c r="AQ807" t="s">
        <v>74</v>
      </c>
      <c r="AR807" t="s">
        <v>3756</v>
      </c>
      <c r="AS807" t="s">
        <v>3757</v>
      </c>
      <c r="AT807" t="s">
        <v>14880</v>
      </c>
      <c r="AU807">
        <v>2018</v>
      </c>
      <c r="AV807">
        <v>75</v>
      </c>
      <c r="AW807">
        <v>6</v>
      </c>
      <c r="AX807" t="s">
        <v>74</v>
      </c>
      <c r="AY807" t="s">
        <v>74</v>
      </c>
      <c r="AZ807" t="s">
        <v>74</v>
      </c>
      <c r="BA807" t="s">
        <v>74</v>
      </c>
      <c r="BB807">
        <v>1965</v>
      </c>
      <c r="BC807">
        <v>1974</v>
      </c>
      <c r="BD807" t="s">
        <v>74</v>
      </c>
      <c r="BE807" t="s">
        <v>15606</v>
      </c>
      <c r="BF807" t="str">
        <f>HYPERLINK("http://dx.doi.org/10.1093/icesjms/fsy081","http://dx.doi.org/10.1093/icesjms/fsy081")</f>
        <v>http://dx.doi.org/10.1093/icesjms/fsy081</v>
      </c>
      <c r="BG807" t="s">
        <v>74</v>
      </c>
      <c r="BH807" t="s">
        <v>74</v>
      </c>
      <c r="BI807">
        <v>10</v>
      </c>
      <c r="BJ807" t="s">
        <v>3759</v>
      </c>
      <c r="BK807" t="s">
        <v>3493</v>
      </c>
      <c r="BL807" t="s">
        <v>3759</v>
      </c>
      <c r="BM807" t="s">
        <v>15607</v>
      </c>
      <c r="BN807" t="s">
        <v>74</v>
      </c>
      <c r="BO807" t="s">
        <v>15608</v>
      </c>
      <c r="BP807" t="s">
        <v>74</v>
      </c>
      <c r="BQ807" t="s">
        <v>74</v>
      </c>
      <c r="BR807" t="s">
        <v>104</v>
      </c>
      <c r="BS807" t="s">
        <v>15609</v>
      </c>
      <c r="BT807" t="str">
        <f>HYPERLINK("https%3A%2F%2Fwww.webofscience.com%2Fwos%2Fwoscc%2Ffull-record%2FWOS:000452130300011","View Full Record in Web of Science")</f>
        <v>View Full Record in Web of Science</v>
      </c>
    </row>
    <row r="808" spans="1:72" x14ac:dyDescent="0.15">
      <c r="A808" t="s">
        <v>72</v>
      </c>
      <c r="B808" t="s">
        <v>15610</v>
      </c>
      <c r="C808" t="s">
        <v>74</v>
      </c>
      <c r="D808" t="s">
        <v>74</v>
      </c>
      <c r="E808" t="s">
        <v>74</v>
      </c>
      <c r="F808" t="s">
        <v>15611</v>
      </c>
      <c r="G808" t="s">
        <v>74</v>
      </c>
      <c r="H808" t="s">
        <v>74</v>
      </c>
      <c r="I808" t="s">
        <v>15612</v>
      </c>
      <c r="J808" t="s">
        <v>3742</v>
      </c>
      <c r="K808" t="s">
        <v>74</v>
      </c>
      <c r="L808" t="s">
        <v>74</v>
      </c>
      <c r="M808" t="s">
        <v>78</v>
      </c>
      <c r="N808" t="s">
        <v>79</v>
      </c>
      <c r="O808" t="s">
        <v>74</v>
      </c>
      <c r="P808" t="s">
        <v>74</v>
      </c>
      <c r="Q808" t="s">
        <v>74</v>
      </c>
      <c r="R808" t="s">
        <v>74</v>
      </c>
      <c r="S808" t="s">
        <v>74</v>
      </c>
      <c r="T808" t="s">
        <v>15613</v>
      </c>
      <c r="U808" t="s">
        <v>15614</v>
      </c>
      <c r="V808" t="s">
        <v>15615</v>
      </c>
      <c r="W808" t="s">
        <v>15616</v>
      </c>
      <c r="X808" t="s">
        <v>15617</v>
      </c>
      <c r="Y808" t="s">
        <v>15618</v>
      </c>
      <c r="Z808" t="s">
        <v>15619</v>
      </c>
      <c r="AA808" t="s">
        <v>15620</v>
      </c>
      <c r="AB808" t="s">
        <v>7498</v>
      </c>
      <c r="AC808" t="s">
        <v>74</v>
      </c>
      <c r="AD808" t="s">
        <v>74</v>
      </c>
      <c r="AE808" t="s">
        <v>74</v>
      </c>
      <c r="AF808" t="s">
        <v>74</v>
      </c>
      <c r="AG808">
        <v>65</v>
      </c>
      <c r="AH808">
        <v>7</v>
      </c>
      <c r="AI808">
        <v>8</v>
      </c>
      <c r="AJ808">
        <v>1</v>
      </c>
      <c r="AK808">
        <v>18</v>
      </c>
      <c r="AL808" t="s">
        <v>3729</v>
      </c>
      <c r="AM808" t="s">
        <v>3353</v>
      </c>
      <c r="AN808" t="s">
        <v>3730</v>
      </c>
      <c r="AO808" t="s">
        <v>3754</v>
      </c>
      <c r="AP808" t="s">
        <v>3755</v>
      </c>
      <c r="AQ808" t="s">
        <v>74</v>
      </c>
      <c r="AR808" t="s">
        <v>3756</v>
      </c>
      <c r="AS808" t="s">
        <v>3757</v>
      </c>
      <c r="AT808" t="s">
        <v>14880</v>
      </c>
      <c r="AU808">
        <v>2018</v>
      </c>
      <c r="AV808">
        <v>75</v>
      </c>
      <c r="AW808">
        <v>6</v>
      </c>
      <c r="AX808" t="s">
        <v>74</v>
      </c>
      <c r="AY808" t="s">
        <v>74</v>
      </c>
      <c r="AZ808" t="s">
        <v>74</v>
      </c>
      <c r="BA808" t="s">
        <v>74</v>
      </c>
      <c r="BB808">
        <v>2193</v>
      </c>
      <c r="BC808">
        <v>2201</v>
      </c>
      <c r="BD808" t="s">
        <v>74</v>
      </c>
      <c r="BE808" t="s">
        <v>15621</v>
      </c>
      <c r="BF808" t="str">
        <f>HYPERLINK("http://dx.doi.org/10.1093/icesjms/fsy093","http://dx.doi.org/10.1093/icesjms/fsy093")</f>
        <v>http://dx.doi.org/10.1093/icesjms/fsy093</v>
      </c>
      <c r="BG808" t="s">
        <v>74</v>
      </c>
      <c r="BH808" t="s">
        <v>74</v>
      </c>
      <c r="BI808">
        <v>9</v>
      </c>
      <c r="BJ808" t="s">
        <v>3759</v>
      </c>
      <c r="BK808" t="s">
        <v>101</v>
      </c>
      <c r="BL808" t="s">
        <v>3759</v>
      </c>
      <c r="BM808" t="s">
        <v>15607</v>
      </c>
      <c r="BN808" t="s">
        <v>74</v>
      </c>
      <c r="BO808" t="s">
        <v>162</v>
      </c>
      <c r="BP808" t="s">
        <v>74</v>
      </c>
      <c r="BQ808" t="s">
        <v>74</v>
      </c>
      <c r="BR808" t="s">
        <v>104</v>
      </c>
      <c r="BS808" t="s">
        <v>15622</v>
      </c>
      <c r="BT808" t="str">
        <f>HYPERLINK("https%3A%2F%2Fwww.webofscience.com%2Fwos%2Fwoscc%2Ffull-record%2FWOS:000452130300032","View Full Record in Web of Science")</f>
        <v>View Full Record in Web of Science</v>
      </c>
    </row>
    <row r="809" spans="1:72" x14ac:dyDescent="0.15">
      <c r="A809" t="s">
        <v>72</v>
      </c>
      <c r="B809" t="s">
        <v>4364</v>
      </c>
      <c r="C809" t="s">
        <v>74</v>
      </c>
      <c r="D809" t="s">
        <v>74</v>
      </c>
      <c r="E809" t="s">
        <v>74</v>
      </c>
      <c r="F809" t="s">
        <v>4365</v>
      </c>
      <c r="G809" t="s">
        <v>74</v>
      </c>
      <c r="H809" t="s">
        <v>74</v>
      </c>
      <c r="I809" t="s">
        <v>15623</v>
      </c>
      <c r="J809" t="s">
        <v>4367</v>
      </c>
      <c r="K809" t="s">
        <v>74</v>
      </c>
      <c r="L809" t="s">
        <v>74</v>
      </c>
      <c r="M809" t="s">
        <v>78</v>
      </c>
      <c r="N809" t="s">
        <v>79</v>
      </c>
      <c r="O809" t="s">
        <v>74</v>
      </c>
      <c r="P809" t="s">
        <v>74</v>
      </c>
      <c r="Q809" t="s">
        <v>74</v>
      </c>
      <c r="R809" t="s">
        <v>74</v>
      </c>
      <c r="S809" t="s">
        <v>74</v>
      </c>
      <c r="T809" t="s">
        <v>15624</v>
      </c>
      <c r="U809" t="s">
        <v>15625</v>
      </c>
      <c r="V809" t="s">
        <v>15626</v>
      </c>
      <c r="W809" t="s">
        <v>4371</v>
      </c>
      <c r="X809" t="s">
        <v>893</v>
      </c>
      <c r="Y809" t="s">
        <v>4372</v>
      </c>
      <c r="Z809" t="s">
        <v>4373</v>
      </c>
      <c r="AA809" t="s">
        <v>4374</v>
      </c>
      <c r="AB809" t="s">
        <v>74</v>
      </c>
      <c r="AC809" t="s">
        <v>74</v>
      </c>
      <c r="AD809" t="s">
        <v>74</v>
      </c>
      <c r="AE809" t="s">
        <v>74</v>
      </c>
      <c r="AF809" t="s">
        <v>74</v>
      </c>
      <c r="AG809">
        <v>36</v>
      </c>
      <c r="AH809">
        <v>17</v>
      </c>
      <c r="AI809">
        <v>17</v>
      </c>
      <c r="AJ809">
        <v>0</v>
      </c>
      <c r="AK809">
        <v>3</v>
      </c>
      <c r="AL809" t="s">
        <v>3352</v>
      </c>
      <c r="AM809" t="s">
        <v>3353</v>
      </c>
      <c r="AN809" t="s">
        <v>3354</v>
      </c>
      <c r="AO809" t="s">
        <v>4378</v>
      </c>
      <c r="AP809" t="s">
        <v>4379</v>
      </c>
      <c r="AQ809" t="s">
        <v>74</v>
      </c>
      <c r="AR809" t="s">
        <v>4380</v>
      </c>
      <c r="AS809" t="s">
        <v>4381</v>
      </c>
      <c r="AT809" t="s">
        <v>14661</v>
      </c>
      <c r="AU809">
        <v>2018</v>
      </c>
      <c r="AV809">
        <v>180</v>
      </c>
      <c r="AW809" t="s">
        <v>74</v>
      </c>
      <c r="AX809" t="s">
        <v>74</v>
      </c>
      <c r="AY809" t="s">
        <v>74</v>
      </c>
      <c r="AZ809" t="s">
        <v>4266</v>
      </c>
      <c r="BA809" t="s">
        <v>74</v>
      </c>
      <c r="BB809">
        <v>60</v>
      </c>
      <c r="BC809">
        <v>77</v>
      </c>
      <c r="BD809" t="s">
        <v>74</v>
      </c>
      <c r="BE809" t="s">
        <v>15627</v>
      </c>
      <c r="BF809" t="str">
        <f>HYPERLINK("http://dx.doi.org/10.1016/j.jastp.2017.10.012","http://dx.doi.org/10.1016/j.jastp.2017.10.012")</f>
        <v>http://dx.doi.org/10.1016/j.jastp.2017.10.012</v>
      </c>
      <c r="BG809" t="s">
        <v>74</v>
      </c>
      <c r="BH809" t="s">
        <v>74</v>
      </c>
      <c r="BI809">
        <v>18</v>
      </c>
      <c r="BJ809" t="s">
        <v>4383</v>
      </c>
      <c r="BK809" t="s">
        <v>101</v>
      </c>
      <c r="BL809" t="s">
        <v>4383</v>
      </c>
      <c r="BM809" t="s">
        <v>15628</v>
      </c>
      <c r="BN809" t="s">
        <v>74</v>
      </c>
      <c r="BO809" t="s">
        <v>74</v>
      </c>
      <c r="BP809" t="s">
        <v>74</v>
      </c>
      <c r="BQ809" t="s">
        <v>74</v>
      </c>
      <c r="BR809" t="s">
        <v>104</v>
      </c>
      <c r="BS809" t="s">
        <v>15629</v>
      </c>
      <c r="BT809" t="str">
        <f>HYPERLINK("https%3A%2F%2Fwww.webofscience.com%2Fwos%2Fwoscc%2Ffull-record%2FWOS:000452579200009","View Full Record in Web of Science")</f>
        <v>View Full Record in Web of Science</v>
      </c>
    </row>
    <row r="810" spans="1:72" x14ac:dyDescent="0.15">
      <c r="A810" t="s">
        <v>72</v>
      </c>
      <c r="B810" t="s">
        <v>15630</v>
      </c>
      <c r="C810" t="s">
        <v>74</v>
      </c>
      <c r="D810" t="s">
        <v>74</v>
      </c>
      <c r="E810" t="s">
        <v>74</v>
      </c>
      <c r="F810" t="s">
        <v>15631</v>
      </c>
      <c r="G810" t="s">
        <v>74</v>
      </c>
      <c r="H810" t="s">
        <v>74</v>
      </c>
      <c r="I810" t="s">
        <v>15632</v>
      </c>
      <c r="J810" t="s">
        <v>4367</v>
      </c>
      <c r="K810" t="s">
        <v>74</v>
      </c>
      <c r="L810" t="s">
        <v>74</v>
      </c>
      <c r="M810" t="s">
        <v>78</v>
      </c>
      <c r="N810" t="s">
        <v>79</v>
      </c>
      <c r="O810" t="s">
        <v>74</v>
      </c>
      <c r="P810" t="s">
        <v>74</v>
      </c>
      <c r="Q810" t="s">
        <v>74</v>
      </c>
      <c r="R810" t="s">
        <v>74</v>
      </c>
      <c r="S810" t="s">
        <v>74</v>
      </c>
      <c r="T810" t="s">
        <v>15633</v>
      </c>
      <c r="U810" t="s">
        <v>15634</v>
      </c>
      <c r="V810" t="s">
        <v>15635</v>
      </c>
      <c r="W810" t="s">
        <v>15636</v>
      </c>
      <c r="X810" t="s">
        <v>4674</v>
      </c>
      <c r="Y810" t="s">
        <v>15637</v>
      </c>
      <c r="Z810" t="s">
        <v>15638</v>
      </c>
      <c r="AA810" t="s">
        <v>15639</v>
      </c>
      <c r="AB810" t="s">
        <v>15640</v>
      </c>
      <c r="AC810" t="s">
        <v>15641</v>
      </c>
      <c r="AD810" t="s">
        <v>15642</v>
      </c>
      <c r="AE810" t="s">
        <v>15643</v>
      </c>
      <c r="AF810" t="s">
        <v>74</v>
      </c>
      <c r="AG810">
        <v>29</v>
      </c>
      <c r="AH810">
        <v>14</v>
      </c>
      <c r="AI810">
        <v>14</v>
      </c>
      <c r="AJ810">
        <v>1</v>
      </c>
      <c r="AK810">
        <v>8</v>
      </c>
      <c r="AL810" t="s">
        <v>3352</v>
      </c>
      <c r="AM810" t="s">
        <v>3353</v>
      </c>
      <c r="AN810" t="s">
        <v>3354</v>
      </c>
      <c r="AO810" t="s">
        <v>4378</v>
      </c>
      <c r="AP810" t="s">
        <v>4379</v>
      </c>
      <c r="AQ810" t="s">
        <v>74</v>
      </c>
      <c r="AR810" t="s">
        <v>4380</v>
      </c>
      <c r="AS810" t="s">
        <v>4381</v>
      </c>
      <c r="AT810" t="s">
        <v>14661</v>
      </c>
      <c r="AU810">
        <v>2018</v>
      </c>
      <c r="AV810">
        <v>180</v>
      </c>
      <c r="AW810" t="s">
        <v>74</v>
      </c>
      <c r="AX810" t="s">
        <v>74</v>
      </c>
      <c r="AY810" t="s">
        <v>74</v>
      </c>
      <c r="AZ810" t="s">
        <v>4266</v>
      </c>
      <c r="BA810" t="s">
        <v>74</v>
      </c>
      <c r="BB810">
        <v>148</v>
      </c>
      <c r="BC810">
        <v>152</v>
      </c>
      <c r="BD810" t="s">
        <v>74</v>
      </c>
      <c r="BE810" t="s">
        <v>15644</v>
      </c>
      <c r="BF810" t="str">
        <f>HYPERLINK("http://dx.doi.org/10.1016/j.jastp.2017.08.027","http://dx.doi.org/10.1016/j.jastp.2017.08.027")</f>
        <v>http://dx.doi.org/10.1016/j.jastp.2017.08.027</v>
      </c>
      <c r="BG810" t="s">
        <v>74</v>
      </c>
      <c r="BH810" t="s">
        <v>74</v>
      </c>
      <c r="BI810">
        <v>5</v>
      </c>
      <c r="BJ810" t="s">
        <v>4383</v>
      </c>
      <c r="BK810" t="s">
        <v>101</v>
      </c>
      <c r="BL810" t="s">
        <v>4383</v>
      </c>
      <c r="BM810" t="s">
        <v>15628</v>
      </c>
      <c r="BN810" t="s">
        <v>74</v>
      </c>
      <c r="BO810" t="s">
        <v>6572</v>
      </c>
      <c r="BP810" t="s">
        <v>74</v>
      </c>
      <c r="BQ810" t="s">
        <v>74</v>
      </c>
      <c r="BR810" t="s">
        <v>104</v>
      </c>
      <c r="BS810" t="s">
        <v>15645</v>
      </c>
      <c r="BT810" t="str">
        <f>HYPERLINK("https%3A%2F%2Fwww.webofscience.com%2Fwos%2Fwoscc%2Ffull-record%2FWOS:000452579200016","View Full Record in Web of Science")</f>
        <v>View Full Record in Web of Science</v>
      </c>
    </row>
    <row r="811" spans="1:72" x14ac:dyDescent="0.15">
      <c r="A811" t="s">
        <v>72</v>
      </c>
      <c r="B811" t="s">
        <v>15646</v>
      </c>
      <c r="C811" t="s">
        <v>74</v>
      </c>
      <c r="D811" t="s">
        <v>74</v>
      </c>
      <c r="E811" t="s">
        <v>74</v>
      </c>
      <c r="F811" t="s">
        <v>15647</v>
      </c>
      <c r="G811" t="s">
        <v>74</v>
      </c>
      <c r="H811" t="s">
        <v>74</v>
      </c>
      <c r="I811" t="s">
        <v>15648</v>
      </c>
      <c r="J811" t="s">
        <v>4367</v>
      </c>
      <c r="K811" t="s">
        <v>74</v>
      </c>
      <c r="L811" t="s">
        <v>74</v>
      </c>
      <c r="M811" t="s">
        <v>78</v>
      </c>
      <c r="N811" t="s">
        <v>79</v>
      </c>
      <c r="O811" t="s">
        <v>74</v>
      </c>
      <c r="P811" t="s">
        <v>74</v>
      </c>
      <c r="Q811" t="s">
        <v>74</v>
      </c>
      <c r="R811" t="s">
        <v>74</v>
      </c>
      <c r="S811" t="s">
        <v>74</v>
      </c>
      <c r="T811" t="s">
        <v>74</v>
      </c>
      <c r="U811" t="s">
        <v>15649</v>
      </c>
      <c r="V811" t="s">
        <v>15650</v>
      </c>
      <c r="W811" t="s">
        <v>15651</v>
      </c>
      <c r="X811" t="s">
        <v>15652</v>
      </c>
      <c r="Y811" t="s">
        <v>15653</v>
      </c>
      <c r="Z811" t="s">
        <v>14135</v>
      </c>
      <c r="AA811" t="s">
        <v>15654</v>
      </c>
      <c r="AB811" t="s">
        <v>15655</v>
      </c>
      <c r="AC811" t="s">
        <v>15656</v>
      </c>
      <c r="AD811" t="s">
        <v>15657</v>
      </c>
      <c r="AE811" t="s">
        <v>15658</v>
      </c>
      <c r="AF811" t="s">
        <v>74</v>
      </c>
      <c r="AG811">
        <v>36</v>
      </c>
      <c r="AH811">
        <v>24</v>
      </c>
      <c r="AI811">
        <v>24</v>
      </c>
      <c r="AJ811">
        <v>1</v>
      </c>
      <c r="AK811">
        <v>7</v>
      </c>
      <c r="AL811" t="s">
        <v>3352</v>
      </c>
      <c r="AM811" t="s">
        <v>3353</v>
      </c>
      <c r="AN811" t="s">
        <v>3354</v>
      </c>
      <c r="AO811" t="s">
        <v>4378</v>
      </c>
      <c r="AP811" t="s">
        <v>4379</v>
      </c>
      <c r="AQ811" t="s">
        <v>74</v>
      </c>
      <c r="AR811" t="s">
        <v>4380</v>
      </c>
      <c r="AS811" t="s">
        <v>4381</v>
      </c>
      <c r="AT811" t="s">
        <v>14661</v>
      </c>
      <c r="AU811">
        <v>2018</v>
      </c>
      <c r="AV811">
        <v>179</v>
      </c>
      <c r="AW811" t="s">
        <v>74</v>
      </c>
      <c r="AX811" t="s">
        <v>74</v>
      </c>
      <c r="AY811" t="s">
        <v>74</v>
      </c>
      <c r="AZ811" t="s">
        <v>74</v>
      </c>
      <c r="BA811" t="s">
        <v>74</v>
      </c>
      <c r="BB811">
        <v>81</v>
      </c>
      <c r="BC811">
        <v>93</v>
      </c>
      <c r="BD811" t="s">
        <v>74</v>
      </c>
      <c r="BE811" t="s">
        <v>15659</v>
      </c>
      <c r="BF811" t="str">
        <f>HYPERLINK("http://dx.doi.org/10.1016/j.jastp.2018.06.017","http://dx.doi.org/10.1016/j.jastp.2018.06.017")</f>
        <v>http://dx.doi.org/10.1016/j.jastp.2018.06.017</v>
      </c>
      <c r="BG811" t="s">
        <v>74</v>
      </c>
      <c r="BH811" t="s">
        <v>74</v>
      </c>
      <c r="BI811">
        <v>13</v>
      </c>
      <c r="BJ811" t="s">
        <v>4383</v>
      </c>
      <c r="BK811" t="s">
        <v>101</v>
      </c>
      <c r="BL811" t="s">
        <v>4383</v>
      </c>
      <c r="BM811" t="s">
        <v>15660</v>
      </c>
      <c r="BN811" t="s">
        <v>74</v>
      </c>
      <c r="BO811" t="s">
        <v>74</v>
      </c>
      <c r="BP811" t="s">
        <v>74</v>
      </c>
      <c r="BQ811" t="s">
        <v>74</v>
      </c>
      <c r="BR811" t="s">
        <v>104</v>
      </c>
      <c r="BS811" t="s">
        <v>15661</v>
      </c>
      <c r="BT811" t="str">
        <f>HYPERLINK("https%3A%2F%2Fwww.webofscience.com%2Fwos%2Fwoscc%2Ffull-record%2FWOS:000449447700008","View Full Record in Web of Science")</f>
        <v>View Full Record in Web of Science</v>
      </c>
    </row>
    <row r="812" spans="1:72" x14ac:dyDescent="0.15">
      <c r="A812" t="s">
        <v>72</v>
      </c>
      <c r="B812" t="s">
        <v>15662</v>
      </c>
      <c r="C812" t="s">
        <v>74</v>
      </c>
      <c r="D812" t="s">
        <v>74</v>
      </c>
      <c r="E812" t="s">
        <v>74</v>
      </c>
      <c r="F812" t="s">
        <v>15663</v>
      </c>
      <c r="G812" t="s">
        <v>74</v>
      </c>
      <c r="H812" t="s">
        <v>74</v>
      </c>
      <c r="I812" t="s">
        <v>15664</v>
      </c>
      <c r="J812" t="s">
        <v>4367</v>
      </c>
      <c r="K812" t="s">
        <v>74</v>
      </c>
      <c r="L812" t="s">
        <v>74</v>
      </c>
      <c r="M812" t="s">
        <v>78</v>
      </c>
      <c r="N812" t="s">
        <v>79</v>
      </c>
      <c r="O812" t="s">
        <v>74</v>
      </c>
      <c r="P812" t="s">
        <v>74</v>
      </c>
      <c r="Q812" t="s">
        <v>74</v>
      </c>
      <c r="R812" t="s">
        <v>74</v>
      </c>
      <c r="S812" t="s">
        <v>74</v>
      </c>
      <c r="T812" t="s">
        <v>15665</v>
      </c>
      <c r="U812" t="s">
        <v>15666</v>
      </c>
      <c r="V812" t="s">
        <v>15667</v>
      </c>
      <c r="W812" t="s">
        <v>15668</v>
      </c>
      <c r="X812" t="s">
        <v>15669</v>
      </c>
      <c r="Y812" t="s">
        <v>15670</v>
      </c>
      <c r="Z812" t="s">
        <v>15671</v>
      </c>
      <c r="AA812" t="s">
        <v>15672</v>
      </c>
      <c r="AB812" t="s">
        <v>15673</v>
      </c>
      <c r="AC812" t="s">
        <v>15674</v>
      </c>
      <c r="AD812" t="s">
        <v>15675</v>
      </c>
      <c r="AE812" t="s">
        <v>15676</v>
      </c>
      <c r="AF812" t="s">
        <v>74</v>
      </c>
      <c r="AG812">
        <v>25</v>
      </c>
      <c r="AH812">
        <v>8</v>
      </c>
      <c r="AI812">
        <v>10</v>
      </c>
      <c r="AJ812">
        <v>0</v>
      </c>
      <c r="AK812">
        <v>18</v>
      </c>
      <c r="AL812" t="s">
        <v>3352</v>
      </c>
      <c r="AM812" t="s">
        <v>3353</v>
      </c>
      <c r="AN812" t="s">
        <v>3354</v>
      </c>
      <c r="AO812" t="s">
        <v>4378</v>
      </c>
      <c r="AP812" t="s">
        <v>4379</v>
      </c>
      <c r="AQ812" t="s">
        <v>74</v>
      </c>
      <c r="AR812" t="s">
        <v>4380</v>
      </c>
      <c r="AS812" t="s">
        <v>4381</v>
      </c>
      <c r="AT812" t="s">
        <v>14661</v>
      </c>
      <c r="AU812">
        <v>2018</v>
      </c>
      <c r="AV812">
        <v>179</v>
      </c>
      <c r="AW812" t="s">
        <v>74</v>
      </c>
      <c r="AX812" t="s">
        <v>74</v>
      </c>
      <c r="AY812" t="s">
        <v>74</v>
      </c>
      <c r="AZ812" t="s">
        <v>74</v>
      </c>
      <c r="BA812" t="s">
        <v>74</v>
      </c>
      <c r="BB812">
        <v>358</v>
      </c>
      <c r="BC812">
        <v>366</v>
      </c>
      <c r="BD812" t="s">
        <v>74</v>
      </c>
      <c r="BE812" t="s">
        <v>15677</v>
      </c>
      <c r="BF812" t="str">
        <f>HYPERLINK("http://dx.doi.org/10.1016/j.jastp.2018.08.016","http://dx.doi.org/10.1016/j.jastp.2018.08.016")</f>
        <v>http://dx.doi.org/10.1016/j.jastp.2018.08.016</v>
      </c>
      <c r="BG812" t="s">
        <v>74</v>
      </c>
      <c r="BH812" t="s">
        <v>74</v>
      </c>
      <c r="BI812">
        <v>9</v>
      </c>
      <c r="BJ812" t="s">
        <v>4383</v>
      </c>
      <c r="BK812" t="s">
        <v>101</v>
      </c>
      <c r="BL812" t="s">
        <v>4383</v>
      </c>
      <c r="BM812" t="s">
        <v>15660</v>
      </c>
      <c r="BN812" t="s">
        <v>74</v>
      </c>
      <c r="BO812" t="s">
        <v>74</v>
      </c>
      <c r="BP812" t="s">
        <v>74</v>
      </c>
      <c r="BQ812" t="s">
        <v>74</v>
      </c>
      <c r="BR812" t="s">
        <v>104</v>
      </c>
      <c r="BS812" t="s">
        <v>15678</v>
      </c>
      <c r="BT812" t="str">
        <f>HYPERLINK("https%3A%2F%2Fwww.webofscience.com%2Fwos%2Fwoscc%2Ffull-record%2FWOS:000449447700036","View Full Record in Web of Science")</f>
        <v>View Full Record in Web of Science</v>
      </c>
    </row>
    <row r="813" spans="1:72" x14ac:dyDescent="0.15">
      <c r="A813" t="s">
        <v>72</v>
      </c>
      <c r="B813" t="s">
        <v>15679</v>
      </c>
      <c r="C813" t="s">
        <v>74</v>
      </c>
      <c r="D813" t="s">
        <v>74</v>
      </c>
      <c r="E813" t="s">
        <v>74</v>
      </c>
      <c r="F813" t="s">
        <v>15680</v>
      </c>
      <c r="G813" t="s">
        <v>74</v>
      </c>
      <c r="H813" t="s">
        <v>74</v>
      </c>
      <c r="I813" t="s">
        <v>15681</v>
      </c>
      <c r="J813" t="s">
        <v>11272</v>
      </c>
      <c r="K813" t="s">
        <v>74</v>
      </c>
      <c r="L813" t="s">
        <v>74</v>
      </c>
      <c r="M813" t="s">
        <v>78</v>
      </c>
      <c r="N813" t="s">
        <v>79</v>
      </c>
      <c r="O813" t="s">
        <v>74</v>
      </c>
      <c r="P813" t="s">
        <v>74</v>
      </c>
      <c r="Q813" t="s">
        <v>74</v>
      </c>
      <c r="R813" t="s">
        <v>74</v>
      </c>
      <c r="S813" t="s">
        <v>74</v>
      </c>
      <c r="T813" t="s">
        <v>15682</v>
      </c>
      <c r="U813" t="s">
        <v>15683</v>
      </c>
      <c r="V813" t="s">
        <v>15684</v>
      </c>
      <c r="W813" t="s">
        <v>15685</v>
      </c>
      <c r="X813" t="s">
        <v>15686</v>
      </c>
      <c r="Y813" t="s">
        <v>15687</v>
      </c>
      <c r="Z813" t="s">
        <v>15688</v>
      </c>
      <c r="AA813" t="s">
        <v>15689</v>
      </c>
      <c r="AB813" t="s">
        <v>15690</v>
      </c>
      <c r="AC813" t="s">
        <v>15691</v>
      </c>
      <c r="AD813" t="s">
        <v>15692</v>
      </c>
      <c r="AE813" t="s">
        <v>15693</v>
      </c>
      <c r="AF813" t="s">
        <v>74</v>
      </c>
      <c r="AG813">
        <v>56</v>
      </c>
      <c r="AH813">
        <v>37</v>
      </c>
      <c r="AI813">
        <v>38</v>
      </c>
      <c r="AJ813">
        <v>6</v>
      </c>
      <c r="AK813">
        <v>74</v>
      </c>
      <c r="AL813" t="s">
        <v>4136</v>
      </c>
      <c r="AM813" t="s">
        <v>4137</v>
      </c>
      <c r="AN813" t="s">
        <v>4138</v>
      </c>
      <c r="AO813" t="s">
        <v>11282</v>
      </c>
      <c r="AP813" t="s">
        <v>11283</v>
      </c>
      <c r="AQ813" t="s">
        <v>74</v>
      </c>
      <c r="AR813" t="s">
        <v>11284</v>
      </c>
      <c r="AS813" t="s">
        <v>11285</v>
      </c>
      <c r="AT813" t="s">
        <v>14661</v>
      </c>
      <c r="AU813">
        <v>2018</v>
      </c>
      <c r="AV813">
        <v>31</v>
      </c>
      <c r="AW813">
        <v>22</v>
      </c>
      <c r="AX813" t="s">
        <v>74</v>
      </c>
      <c r="AY813" t="s">
        <v>74</v>
      </c>
      <c r="AZ813" t="s">
        <v>74</v>
      </c>
      <c r="BA813" t="s">
        <v>74</v>
      </c>
      <c r="BB813">
        <v>9073</v>
      </c>
      <c r="BC813">
        <v>9086</v>
      </c>
      <c r="BD813" t="s">
        <v>74</v>
      </c>
      <c r="BE813" t="s">
        <v>15694</v>
      </c>
      <c r="BF813" t="str">
        <f>HYPERLINK("http://dx.doi.org/10.1175/JCLI-D-18-0197.1","http://dx.doi.org/10.1175/JCLI-D-18-0197.1")</f>
        <v>http://dx.doi.org/10.1175/JCLI-D-18-0197.1</v>
      </c>
      <c r="BG813" t="s">
        <v>74</v>
      </c>
      <c r="BH813" t="s">
        <v>74</v>
      </c>
      <c r="BI813">
        <v>14</v>
      </c>
      <c r="BJ813" t="s">
        <v>3037</v>
      </c>
      <c r="BK813" t="s">
        <v>101</v>
      </c>
      <c r="BL813" t="s">
        <v>3037</v>
      </c>
      <c r="BM813" t="s">
        <v>15695</v>
      </c>
      <c r="BN813" t="s">
        <v>74</v>
      </c>
      <c r="BO813" t="s">
        <v>3810</v>
      </c>
      <c r="BP813" t="s">
        <v>74</v>
      </c>
      <c r="BQ813" t="s">
        <v>74</v>
      </c>
      <c r="BR813" t="s">
        <v>104</v>
      </c>
      <c r="BS813" t="s">
        <v>15696</v>
      </c>
      <c r="BT813" t="str">
        <f>HYPERLINK("https%3A%2F%2Fwww.webofscience.com%2Fwos%2Fwoscc%2Ffull-record%2FWOS:000447362300001","View Full Record in Web of Science")</f>
        <v>View Full Record in Web of Science</v>
      </c>
    </row>
    <row r="814" spans="1:72" x14ac:dyDescent="0.15">
      <c r="A814" t="s">
        <v>72</v>
      </c>
      <c r="B814" t="s">
        <v>15697</v>
      </c>
      <c r="C814" t="s">
        <v>74</v>
      </c>
      <c r="D814" t="s">
        <v>74</v>
      </c>
      <c r="E814" t="s">
        <v>74</v>
      </c>
      <c r="F814" t="s">
        <v>15698</v>
      </c>
      <c r="G814" t="s">
        <v>74</v>
      </c>
      <c r="H814" t="s">
        <v>74</v>
      </c>
      <c r="I814" t="s">
        <v>15699</v>
      </c>
      <c r="J814" t="s">
        <v>11272</v>
      </c>
      <c r="K814" t="s">
        <v>74</v>
      </c>
      <c r="L814" t="s">
        <v>74</v>
      </c>
      <c r="M814" t="s">
        <v>78</v>
      </c>
      <c r="N814" t="s">
        <v>79</v>
      </c>
      <c r="O814" t="s">
        <v>74</v>
      </c>
      <c r="P814" t="s">
        <v>74</v>
      </c>
      <c r="Q814" t="s">
        <v>74</v>
      </c>
      <c r="R814" t="s">
        <v>74</v>
      </c>
      <c r="S814" t="s">
        <v>74</v>
      </c>
      <c r="T814" t="s">
        <v>15700</v>
      </c>
      <c r="U814" t="s">
        <v>15701</v>
      </c>
      <c r="V814" t="s">
        <v>15702</v>
      </c>
      <c r="W814" t="s">
        <v>15703</v>
      </c>
      <c r="X814" t="s">
        <v>15704</v>
      </c>
      <c r="Y814" t="s">
        <v>15705</v>
      </c>
      <c r="Z814" t="s">
        <v>15706</v>
      </c>
      <c r="AA814" t="s">
        <v>15707</v>
      </c>
      <c r="AB814" t="s">
        <v>15708</v>
      </c>
      <c r="AC814" t="s">
        <v>15709</v>
      </c>
      <c r="AD814" t="s">
        <v>15710</v>
      </c>
      <c r="AE814" t="s">
        <v>15711</v>
      </c>
      <c r="AF814" t="s">
        <v>74</v>
      </c>
      <c r="AG814">
        <v>47</v>
      </c>
      <c r="AH814">
        <v>17</v>
      </c>
      <c r="AI814">
        <v>19</v>
      </c>
      <c r="AJ814">
        <v>3</v>
      </c>
      <c r="AK814">
        <v>23</v>
      </c>
      <c r="AL814" t="s">
        <v>4136</v>
      </c>
      <c r="AM814" t="s">
        <v>4137</v>
      </c>
      <c r="AN814" t="s">
        <v>4138</v>
      </c>
      <c r="AO814" t="s">
        <v>11282</v>
      </c>
      <c r="AP814" t="s">
        <v>11283</v>
      </c>
      <c r="AQ814" t="s">
        <v>74</v>
      </c>
      <c r="AR814" t="s">
        <v>11284</v>
      </c>
      <c r="AS814" t="s">
        <v>11285</v>
      </c>
      <c r="AT814" t="s">
        <v>14661</v>
      </c>
      <c r="AU814">
        <v>2018</v>
      </c>
      <c r="AV814">
        <v>31</v>
      </c>
      <c r="AW814">
        <v>22</v>
      </c>
      <c r="AX814" t="s">
        <v>74</v>
      </c>
      <c r="AY814" t="s">
        <v>74</v>
      </c>
      <c r="AZ814" t="s">
        <v>74</v>
      </c>
      <c r="BA814" t="s">
        <v>74</v>
      </c>
      <c r="BB814">
        <v>9087</v>
      </c>
      <c r="BC814">
        <v>9105</v>
      </c>
      <c r="BD814" t="s">
        <v>74</v>
      </c>
      <c r="BE814" t="s">
        <v>15712</v>
      </c>
      <c r="BF814" t="str">
        <f>HYPERLINK("http://dx.doi.org/10.1175/JCLI-D-18-0128.1","http://dx.doi.org/10.1175/JCLI-D-18-0128.1")</f>
        <v>http://dx.doi.org/10.1175/JCLI-D-18-0128.1</v>
      </c>
      <c r="BG814" t="s">
        <v>74</v>
      </c>
      <c r="BH814" t="s">
        <v>74</v>
      </c>
      <c r="BI814">
        <v>19</v>
      </c>
      <c r="BJ814" t="s">
        <v>3037</v>
      </c>
      <c r="BK814" t="s">
        <v>101</v>
      </c>
      <c r="BL814" t="s">
        <v>3037</v>
      </c>
      <c r="BM814" t="s">
        <v>15695</v>
      </c>
      <c r="BN814" t="s">
        <v>74</v>
      </c>
      <c r="BO814" t="s">
        <v>3810</v>
      </c>
      <c r="BP814" t="s">
        <v>74</v>
      </c>
      <c r="BQ814" t="s">
        <v>74</v>
      </c>
      <c r="BR814" t="s">
        <v>104</v>
      </c>
      <c r="BS814" t="s">
        <v>15713</v>
      </c>
      <c r="BT814" t="str">
        <f>HYPERLINK("https%3A%2F%2Fwww.webofscience.com%2Fwos%2Fwoscc%2Ffull-record%2FWOS:000447362300002","View Full Record in Web of Science")</f>
        <v>View Full Record in Web of Science</v>
      </c>
    </row>
    <row r="815" spans="1:72" x14ac:dyDescent="0.15">
      <c r="A815" t="s">
        <v>72</v>
      </c>
      <c r="B815" t="s">
        <v>15714</v>
      </c>
      <c r="C815" t="s">
        <v>74</v>
      </c>
      <c r="D815" t="s">
        <v>74</v>
      </c>
      <c r="E815" t="s">
        <v>74</v>
      </c>
      <c r="F815" t="s">
        <v>15715</v>
      </c>
      <c r="G815" t="s">
        <v>74</v>
      </c>
      <c r="H815" t="s">
        <v>74</v>
      </c>
      <c r="I815" t="s">
        <v>15716</v>
      </c>
      <c r="J815" t="s">
        <v>15717</v>
      </c>
      <c r="K815" t="s">
        <v>74</v>
      </c>
      <c r="L815" t="s">
        <v>74</v>
      </c>
      <c r="M815" t="s">
        <v>78</v>
      </c>
      <c r="N815" t="s">
        <v>79</v>
      </c>
      <c r="O815" t="s">
        <v>74</v>
      </c>
      <c r="P815" t="s">
        <v>74</v>
      </c>
      <c r="Q815" t="s">
        <v>74</v>
      </c>
      <c r="R815" t="s">
        <v>74</v>
      </c>
      <c r="S815" t="s">
        <v>74</v>
      </c>
      <c r="T815" t="s">
        <v>15718</v>
      </c>
      <c r="U815" t="s">
        <v>15719</v>
      </c>
      <c r="V815" t="s">
        <v>15720</v>
      </c>
      <c r="W815" t="s">
        <v>15721</v>
      </c>
      <c r="X815" t="s">
        <v>15669</v>
      </c>
      <c r="Y815" t="s">
        <v>15722</v>
      </c>
      <c r="Z815" t="s">
        <v>15723</v>
      </c>
      <c r="AA815" t="s">
        <v>15724</v>
      </c>
      <c r="AB815" t="s">
        <v>15725</v>
      </c>
      <c r="AC815" t="s">
        <v>15726</v>
      </c>
      <c r="AD815" t="s">
        <v>15727</v>
      </c>
      <c r="AE815" t="s">
        <v>15728</v>
      </c>
      <c r="AF815" t="s">
        <v>74</v>
      </c>
      <c r="AG815">
        <v>41</v>
      </c>
      <c r="AH815">
        <v>17</v>
      </c>
      <c r="AI815">
        <v>20</v>
      </c>
      <c r="AJ815">
        <v>1</v>
      </c>
      <c r="AK815">
        <v>36</v>
      </c>
      <c r="AL815" t="s">
        <v>1079</v>
      </c>
      <c r="AM815" t="s">
        <v>1080</v>
      </c>
      <c r="AN815" t="s">
        <v>1081</v>
      </c>
      <c r="AO815" t="s">
        <v>15729</v>
      </c>
      <c r="AP815" t="s">
        <v>15730</v>
      </c>
      <c r="AQ815" t="s">
        <v>74</v>
      </c>
      <c r="AR815" t="s">
        <v>15731</v>
      </c>
      <c r="AS815" t="s">
        <v>15732</v>
      </c>
      <c r="AT815" t="s">
        <v>14661</v>
      </c>
      <c r="AU815">
        <v>2018</v>
      </c>
      <c r="AV815">
        <v>92</v>
      </c>
      <c r="AW815">
        <v>11</v>
      </c>
      <c r="AX815" t="s">
        <v>74</v>
      </c>
      <c r="AY815" t="s">
        <v>74</v>
      </c>
      <c r="AZ815" t="s">
        <v>74</v>
      </c>
      <c r="BA815" t="s">
        <v>74</v>
      </c>
      <c r="BB815">
        <v>1255</v>
      </c>
      <c r="BC815">
        <v>1266</v>
      </c>
      <c r="BD815" t="s">
        <v>74</v>
      </c>
      <c r="BE815" t="s">
        <v>15733</v>
      </c>
      <c r="BF815" t="str">
        <f>HYPERLINK("http://dx.doi.org/10.1007/s00190-018-1117-3","http://dx.doi.org/10.1007/s00190-018-1117-3")</f>
        <v>http://dx.doi.org/10.1007/s00190-018-1117-3</v>
      </c>
      <c r="BG815" t="s">
        <v>74</v>
      </c>
      <c r="BH815" t="s">
        <v>74</v>
      </c>
      <c r="BI815">
        <v>12</v>
      </c>
      <c r="BJ815" t="s">
        <v>15734</v>
      </c>
      <c r="BK815" t="s">
        <v>101</v>
      </c>
      <c r="BL815" t="s">
        <v>15734</v>
      </c>
      <c r="BM815" t="s">
        <v>15735</v>
      </c>
      <c r="BN815" t="s">
        <v>74</v>
      </c>
      <c r="BO815" t="s">
        <v>74</v>
      </c>
      <c r="BP815" t="s">
        <v>74</v>
      </c>
      <c r="BQ815" t="s">
        <v>74</v>
      </c>
      <c r="BR815" t="s">
        <v>104</v>
      </c>
      <c r="BS815" t="s">
        <v>15736</v>
      </c>
      <c r="BT815" t="str">
        <f>HYPERLINK("https%3A%2F%2Fwww.webofscience.com%2Fwos%2Fwoscc%2Ffull-record%2FWOS:000446517400002","View Full Record in Web of Science")</f>
        <v>View Full Record in Web of Science</v>
      </c>
    </row>
    <row r="816" spans="1:72" x14ac:dyDescent="0.15">
      <c r="A816" t="s">
        <v>72</v>
      </c>
      <c r="B816" t="s">
        <v>15737</v>
      </c>
      <c r="C816" t="s">
        <v>74</v>
      </c>
      <c r="D816" t="s">
        <v>74</v>
      </c>
      <c r="E816" t="s">
        <v>74</v>
      </c>
      <c r="F816" t="s">
        <v>15738</v>
      </c>
      <c r="G816" t="s">
        <v>74</v>
      </c>
      <c r="H816" t="s">
        <v>74</v>
      </c>
      <c r="I816" t="s">
        <v>15739</v>
      </c>
      <c r="J816" t="s">
        <v>4389</v>
      </c>
      <c r="K816" t="s">
        <v>74</v>
      </c>
      <c r="L816" t="s">
        <v>74</v>
      </c>
      <c r="M816" t="s">
        <v>78</v>
      </c>
      <c r="N816" t="s">
        <v>79</v>
      </c>
      <c r="O816" t="s">
        <v>74</v>
      </c>
      <c r="P816" t="s">
        <v>74</v>
      </c>
      <c r="Q816" t="s">
        <v>74</v>
      </c>
      <c r="R816" t="s">
        <v>74</v>
      </c>
      <c r="S816" t="s">
        <v>74</v>
      </c>
      <c r="T816" t="s">
        <v>15740</v>
      </c>
      <c r="U816" t="s">
        <v>15741</v>
      </c>
      <c r="V816" t="s">
        <v>15742</v>
      </c>
      <c r="W816" t="s">
        <v>15743</v>
      </c>
      <c r="X816" t="s">
        <v>15744</v>
      </c>
      <c r="Y816" t="s">
        <v>15745</v>
      </c>
      <c r="Z816" t="s">
        <v>15746</v>
      </c>
      <c r="AA816" t="s">
        <v>15747</v>
      </c>
      <c r="AB816" t="s">
        <v>15748</v>
      </c>
      <c r="AC816" t="s">
        <v>15749</v>
      </c>
      <c r="AD816" t="s">
        <v>15750</v>
      </c>
      <c r="AE816" t="s">
        <v>15751</v>
      </c>
      <c r="AF816" t="s">
        <v>74</v>
      </c>
      <c r="AG816">
        <v>70</v>
      </c>
      <c r="AH816">
        <v>15</v>
      </c>
      <c r="AI816">
        <v>15</v>
      </c>
      <c r="AJ816">
        <v>0</v>
      </c>
      <c r="AK816">
        <v>12</v>
      </c>
      <c r="AL816" t="s">
        <v>4034</v>
      </c>
      <c r="AM816" t="s">
        <v>4035</v>
      </c>
      <c r="AN816" t="s">
        <v>4036</v>
      </c>
      <c r="AO816" t="s">
        <v>4402</v>
      </c>
      <c r="AP816" t="s">
        <v>4403</v>
      </c>
      <c r="AQ816" t="s">
        <v>74</v>
      </c>
      <c r="AR816" t="s">
        <v>4404</v>
      </c>
      <c r="AS816" t="s">
        <v>4405</v>
      </c>
      <c r="AT816" t="s">
        <v>14661</v>
      </c>
      <c r="AU816">
        <v>2018</v>
      </c>
      <c r="AV816">
        <v>123</v>
      </c>
      <c r="AW816">
        <v>11</v>
      </c>
      <c r="AX816" t="s">
        <v>74</v>
      </c>
      <c r="AY816" t="s">
        <v>74</v>
      </c>
      <c r="AZ816" t="s">
        <v>74</v>
      </c>
      <c r="BA816" t="s">
        <v>74</v>
      </c>
      <c r="BB816">
        <v>2802</v>
      </c>
      <c r="BC816">
        <v>2826</v>
      </c>
      <c r="BD816" t="s">
        <v>74</v>
      </c>
      <c r="BE816" t="s">
        <v>15752</v>
      </c>
      <c r="BF816" t="str">
        <f>HYPERLINK("http://dx.doi.org/10.1029/2017JF004591","http://dx.doi.org/10.1029/2017JF004591")</f>
        <v>http://dx.doi.org/10.1029/2017JF004591</v>
      </c>
      <c r="BG816" t="s">
        <v>74</v>
      </c>
      <c r="BH816" t="s">
        <v>74</v>
      </c>
      <c r="BI816">
        <v>25</v>
      </c>
      <c r="BJ816" t="s">
        <v>884</v>
      </c>
      <c r="BK816" t="s">
        <v>101</v>
      </c>
      <c r="BL816" t="s">
        <v>528</v>
      </c>
      <c r="BM816" t="s">
        <v>15753</v>
      </c>
      <c r="BN816" t="s">
        <v>74</v>
      </c>
      <c r="BO816" t="s">
        <v>3893</v>
      </c>
      <c r="BP816" t="s">
        <v>74</v>
      </c>
      <c r="BQ816" t="s">
        <v>74</v>
      </c>
      <c r="BR816" t="s">
        <v>104</v>
      </c>
      <c r="BS816" t="s">
        <v>15754</v>
      </c>
      <c r="BT816" t="str">
        <f>HYPERLINK("https%3A%2F%2Fwww.webofscience.com%2Fwos%2Fwoscc%2Ffull-record%2FWOS:000453003800004","View Full Record in Web of Science")</f>
        <v>View Full Record in Web of Science</v>
      </c>
    </row>
    <row r="817" spans="1:72" x14ac:dyDescent="0.15">
      <c r="A817" t="s">
        <v>72</v>
      </c>
      <c r="B817" t="s">
        <v>15755</v>
      </c>
      <c r="C817" t="s">
        <v>74</v>
      </c>
      <c r="D817" t="s">
        <v>74</v>
      </c>
      <c r="E817" t="s">
        <v>74</v>
      </c>
      <c r="F817" t="s">
        <v>15756</v>
      </c>
      <c r="G817" t="s">
        <v>74</v>
      </c>
      <c r="H817" t="s">
        <v>74</v>
      </c>
      <c r="I817" t="s">
        <v>15757</v>
      </c>
      <c r="J817" t="s">
        <v>4583</v>
      </c>
      <c r="K817" t="s">
        <v>74</v>
      </c>
      <c r="L817" t="s">
        <v>74</v>
      </c>
      <c r="M817" t="s">
        <v>78</v>
      </c>
      <c r="N817" t="s">
        <v>79</v>
      </c>
      <c r="O817" t="s">
        <v>74</v>
      </c>
      <c r="P817" t="s">
        <v>74</v>
      </c>
      <c r="Q817" t="s">
        <v>74</v>
      </c>
      <c r="R817" t="s">
        <v>74</v>
      </c>
      <c r="S817" t="s">
        <v>74</v>
      </c>
      <c r="T817" t="s">
        <v>74</v>
      </c>
      <c r="U817" t="s">
        <v>15758</v>
      </c>
      <c r="V817" t="s">
        <v>15759</v>
      </c>
      <c r="W817" t="s">
        <v>15760</v>
      </c>
      <c r="X817" t="s">
        <v>15761</v>
      </c>
      <c r="Y817" t="s">
        <v>15762</v>
      </c>
      <c r="Z817" t="s">
        <v>15763</v>
      </c>
      <c r="AA817" t="s">
        <v>15764</v>
      </c>
      <c r="AB817" t="s">
        <v>15765</v>
      </c>
      <c r="AC817" t="s">
        <v>15766</v>
      </c>
      <c r="AD817" t="s">
        <v>15767</v>
      </c>
      <c r="AE817" t="s">
        <v>15768</v>
      </c>
      <c r="AF817" t="s">
        <v>74</v>
      </c>
      <c r="AG817">
        <v>23</v>
      </c>
      <c r="AH817">
        <v>14</v>
      </c>
      <c r="AI817">
        <v>15</v>
      </c>
      <c r="AJ817">
        <v>0</v>
      </c>
      <c r="AK817">
        <v>4</v>
      </c>
      <c r="AL817" t="s">
        <v>4034</v>
      </c>
      <c r="AM817" t="s">
        <v>4035</v>
      </c>
      <c r="AN817" t="s">
        <v>4036</v>
      </c>
      <c r="AO817" t="s">
        <v>4594</v>
      </c>
      <c r="AP817" t="s">
        <v>4595</v>
      </c>
      <c r="AQ817" t="s">
        <v>74</v>
      </c>
      <c r="AR817" t="s">
        <v>4596</v>
      </c>
      <c r="AS817" t="s">
        <v>4597</v>
      </c>
      <c r="AT817" t="s">
        <v>14661</v>
      </c>
      <c r="AU817">
        <v>2018</v>
      </c>
      <c r="AV817">
        <v>123</v>
      </c>
      <c r="AW817">
        <v>11</v>
      </c>
      <c r="AX817" t="s">
        <v>74</v>
      </c>
      <c r="AY817" t="s">
        <v>74</v>
      </c>
      <c r="AZ817" t="s">
        <v>74</v>
      </c>
      <c r="BA817" t="s">
        <v>74</v>
      </c>
      <c r="BB817">
        <v>9093</v>
      </c>
      <c r="BC817">
        <v>9109</v>
      </c>
      <c r="BD817" t="s">
        <v>74</v>
      </c>
      <c r="BE817" t="s">
        <v>15769</v>
      </c>
      <c r="BF817" t="str">
        <f>HYPERLINK("http://dx.doi.org/10.1029/2018JA025678","http://dx.doi.org/10.1029/2018JA025678")</f>
        <v>http://dx.doi.org/10.1029/2018JA025678</v>
      </c>
      <c r="BG817" t="s">
        <v>74</v>
      </c>
      <c r="BH817" t="s">
        <v>74</v>
      </c>
      <c r="BI817">
        <v>17</v>
      </c>
      <c r="BJ817" t="s">
        <v>2351</v>
      </c>
      <c r="BK817" t="s">
        <v>101</v>
      </c>
      <c r="BL817" t="s">
        <v>2351</v>
      </c>
      <c r="BM817" t="s">
        <v>15770</v>
      </c>
      <c r="BN817" t="s">
        <v>74</v>
      </c>
      <c r="BO817" t="s">
        <v>162</v>
      </c>
      <c r="BP817" t="s">
        <v>74</v>
      </c>
      <c r="BQ817" t="s">
        <v>74</v>
      </c>
      <c r="BR817" t="s">
        <v>104</v>
      </c>
      <c r="BS817" t="s">
        <v>15771</v>
      </c>
      <c r="BT817" t="str">
        <f>HYPERLINK("https%3A%2F%2Fwww.webofscience.com%2Fwos%2Fwoscc%2Ffull-record%2FWOS:000453227400015","View Full Record in Web of Science")</f>
        <v>View Full Record in Web of Science</v>
      </c>
    </row>
    <row r="818" spans="1:72" x14ac:dyDescent="0.15">
      <c r="A818" t="s">
        <v>72</v>
      </c>
      <c r="B818" t="s">
        <v>15772</v>
      </c>
      <c r="C818" t="s">
        <v>74</v>
      </c>
      <c r="D818" t="s">
        <v>74</v>
      </c>
      <c r="E818" t="s">
        <v>74</v>
      </c>
      <c r="F818" t="s">
        <v>15773</v>
      </c>
      <c r="G818" t="s">
        <v>74</v>
      </c>
      <c r="H818" t="s">
        <v>74</v>
      </c>
      <c r="I818" t="s">
        <v>15774</v>
      </c>
      <c r="J818" t="s">
        <v>4583</v>
      </c>
      <c r="K818" t="s">
        <v>74</v>
      </c>
      <c r="L818" t="s">
        <v>74</v>
      </c>
      <c r="M818" t="s">
        <v>78</v>
      </c>
      <c r="N818" t="s">
        <v>79</v>
      </c>
      <c r="O818" t="s">
        <v>74</v>
      </c>
      <c r="P818" t="s">
        <v>74</v>
      </c>
      <c r="Q818" t="s">
        <v>74</v>
      </c>
      <c r="R818" t="s">
        <v>74</v>
      </c>
      <c r="S818" t="s">
        <v>74</v>
      </c>
      <c r="T818" t="s">
        <v>74</v>
      </c>
      <c r="U818" t="s">
        <v>15775</v>
      </c>
      <c r="V818" t="s">
        <v>15776</v>
      </c>
      <c r="W818" t="s">
        <v>15777</v>
      </c>
      <c r="X818" t="s">
        <v>15778</v>
      </c>
      <c r="Y818" t="s">
        <v>15779</v>
      </c>
      <c r="Z818" t="s">
        <v>15780</v>
      </c>
      <c r="AA818" t="s">
        <v>15781</v>
      </c>
      <c r="AB818" t="s">
        <v>15782</v>
      </c>
      <c r="AC818" t="s">
        <v>15783</v>
      </c>
      <c r="AD818" t="s">
        <v>15784</v>
      </c>
      <c r="AE818" t="s">
        <v>15785</v>
      </c>
      <c r="AF818" t="s">
        <v>74</v>
      </c>
      <c r="AG818">
        <v>96</v>
      </c>
      <c r="AH818">
        <v>45</v>
      </c>
      <c r="AI818">
        <v>46</v>
      </c>
      <c r="AJ818">
        <v>0</v>
      </c>
      <c r="AK818">
        <v>7</v>
      </c>
      <c r="AL818" t="s">
        <v>4034</v>
      </c>
      <c r="AM818" t="s">
        <v>4035</v>
      </c>
      <c r="AN818" t="s">
        <v>4036</v>
      </c>
      <c r="AO818" t="s">
        <v>4594</v>
      </c>
      <c r="AP818" t="s">
        <v>4595</v>
      </c>
      <c r="AQ818" t="s">
        <v>74</v>
      </c>
      <c r="AR818" t="s">
        <v>4596</v>
      </c>
      <c r="AS818" t="s">
        <v>4597</v>
      </c>
      <c r="AT818" t="s">
        <v>14661</v>
      </c>
      <c r="AU818">
        <v>2018</v>
      </c>
      <c r="AV818">
        <v>123</v>
      </c>
      <c r="AW818">
        <v>11</v>
      </c>
      <c r="AX818" t="s">
        <v>74</v>
      </c>
      <c r="AY818" t="s">
        <v>74</v>
      </c>
      <c r="AZ818" t="s">
        <v>74</v>
      </c>
      <c r="BA818" t="s">
        <v>74</v>
      </c>
      <c r="BB818">
        <v>9110</v>
      </c>
      <c r="BC818">
        <v>9129</v>
      </c>
      <c r="BD818" t="s">
        <v>74</v>
      </c>
      <c r="BE818" t="s">
        <v>15786</v>
      </c>
      <c r="BF818" t="str">
        <f>HYPERLINK("http://dx.doi.org/10.1029/2018JA025665","http://dx.doi.org/10.1029/2018JA025665")</f>
        <v>http://dx.doi.org/10.1029/2018JA025665</v>
      </c>
      <c r="BG818" t="s">
        <v>74</v>
      </c>
      <c r="BH818" t="s">
        <v>74</v>
      </c>
      <c r="BI818">
        <v>20</v>
      </c>
      <c r="BJ818" t="s">
        <v>2351</v>
      </c>
      <c r="BK818" t="s">
        <v>101</v>
      </c>
      <c r="BL818" t="s">
        <v>2351</v>
      </c>
      <c r="BM818" t="s">
        <v>15770</v>
      </c>
      <c r="BN818">
        <v>30775196</v>
      </c>
      <c r="BO818" t="s">
        <v>4408</v>
      </c>
      <c r="BP818" t="s">
        <v>74</v>
      </c>
      <c r="BQ818" t="s">
        <v>74</v>
      </c>
      <c r="BR818" t="s">
        <v>104</v>
      </c>
      <c r="BS818" t="s">
        <v>15787</v>
      </c>
      <c r="BT818" t="str">
        <f>HYPERLINK("https%3A%2F%2Fwww.webofscience.com%2Fwos%2Fwoscc%2Ffull-record%2FWOS:000453227400016","View Full Record in Web of Science")</f>
        <v>View Full Record in Web of Science</v>
      </c>
    </row>
    <row r="819" spans="1:72" x14ac:dyDescent="0.15">
      <c r="A819" t="s">
        <v>72</v>
      </c>
      <c r="B819" t="s">
        <v>15788</v>
      </c>
      <c r="C819" t="s">
        <v>74</v>
      </c>
      <c r="D819" t="s">
        <v>74</v>
      </c>
      <c r="E819" t="s">
        <v>74</v>
      </c>
      <c r="F819" t="s">
        <v>15789</v>
      </c>
      <c r="G819" t="s">
        <v>74</v>
      </c>
      <c r="H819" t="s">
        <v>74</v>
      </c>
      <c r="I819" t="s">
        <v>15790</v>
      </c>
      <c r="J819" t="s">
        <v>4583</v>
      </c>
      <c r="K819" t="s">
        <v>74</v>
      </c>
      <c r="L819" t="s">
        <v>74</v>
      </c>
      <c r="M819" t="s">
        <v>78</v>
      </c>
      <c r="N819" t="s">
        <v>79</v>
      </c>
      <c r="O819" t="s">
        <v>74</v>
      </c>
      <c r="P819" t="s">
        <v>74</v>
      </c>
      <c r="Q819" t="s">
        <v>74</v>
      </c>
      <c r="R819" t="s">
        <v>74</v>
      </c>
      <c r="S819" t="s">
        <v>74</v>
      </c>
      <c r="T819" t="s">
        <v>74</v>
      </c>
      <c r="U819" t="s">
        <v>15791</v>
      </c>
      <c r="V819" t="s">
        <v>15792</v>
      </c>
      <c r="W819" t="s">
        <v>15793</v>
      </c>
      <c r="X819" t="s">
        <v>6852</v>
      </c>
      <c r="Y819" t="s">
        <v>15794</v>
      </c>
      <c r="Z819" t="s">
        <v>15795</v>
      </c>
      <c r="AA819" t="s">
        <v>15796</v>
      </c>
      <c r="AB819" t="s">
        <v>15797</v>
      </c>
      <c r="AC819" t="s">
        <v>15798</v>
      </c>
      <c r="AD819" t="s">
        <v>15799</v>
      </c>
      <c r="AE819" t="s">
        <v>15800</v>
      </c>
      <c r="AF819" t="s">
        <v>74</v>
      </c>
      <c r="AG819">
        <v>55</v>
      </c>
      <c r="AH819">
        <v>16</v>
      </c>
      <c r="AI819">
        <v>16</v>
      </c>
      <c r="AJ819">
        <v>1</v>
      </c>
      <c r="AK819">
        <v>24</v>
      </c>
      <c r="AL819" t="s">
        <v>4034</v>
      </c>
      <c r="AM819" t="s">
        <v>4035</v>
      </c>
      <c r="AN819" t="s">
        <v>4036</v>
      </c>
      <c r="AO819" t="s">
        <v>4594</v>
      </c>
      <c r="AP819" t="s">
        <v>4595</v>
      </c>
      <c r="AQ819" t="s">
        <v>74</v>
      </c>
      <c r="AR819" t="s">
        <v>4596</v>
      </c>
      <c r="AS819" t="s">
        <v>4597</v>
      </c>
      <c r="AT819" t="s">
        <v>14661</v>
      </c>
      <c r="AU819">
        <v>2018</v>
      </c>
      <c r="AV819">
        <v>123</v>
      </c>
      <c r="AW819">
        <v>11</v>
      </c>
      <c r="AX819" t="s">
        <v>74</v>
      </c>
      <c r="AY819" t="s">
        <v>74</v>
      </c>
      <c r="AZ819" t="s">
        <v>74</v>
      </c>
      <c r="BA819" t="s">
        <v>74</v>
      </c>
      <c r="BB819">
        <v>9574</v>
      </c>
      <c r="BC819">
        <v>9596</v>
      </c>
      <c r="BD819" t="s">
        <v>74</v>
      </c>
      <c r="BE819" t="s">
        <v>15801</v>
      </c>
      <c r="BF819" t="str">
        <f>HYPERLINK("http://dx.doi.org/10.1029/2018JA025786","http://dx.doi.org/10.1029/2018JA025786")</f>
        <v>http://dx.doi.org/10.1029/2018JA025786</v>
      </c>
      <c r="BG819" t="s">
        <v>74</v>
      </c>
      <c r="BH819" t="s">
        <v>74</v>
      </c>
      <c r="BI819">
        <v>23</v>
      </c>
      <c r="BJ819" t="s">
        <v>2351</v>
      </c>
      <c r="BK819" t="s">
        <v>101</v>
      </c>
      <c r="BL819" t="s">
        <v>2351</v>
      </c>
      <c r="BM819" t="s">
        <v>15770</v>
      </c>
      <c r="BN819" t="s">
        <v>74</v>
      </c>
      <c r="BO819" t="s">
        <v>4688</v>
      </c>
      <c r="BP819" t="s">
        <v>74</v>
      </c>
      <c r="BQ819" t="s">
        <v>74</v>
      </c>
      <c r="BR819" t="s">
        <v>104</v>
      </c>
      <c r="BS819" t="s">
        <v>15802</v>
      </c>
      <c r="BT819" t="str">
        <f>HYPERLINK("https%3A%2F%2Fwww.webofscience.com%2Fwos%2Fwoscc%2Ffull-record%2FWOS:000453227400046","View Full Record in Web of Science")</f>
        <v>View Full Record in Web of Science</v>
      </c>
    </row>
    <row r="820" spans="1:72" x14ac:dyDescent="0.15">
      <c r="A820" t="s">
        <v>72</v>
      </c>
      <c r="B820" t="s">
        <v>15803</v>
      </c>
      <c r="C820" t="s">
        <v>74</v>
      </c>
      <c r="D820" t="s">
        <v>74</v>
      </c>
      <c r="E820" t="s">
        <v>74</v>
      </c>
      <c r="F820" t="s">
        <v>15804</v>
      </c>
      <c r="G820" t="s">
        <v>74</v>
      </c>
      <c r="H820" t="s">
        <v>74</v>
      </c>
      <c r="I820" t="s">
        <v>15805</v>
      </c>
      <c r="J820" t="s">
        <v>4583</v>
      </c>
      <c r="K820" t="s">
        <v>74</v>
      </c>
      <c r="L820" t="s">
        <v>74</v>
      </c>
      <c r="M820" t="s">
        <v>78</v>
      </c>
      <c r="N820" t="s">
        <v>79</v>
      </c>
      <c r="O820" t="s">
        <v>74</v>
      </c>
      <c r="P820" t="s">
        <v>74</v>
      </c>
      <c r="Q820" t="s">
        <v>74</v>
      </c>
      <c r="R820" t="s">
        <v>74</v>
      </c>
      <c r="S820" t="s">
        <v>74</v>
      </c>
      <c r="T820" t="s">
        <v>74</v>
      </c>
      <c r="U820" t="s">
        <v>15806</v>
      </c>
      <c r="V820" t="s">
        <v>15807</v>
      </c>
      <c r="W820" t="s">
        <v>15808</v>
      </c>
      <c r="X820" t="s">
        <v>15809</v>
      </c>
      <c r="Y820" t="s">
        <v>15810</v>
      </c>
      <c r="Z820" t="s">
        <v>15811</v>
      </c>
      <c r="AA820" t="s">
        <v>15812</v>
      </c>
      <c r="AB820" t="s">
        <v>15813</v>
      </c>
      <c r="AC820" t="s">
        <v>15814</v>
      </c>
      <c r="AD820" t="s">
        <v>2819</v>
      </c>
      <c r="AE820" t="s">
        <v>74</v>
      </c>
      <c r="AF820" t="s">
        <v>74</v>
      </c>
      <c r="AG820">
        <v>44</v>
      </c>
      <c r="AH820">
        <v>6</v>
      </c>
      <c r="AI820">
        <v>6</v>
      </c>
      <c r="AJ820">
        <v>1</v>
      </c>
      <c r="AK820">
        <v>8</v>
      </c>
      <c r="AL820" t="s">
        <v>4034</v>
      </c>
      <c r="AM820" t="s">
        <v>4035</v>
      </c>
      <c r="AN820" t="s">
        <v>4036</v>
      </c>
      <c r="AO820" t="s">
        <v>4594</v>
      </c>
      <c r="AP820" t="s">
        <v>4595</v>
      </c>
      <c r="AQ820" t="s">
        <v>74</v>
      </c>
      <c r="AR820" t="s">
        <v>4596</v>
      </c>
      <c r="AS820" t="s">
        <v>4597</v>
      </c>
      <c r="AT820" t="s">
        <v>14661</v>
      </c>
      <c r="AU820">
        <v>2018</v>
      </c>
      <c r="AV820">
        <v>123</v>
      </c>
      <c r="AW820">
        <v>11</v>
      </c>
      <c r="AX820" t="s">
        <v>74</v>
      </c>
      <c r="AY820" t="s">
        <v>74</v>
      </c>
      <c r="AZ820" t="s">
        <v>74</v>
      </c>
      <c r="BA820" t="s">
        <v>74</v>
      </c>
      <c r="BB820">
        <v>9726</v>
      </c>
      <c r="BC820">
        <v>9742</v>
      </c>
      <c r="BD820" t="s">
        <v>74</v>
      </c>
      <c r="BE820" t="s">
        <v>15815</v>
      </c>
      <c r="BF820" t="str">
        <f>HYPERLINK("http://dx.doi.org/10.1029/2018JA025669","http://dx.doi.org/10.1029/2018JA025669")</f>
        <v>http://dx.doi.org/10.1029/2018JA025669</v>
      </c>
      <c r="BG820" t="s">
        <v>74</v>
      </c>
      <c r="BH820" t="s">
        <v>74</v>
      </c>
      <c r="BI820">
        <v>17</v>
      </c>
      <c r="BJ820" t="s">
        <v>2351</v>
      </c>
      <c r="BK820" t="s">
        <v>101</v>
      </c>
      <c r="BL820" t="s">
        <v>2351</v>
      </c>
      <c r="BM820" t="s">
        <v>15770</v>
      </c>
      <c r="BN820" t="s">
        <v>74</v>
      </c>
      <c r="BO820" t="s">
        <v>4700</v>
      </c>
      <c r="BP820" t="s">
        <v>74</v>
      </c>
      <c r="BQ820" t="s">
        <v>74</v>
      </c>
      <c r="BR820" t="s">
        <v>104</v>
      </c>
      <c r="BS820" t="s">
        <v>15816</v>
      </c>
      <c r="BT820" t="str">
        <f>HYPERLINK("https%3A%2F%2Fwww.webofscience.com%2Fwos%2Fwoscc%2Ffull-record%2FWOS:000453227400056","View Full Record in Web of Science")</f>
        <v>View Full Record in Web of Science</v>
      </c>
    </row>
    <row r="821" spans="1:72" x14ac:dyDescent="0.15">
      <c r="A821" t="s">
        <v>72</v>
      </c>
      <c r="B821" t="s">
        <v>15817</v>
      </c>
      <c r="C821" t="s">
        <v>74</v>
      </c>
      <c r="D821" t="s">
        <v>74</v>
      </c>
      <c r="E821" t="s">
        <v>74</v>
      </c>
      <c r="F821" t="s">
        <v>15818</v>
      </c>
      <c r="G821" t="s">
        <v>74</v>
      </c>
      <c r="H821" t="s">
        <v>74</v>
      </c>
      <c r="I821" t="s">
        <v>15819</v>
      </c>
      <c r="J821" t="s">
        <v>15820</v>
      </c>
      <c r="K821" t="s">
        <v>74</v>
      </c>
      <c r="L821" t="s">
        <v>74</v>
      </c>
      <c r="M821" t="s">
        <v>78</v>
      </c>
      <c r="N821" t="s">
        <v>79</v>
      </c>
      <c r="O821" t="s">
        <v>74</v>
      </c>
      <c r="P821" t="s">
        <v>74</v>
      </c>
      <c r="Q821" t="s">
        <v>74</v>
      </c>
      <c r="R821" t="s">
        <v>74</v>
      </c>
      <c r="S821" t="s">
        <v>74</v>
      </c>
      <c r="T821" t="s">
        <v>15821</v>
      </c>
      <c r="U821" t="s">
        <v>15822</v>
      </c>
      <c r="V821" t="s">
        <v>15823</v>
      </c>
      <c r="W821" t="s">
        <v>15824</v>
      </c>
      <c r="X821" t="s">
        <v>15825</v>
      </c>
      <c r="Y821" t="s">
        <v>15826</v>
      </c>
      <c r="Z821" t="s">
        <v>15827</v>
      </c>
      <c r="AA821" t="s">
        <v>15828</v>
      </c>
      <c r="AB821" t="s">
        <v>15829</v>
      </c>
      <c r="AC821" t="s">
        <v>15830</v>
      </c>
      <c r="AD821" t="s">
        <v>15831</v>
      </c>
      <c r="AE821" t="s">
        <v>15832</v>
      </c>
      <c r="AF821" t="s">
        <v>74</v>
      </c>
      <c r="AG821">
        <v>47</v>
      </c>
      <c r="AH821">
        <v>9</v>
      </c>
      <c r="AI821">
        <v>9</v>
      </c>
      <c r="AJ821">
        <v>0</v>
      </c>
      <c r="AK821">
        <v>23</v>
      </c>
      <c r="AL821" t="s">
        <v>3352</v>
      </c>
      <c r="AM821" t="s">
        <v>3353</v>
      </c>
      <c r="AN821" t="s">
        <v>3354</v>
      </c>
      <c r="AO821" t="s">
        <v>15833</v>
      </c>
      <c r="AP821" t="s">
        <v>15834</v>
      </c>
      <c r="AQ821" t="s">
        <v>74</v>
      </c>
      <c r="AR821" t="s">
        <v>15835</v>
      </c>
      <c r="AS821" t="s">
        <v>15836</v>
      </c>
      <c r="AT821" t="s">
        <v>14880</v>
      </c>
      <c r="AU821">
        <v>2018</v>
      </c>
      <c r="AV821">
        <v>111</v>
      </c>
      <c r="AW821" t="s">
        <v>74</v>
      </c>
      <c r="AX821" t="s">
        <v>74</v>
      </c>
      <c r="AY821" t="s">
        <v>74</v>
      </c>
      <c r="AZ821" t="s">
        <v>74</v>
      </c>
      <c r="BA821" t="s">
        <v>74</v>
      </c>
      <c r="BB821">
        <v>41</v>
      </c>
      <c r="BC821">
        <v>46</v>
      </c>
      <c r="BD821" t="s">
        <v>74</v>
      </c>
      <c r="BE821" t="s">
        <v>15837</v>
      </c>
      <c r="BF821" t="str">
        <f>HYPERLINK("http://dx.doi.org/10.1016/j.jinsphys.2018.10.008","http://dx.doi.org/10.1016/j.jinsphys.2018.10.008")</f>
        <v>http://dx.doi.org/10.1016/j.jinsphys.2018.10.008</v>
      </c>
      <c r="BG821" t="s">
        <v>74</v>
      </c>
      <c r="BH821" t="s">
        <v>74</v>
      </c>
      <c r="BI821">
        <v>6</v>
      </c>
      <c r="BJ821" t="s">
        <v>15838</v>
      </c>
      <c r="BK821" t="s">
        <v>101</v>
      </c>
      <c r="BL821" t="s">
        <v>15838</v>
      </c>
      <c r="BM821" t="s">
        <v>15839</v>
      </c>
      <c r="BN821">
        <v>30392850</v>
      </c>
      <c r="BO821" t="s">
        <v>3810</v>
      </c>
      <c r="BP821" t="s">
        <v>74</v>
      </c>
      <c r="BQ821" t="s">
        <v>74</v>
      </c>
      <c r="BR821" t="s">
        <v>104</v>
      </c>
      <c r="BS821" t="s">
        <v>15840</v>
      </c>
      <c r="BT821" t="str">
        <f>HYPERLINK("https%3A%2F%2Fwww.webofscience.com%2Fwos%2Fwoscc%2Ffull-record%2FWOS:000452584500006","View Full Record in Web of Science")</f>
        <v>View Full Record in Web of Science</v>
      </c>
    </row>
    <row r="822" spans="1:72" x14ac:dyDescent="0.15">
      <c r="A822" t="s">
        <v>72</v>
      </c>
      <c r="B822" t="s">
        <v>15841</v>
      </c>
      <c r="C822" t="s">
        <v>74</v>
      </c>
      <c r="D822" t="s">
        <v>74</v>
      </c>
      <c r="E822" t="s">
        <v>74</v>
      </c>
      <c r="F822" t="s">
        <v>15842</v>
      </c>
      <c r="G822" t="s">
        <v>74</v>
      </c>
      <c r="H822" t="s">
        <v>74</v>
      </c>
      <c r="I822" t="s">
        <v>15843</v>
      </c>
      <c r="J822" t="s">
        <v>5930</v>
      </c>
      <c r="K822" t="s">
        <v>74</v>
      </c>
      <c r="L822" t="s">
        <v>74</v>
      </c>
      <c r="M822" t="s">
        <v>78</v>
      </c>
      <c r="N822" t="s">
        <v>79</v>
      </c>
      <c r="O822" t="s">
        <v>74</v>
      </c>
      <c r="P822" t="s">
        <v>74</v>
      </c>
      <c r="Q822" t="s">
        <v>74</v>
      </c>
      <c r="R822" t="s">
        <v>74</v>
      </c>
      <c r="S822" t="s">
        <v>74</v>
      </c>
      <c r="T822" t="s">
        <v>15844</v>
      </c>
      <c r="U822" t="s">
        <v>15845</v>
      </c>
      <c r="V822" t="s">
        <v>15846</v>
      </c>
      <c r="W822" t="s">
        <v>15847</v>
      </c>
      <c r="X822" t="s">
        <v>15848</v>
      </c>
      <c r="Y822" t="s">
        <v>15849</v>
      </c>
      <c r="Z822" t="s">
        <v>15850</v>
      </c>
      <c r="AA822" t="s">
        <v>15851</v>
      </c>
      <c r="AB822" t="s">
        <v>15852</v>
      </c>
      <c r="AC822" t="s">
        <v>15853</v>
      </c>
      <c r="AD822" t="s">
        <v>15854</v>
      </c>
      <c r="AE822" t="s">
        <v>15855</v>
      </c>
      <c r="AF822" t="s">
        <v>74</v>
      </c>
      <c r="AG822">
        <v>116</v>
      </c>
      <c r="AH822">
        <v>18</v>
      </c>
      <c r="AI822">
        <v>19</v>
      </c>
      <c r="AJ822">
        <v>0</v>
      </c>
      <c r="AK822">
        <v>30</v>
      </c>
      <c r="AL822" t="s">
        <v>2519</v>
      </c>
      <c r="AM822" t="s">
        <v>2520</v>
      </c>
      <c r="AN822" t="s">
        <v>3313</v>
      </c>
      <c r="AO822" t="s">
        <v>5943</v>
      </c>
      <c r="AP822" t="s">
        <v>5944</v>
      </c>
      <c r="AQ822" t="s">
        <v>74</v>
      </c>
      <c r="AR822" t="s">
        <v>5945</v>
      </c>
      <c r="AS822" t="s">
        <v>5946</v>
      </c>
      <c r="AT822" t="s">
        <v>14661</v>
      </c>
      <c r="AU822">
        <v>2018</v>
      </c>
      <c r="AV822">
        <v>187</v>
      </c>
      <c r="AW822" t="s">
        <v>74</v>
      </c>
      <c r="AX822" t="s">
        <v>74</v>
      </c>
      <c r="AY822" t="s">
        <v>74</v>
      </c>
      <c r="AZ822" t="s">
        <v>74</v>
      </c>
      <c r="BA822" t="s">
        <v>74</v>
      </c>
      <c r="BB822">
        <v>62</v>
      </c>
      <c r="BC822">
        <v>81</v>
      </c>
      <c r="BD822" t="s">
        <v>74</v>
      </c>
      <c r="BE822" t="s">
        <v>15856</v>
      </c>
      <c r="BF822" t="str">
        <f>HYPERLINK("http://dx.doi.org/10.1016/j.jmarsys.2018.06.008","http://dx.doi.org/10.1016/j.jmarsys.2018.06.008")</f>
        <v>http://dx.doi.org/10.1016/j.jmarsys.2018.06.008</v>
      </c>
      <c r="BG822" t="s">
        <v>74</v>
      </c>
      <c r="BH822" t="s">
        <v>74</v>
      </c>
      <c r="BI822">
        <v>20</v>
      </c>
      <c r="BJ822" t="s">
        <v>5948</v>
      </c>
      <c r="BK822" t="s">
        <v>101</v>
      </c>
      <c r="BL822" t="s">
        <v>5949</v>
      </c>
      <c r="BM822" t="s">
        <v>15857</v>
      </c>
      <c r="BN822" t="s">
        <v>74</v>
      </c>
      <c r="BO822" t="s">
        <v>74</v>
      </c>
      <c r="BP822" t="s">
        <v>74</v>
      </c>
      <c r="BQ822" t="s">
        <v>74</v>
      </c>
      <c r="BR822" t="s">
        <v>104</v>
      </c>
      <c r="BS822" t="s">
        <v>15858</v>
      </c>
      <c r="BT822" t="str">
        <f>HYPERLINK("https%3A%2F%2Fwww.webofscience.com%2Fwos%2Fwoscc%2Ffull-record%2FWOS:000445313300006","View Full Record in Web of Science")</f>
        <v>View Full Record in Web of Science</v>
      </c>
    </row>
    <row r="823" spans="1:72" x14ac:dyDescent="0.15">
      <c r="A823" t="s">
        <v>72</v>
      </c>
      <c r="B823" t="s">
        <v>15859</v>
      </c>
      <c r="C823" t="s">
        <v>74</v>
      </c>
      <c r="D823" t="s">
        <v>74</v>
      </c>
      <c r="E823" t="s">
        <v>74</v>
      </c>
      <c r="F823" t="s">
        <v>15860</v>
      </c>
      <c r="G823" t="s">
        <v>74</v>
      </c>
      <c r="H823" t="s">
        <v>74</v>
      </c>
      <c r="I823" t="s">
        <v>15861</v>
      </c>
      <c r="J823" t="s">
        <v>5930</v>
      </c>
      <c r="K823" t="s">
        <v>74</v>
      </c>
      <c r="L823" t="s">
        <v>74</v>
      </c>
      <c r="M823" t="s">
        <v>78</v>
      </c>
      <c r="N823" t="s">
        <v>79</v>
      </c>
      <c r="O823" t="s">
        <v>74</v>
      </c>
      <c r="P823" t="s">
        <v>74</v>
      </c>
      <c r="Q823" t="s">
        <v>74</v>
      </c>
      <c r="R823" t="s">
        <v>74</v>
      </c>
      <c r="S823" t="s">
        <v>74</v>
      </c>
      <c r="T823" t="s">
        <v>15862</v>
      </c>
      <c r="U823" t="s">
        <v>15863</v>
      </c>
      <c r="V823" t="s">
        <v>15864</v>
      </c>
      <c r="W823" t="s">
        <v>15865</v>
      </c>
      <c r="X823" t="s">
        <v>15866</v>
      </c>
      <c r="Y823" t="s">
        <v>15867</v>
      </c>
      <c r="Z823" t="s">
        <v>15868</v>
      </c>
      <c r="AA823" t="s">
        <v>15869</v>
      </c>
      <c r="AB823" t="s">
        <v>15870</v>
      </c>
      <c r="AC823" t="s">
        <v>15871</v>
      </c>
      <c r="AD823" t="s">
        <v>15871</v>
      </c>
      <c r="AE823" t="s">
        <v>15872</v>
      </c>
      <c r="AF823" t="s">
        <v>74</v>
      </c>
      <c r="AG823">
        <v>70</v>
      </c>
      <c r="AH823">
        <v>47</v>
      </c>
      <c r="AI823">
        <v>47</v>
      </c>
      <c r="AJ823">
        <v>2</v>
      </c>
      <c r="AK823">
        <v>30</v>
      </c>
      <c r="AL823" t="s">
        <v>3290</v>
      </c>
      <c r="AM823" t="s">
        <v>2520</v>
      </c>
      <c r="AN823" t="s">
        <v>3291</v>
      </c>
      <c r="AO823" t="s">
        <v>5943</v>
      </c>
      <c r="AP823" t="s">
        <v>5944</v>
      </c>
      <c r="AQ823" t="s">
        <v>74</v>
      </c>
      <c r="AR823" t="s">
        <v>5945</v>
      </c>
      <c r="AS823" t="s">
        <v>5946</v>
      </c>
      <c r="AT823" t="s">
        <v>14661</v>
      </c>
      <c r="AU823">
        <v>2018</v>
      </c>
      <c r="AV823">
        <v>187</v>
      </c>
      <c r="AW823" t="s">
        <v>74</v>
      </c>
      <c r="AX823" t="s">
        <v>74</v>
      </c>
      <c r="AY823" t="s">
        <v>74</v>
      </c>
      <c r="AZ823" t="s">
        <v>74</v>
      </c>
      <c r="BA823" t="s">
        <v>74</v>
      </c>
      <c r="BB823">
        <v>156</v>
      </c>
      <c r="BC823">
        <v>196</v>
      </c>
      <c r="BD823" t="s">
        <v>74</v>
      </c>
      <c r="BE823" t="s">
        <v>15873</v>
      </c>
      <c r="BF823" t="str">
        <f>HYPERLINK("http://dx.doi.org/10.1016/j.jmarsys.2018.07.005","http://dx.doi.org/10.1016/j.jmarsys.2018.07.005")</f>
        <v>http://dx.doi.org/10.1016/j.jmarsys.2018.07.005</v>
      </c>
      <c r="BG823" t="s">
        <v>74</v>
      </c>
      <c r="BH823" t="s">
        <v>74</v>
      </c>
      <c r="BI823">
        <v>41</v>
      </c>
      <c r="BJ823" t="s">
        <v>5948</v>
      </c>
      <c r="BK823" t="s">
        <v>101</v>
      </c>
      <c r="BL823" t="s">
        <v>5949</v>
      </c>
      <c r="BM823" t="s">
        <v>15857</v>
      </c>
      <c r="BN823" t="s">
        <v>74</v>
      </c>
      <c r="BO823" t="s">
        <v>3810</v>
      </c>
      <c r="BP823" t="s">
        <v>74</v>
      </c>
      <c r="BQ823" t="s">
        <v>74</v>
      </c>
      <c r="BR823" t="s">
        <v>104</v>
      </c>
      <c r="BS823" t="s">
        <v>15874</v>
      </c>
      <c r="BT823" t="str">
        <f>HYPERLINK("https%3A%2F%2Fwww.webofscience.com%2Fwos%2Fwoscc%2Ffull-record%2FWOS:000445313300013","View Full Record in Web of Science")</f>
        <v>View Full Record in Web of Science</v>
      </c>
    </row>
    <row r="824" spans="1:72" x14ac:dyDescent="0.15">
      <c r="A824" t="s">
        <v>72</v>
      </c>
      <c r="B824" t="s">
        <v>15875</v>
      </c>
      <c r="C824" t="s">
        <v>74</v>
      </c>
      <c r="D824" t="s">
        <v>74</v>
      </c>
      <c r="E824" t="s">
        <v>74</v>
      </c>
      <c r="F824" t="s">
        <v>15876</v>
      </c>
      <c r="G824" t="s">
        <v>74</v>
      </c>
      <c r="H824" t="s">
        <v>74</v>
      </c>
      <c r="I824" t="s">
        <v>15877</v>
      </c>
      <c r="J824" t="s">
        <v>5930</v>
      </c>
      <c r="K824" t="s">
        <v>74</v>
      </c>
      <c r="L824" t="s">
        <v>74</v>
      </c>
      <c r="M824" t="s">
        <v>78</v>
      </c>
      <c r="N824" t="s">
        <v>79</v>
      </c>
      <c r="O824" t="s">
        <v>74</v>
      </c>
      <c r="P824" t="s">
        <v>74</v>
      </c>
      <c r="Q824" t="s">
        <v>74</v>
      </c>
      <c r="R824" t="s">
        <v>74</v>
      </c>
      <c r="S824" t="s">
        <v>74</v>
      </c>
      <c r="T824" t="s">
        <v>15878</v>
      </c>
      <c r="U824" t="s">
        <v>15879</v>
      </c>
      <c r="V824" t="s">
        <v>15880</v>
      </c>
      <c r="W824" t="s">
        <v>15881</v>
      </c>
      <c r="X824" t="s">
        <v>15882</v>
      </c>
      <c r="Y824" t="s">
        <v>15883</v>
      </c>
      <c r="Z824" t="s">
        <v>15884</v>
      </c>
      <c r="AA824" t="s">
        <v>15885</v>
      </c>
      <c r="AB824" t="s">
        <v>15886</v>
      </c>
      <c r="AC824" t="s">
        <v>15887</v>
      </c>
      <c r="AD824" t="s">
        <v>15888</v>
      </c>
      <c r="AE824" t="s">
        <v>15889</v>
      </c>
      <c r="AF824" t="s">
        <v>74</v>
      </c>
      <c r="AG824">
        <v>67</v>
      </c>
      <c r="AH824">
        <v>9</v>
      </c>
      <c r="AI824">
        <v>9</v>
      </c>
      <c r="AJ824">
        <v>2</v>
      </c>
      <c r="AK824">
        <v>22</v>
      </c>
      <c r="AL824" t="s">
        <v>2519</v>
      </c>
      <c r="AM824" t="s">
        <v>2520</v>
      </c>
      <c r="AN824" t="s">
        <v>3313</v>
      </c>
      <c r="AO824" t="s">
        <v>5943</v>
      </c>
      <c r="AP824" t="s">
        <v>5944</v>
      </c>
      <c r="AQ824" t="s">
        <v>74</v>
      </c>
      <c r="AR824" t="s">
        <v>5945</v>
      </c>
      <c r="AS824" t="s">
        <v>5946</v>
      </c>
      <c r="AT824" t="s">
        <v>14661</v>
      </c>
      <c r="AU824">
        <v>2018</v>
      </c>
      <c r="AV824">
        <v>187</v>
      </c>
      <c r="AW824" t="s">
        <v>74</v>
      </c>
      <c r="AX824" t="s">
        <v>74</v>
      </c>
      <c r="AY824" t="s">
        <v>74</v>
      </c>
      <c r="AZ824" t="s">
        <v>74</v>
      </c>
      <c r="BA824" t="s">
        <v>74</v>
      </c>
      <c r="BB824">
        <v>197</v>
      </c>
      <c r="BC824">
        <v>205</v>
      </c>
      <c r="BD824" t="s">
        <v>74</v>
      </c>
      <c r="BE824" t="s">
        <v>15890</v>
      </c>
      <c r="BF824" t="str">
        <f>HYPERLINK("http://dx.doi.org/10.1016/j.jmarsys.2018.07.007","http://dx.doi.org/10.1016/j.jmarsys.2018.07.007")</f>
        <v>http://dx.doi.org/10.1016/j.jmarsys.2018.07.007</v>
      </c>
      <c r="BG824" t="s">
        <v>74</v>
      </c>
      <c r="BH824" t="s">
        <v>74</v>
      </c>
      <c r="BI824">
        <v>9</v>
      </c>
      <c r="BJ824" t="s">
        <v>5948</v>
      </c>
      <c r="BK824" t="s">
        <v>101</v>
      </c>
      <c r="BL824" t="s">
        <v>5949</v>
      </c>
      <c r="BM824" t="s">
        <v>15857</v>
      </c>
      <c r="BN824" t="s">
        <v>74</v>
      </c>
      <c r="BO824" t="s">
        <v>74</v>
      </c>
      <c r="BP824" t="s">
        <v>74</v>
      </c>
      <c r="BQ824" t="s">
        <v>74</v>
      </c>
      <c r="BR824" t="s">
        <v>104</v>
      </c>
      <c r="BS824" t="s">
        <v>15891</v>
      </c>
      <c r="BT824" t="str">
        <f>HYPERLINK("https%3A%2F%2Fwww.webofscience.com%2Fwos%2Fwoscc%2Ffull-record%2FWOS:000445313300014","View Full Record in Web of Science")</f>
        <v>View Full Record in Web of Science</v>
      </c>
    </row>
    <row r="825" spans="1:72" x14ac:dyDescent="0.15">
      <c r="A825" t="s">
        <v>72</v>
      </c>
      <c r="B825" t="s">
        <v>15892</v>
      </c>
      <c r="C825" t="s">
        <v>74</v>
      </c>
      <c r="D825" t="s">
        <v>74</v>
      </c>
      <c r="E825" t="s">
        <v>74</v>
      </c>
      <c r="F825" t="s">
        <v>15893</v>
      </c>
      <c r="G825" t="s">
        <v>74</v>
      </c>
      <c r="H825" t="s">
        <v>74</v>
      </c>
      <c r="I825" t="s">
        <v>15894</v>
      </c>
      <c r="J825" t="s">
        <v>15895</v>
      </c>
      <c r="K825" t="s">
        <v>74</v>
      </c>
      <c r="L825" t="s">
        <v>74</v>
      </c>
      <c r="M825" t="s">
        <v>78</v>
      </c>
      <c r="N825" t="s">
        <v>79</v>
      </c>
      <c r="O825" t="s">
        <v>74</v>
      </c>
      <c r="P825" t="s">
        <v>74</v>
      </c>
      <c r="Q825" t="s">
        <v>74</v>
      </c>
      <c r="R825" t="s">
        <v>74</v>
      </c>
      <c r="S825" t="s">
        <v>74</v>
      </c>
      <c r="T825" t="s">
        <v>15896</v>
      </c>
      <c r="U825" t="s">
        <v>15897</v>
      </c>
      <c r="V825" t="s">
        <v>15898</v>
      </c>
      <c r="W825" t="s">
        <v>15899</v>
      </c>
      <c r="X825" t="s">
        <v>15900</v>
      </c>
      <c r="Y825" t="s">
        <v>15901</v>
      </c>
      <c r="Z825" t="s">
        <v>15902</v>
      </c>
      <c r="AA825" t="s">
        <v>15903</v>
      </c>
      <c r="AB825" t="s">
        <v>15904</v>
      </c>
      <c r="AC825" t="s">
        <v>15905</v>
      </c>
      <c r="AD825" t="s">
        <v>15905</v>
      </c>
      <c r="AE825" t="s">
        <v>15906</v>
      </c>
      <c r="AF825" t="s">
        <v>74</v>
      </c>
      <c r="AG825">
        <v>27</v>
      </c>
      <c r="AH825">
        <v>4</v>
      </c>
      <c r="AI825">
        <v>5</v>
      </c>
      <c r="AJ825">
        <v>0</v>
      </c>
      <c r="AK825">
        <v>15</v>
      </c>
      <c r="AL825" t="s">
        <v>3670</v>
      </c>
      <c r="AM825" t="s">
        <v>3671</v>
      </c>
      <c r="AN825" t="s">
        <v>3672</v>
      </c>
      <c r="AO825" t="s">
        <v>15907</v>
      </c>
      <c r="AP825" t="s">
        <v>15908</v>
      </c>
      <c r="AQ825" t="s">
        <v>74</v>
      </c>
      <c r="AR825" t="s">
        <v>15909</v>
      </c>
      <c r="AS825" t="s">
        <v>15910</v>
      </c>
      <c r="AT825" t="s">
        <v>14661</v>
      </c>
      <c r="AU825">
        <v>2018</v>
      </c>
      <c r="AV825">
        <v>49</v>
      </c>
      <c r="AW825">
        <v>11</v>
      </c>
      <c r="AX825" t="s">
        <v>74</v>
      </c>
      <c r="AY825" t="s">
        <v>74</v>
      </c>
      <c r="AZ825" t="s">
        <v>74</v>
      </c>
      <c r="BA825" t="s">
        <v>74</v>
      </c>
      <c r="BB825">
        <v>1812</v>
      </c>
      <c r="BC825">
        <v>1821</v>
      </c>
      <c r="BD825" t="s">
        <v>74</v>
      </c>
      <c r="BE825" t="s">
        <v>15911</v>
      </c>
      <c r="BF825" t="str">
        <f>HYPERLINK("http://dx.doi.org/10.1002/jrs.5457","http://dx.doi.org/10.1002/jrs.5457")</f>
        <v>http://dx.doi.org/10.1002/jrs.5457</v>
      </c>
      <c r="BG825" t="s">
        <v>74</v>
      </c>
      <c r="BH825" t="s">
        <v>74</v>
      </c>
      <c r="BI825">
        <v>10</v>
      </c>
      <c r="BJ825" t="s">
        <v>15912</v>
      </c>
      <c r="BK825" t="s">
        <v>101</v>
      </c>
      <c r="BL825" t="s">
        <v>15912</v>
      </c>
      <c r="BM825" t="s">
        <v>15913</v>
      </c>
      <c r="BN825" t="s">
        <v>74</v>
      </c>
      <c r="BO825" t="s">
        <v>74</v>
      </c>
      <c r="BP825" t="s">
        <v>74</v>
      </c>
      <c r="BQ825" t="s">
        <v>74</v>
      </c>
      <c r="BR825" t="s">
        <v>104</v>
      </c>
      <c r="BS825" t="s">
        <v>15914</v>
      </c>
      <c r="BT825" t="str">
        <f>HYPERLINK("https%3A%2F%2Fwww.webofscience.com%2Fwos%2Fwoscc%2Ffull-record%2FWOS:000449999600009","View Full Record in Web of Science")</f>
        <v>View Full Record in Web of Science</v>
      </c>
    </row>
    <row r="826" spans="1:72" x14ac:dyDescent="0.15">
      <c r="A826" t="s">
        <v>72</v>
      </c>
      <c r="B826" t="s">
        <v>15915</v>
      </c>
      <c r="C826" t="s">
        <v>74</v>
      </c>
      <c r="D826" t="s">
        <v>74</v>
      </c>
      <c r="E826" t="s">
        <v>74</v>
      </c>
      <c r="F826" t="s">
        <v>15916</v>
      </c>
      <c r="G826" t="s">
        <v>74</v>
      </c>
      <c r="H826" t="s">
        <v>74</v>
      </c>
      <c r="I826" t="s">
        <v>15917</v>
      </c>
      <c r="J826" t="s">
        <v>15918</v>
      </c>
      <c r="K826" t="s">
        <v>74</v>
      </c>
      <c r="L826" t="s">
        <v>74</v>
      </c>
      <c r="M826" t="s">
        <v>78</v>
      </c>
      <c r="N826" t="s">
        <v>79</v>
      </c>
      <c r="O826" t="s">
        <v>74</v>
      </c>
      <c r="P826" t="s">
        <v>74</v>
      </c>
      <c r="Q826" t="s">
        <v>74</v>
      </c>
      <c r="R826" t="s">
        <v>74</v>
      </c>
      <c r="S826" t="s">
        <v>74</v>
      </c>
      <c r="T826" t="s">
        <v>15919</v>
      </c>
      <c r="U826" t="s">
        <v>15920</v>
      </c>
      <c r="V826" t="s">
        <v>15921</v>
      </c>
      <c r="W826" t="s">
        <v>15922</v>
      </c>
      <c r="X826" t="s">
        <v>15923</v>
      </c>
      <c r="Y826" t="s">
        <v>15924</v>
      </c>
      <c r="Z826" t="s">
        <v>15925</v>
      </c>
      <c r="AA826" t="s">
        <v>15926</v>
      </c>
      <c r="AB826" t="s">
        <v>15927</v>
      </c>
      <c r="AC826" t="s">
        <v>15928</v>
      </c>
      <c r="AD826" t="s">
        <v>15929</v>
      </c>
      <c r="AE826" t="s">
        <v>15930</v>
      </c>
      <c r="AF826" t="s">
        <v>74</v>
      </c>
      <c r="AG826">
        <v>17</v>
      </c>
      <c r="AH826">
        <v>1</v>
      </c>
      <c r="AI826">
        <v>1</v>
      </c>
      <c r="AJ826">
        <v>2</v>
      </c>
      <c r="AK826">
        <v>9</v>
      </c>
      <c r="AL826" t="s">
        <v>15931</v>
      </c>
      <c r="AM826" t="s">
        <v>9241</v>
      </c>
      <c r="AN826" t="s">
        <v>15932</v>
      </c>
      <c r="AO826" t="s">
        <v>15933</v>
      </c>
      <c r="AP826" t="s">
        <v>15934</v>
      </c>
      <c r="AQ826" t="s">
        <v>74</v>
      </c>
      <c r="AR826" t="s">
        <v>15935</v>
      </c>
      <c r="AS826" t="s">
        <v>15936</v>
      </c>
      <c r="AT826" t="s">
        <v>14661</v>
      </c>
      <c r="AU826">
        <v>2018</v>
      </c>
      <c r="AV826">
        <v>73</v>
      </c>
      <c r="AW826">
        <v>9</v>
      </c>
      <c r="AX826" t="s">
        <v>74</v>
      </c>
      <c r="AY826" t="s">
        <v>74</v>
      </c>
      <c r="AZ826" t="s">
        <v>74</v>
      </c>
      <c r="BA826" t="s">
        <v>74</v>
      </c>
      <c r="BB826">
        <v>1263</v>
      </c>
      <c r="BC826">
        <v>1268</v>
      </c>
      <c r="BD826" t="s">
        <v>74</v>
      </c>
      <c r="BE826" t="s">
        <v>15937</v>
      </c>
      <c r="BF826" t="str">
        <f>HYPERLINK("http://dx.doi.org/10.3938/jkps.73.1263","http://dx.doi.org/10.3938/jkps.73.1263")</f>
        <v>http://dx.doi.org/10.3938/jkps.73.1263</v>
      </c>
      <c r="BG826" t="s">
        <v>74</v>
      </c>
      <c r="BH826" t="s">
        <v>74</v>
      </c>
      <c r="BI826">
        <v>6</v>
      </c>
      <c r="BJ826" t="s">
        <v>2448</v>
      </c>
      <c r="BK826" t="s">
        <v>101</v>
      </c>
      <c r="BL826" t="s">
        <v>2449</v>
      </c>
      <c r="BM826" t="s">
        <v>15938</v>
      </c>
      <c r="BN826" t="s">
        <v>74</v>
      </c>
      <c r="BO826" t="s">
        <v>74</v>
      </c>
      <c r="BP826" t="s">
        <v>74</v>
      </c>
      <c r="BQ826" t="s">
        <v>74</v>
      </c>
      <c r="BR826" t="s">
        <v>104</v>
      </c>
      <c r="BS826" t="s">
        <v>15939</v>
      </c>
      <c r="BT826" t="str">
        <f>HYPERLINK("https%3A%2F%2Fwww.webofscience.com%2Fwos%2Fwoscc%2Ffull-record%2FWOS:000451208000009","View Full Record in Web of Science")</f>
        <v>View Full Record in Web of Science</v>
      </c>
    </row>
    <row r="827" spans="1:72" x14ac:dyDescent="0.15">
      <c r="A827" t="s">
        <v>72</v>
      </c>
      <c r="B827" t="s">
        <v>15940</v>
      </c>
      <c r="C827" t="s">
        <v>74</v>
      </c>
      <c r="D827" t="s">
        <v>74</v>
      </c>
      <c r="E827" t="s">
        <v>74</v>
      </c>
      <c r="F827" t="s">
        <v>15941</v>
      </c>
      <c r="G827" t="s">
        <v>74</v>
      </c>
      <c r="H827" t="s">
        <v>74</v>
      </c>
      <c r="I827" t="s">
        <v>15942</v>
      </c>
      <c r="J827" t="s">
        <v>15943</v>
      </c>
      <c r="K827" t="s">
        <v>74</v>
      </c>
      <c r="L827" t="s">
        <v>74</v>
      </c>
      <c r="M827" t="s">
        <v>78</v>
      </c>
      <c r="N827" t="s">
        <v>79</v>
      </c>
      <c r="O827" t="s">
        <v>74</v>
      </c>
      <c r="P827" t="s">
        <v>74</v>
      </c>
      <c r="Q827" t="s">
        <v>74</v>
      </c>
      <c r="R827" t="s">
        <v>74</v>
      </c>
      <c r="S827" t="s">
        <v>74</v>
      </c>
      <c r="T827" t="s">
        <v>15944</v>
      </c>
      <c r="U827" t="s">
        <v>15945</v>
      </c>
      <c r="V827" t="s">
        <v>15946</v>
      </c>
      <c r="W827" t="s">
        <v>15947</v>
      </c>
      <c r="X827" t="s">
        <v>15948</v>
      </c>
      <c r="Y827" t="s">
        <v>15949</v>
      </c>
      <c r="Z827" t="s">
        <v>15950</v>
      </c>
      <c r="AA827" t="s">
        <v>15951</v>
      </c>
      <c r="AB827" t="s">
        <v>15952</v>
      </c>
      <c r="AC827" t="s">
        <v>15953</v>
      </c>
      <c r="AD827" t="s">
        <v>15954</v>
      </c>
      <c r="AE827" t="s">
        <v>15955</v>
      </c>
      <c r="AF827" t="s">
        <v>74</v>
      </c>
      <c r="AG827">
        <v>37</v>
      </c>
      <c r="AH827">
        <v>5</v>
      </c>
      <c r="AI827">
        <v>5</v>
      </c>
      <c r="AJ827">
        <v>0</v>
      </c>
      <c r="AK827">
        <v>10</v>
      </c>
      <c r="AL827" t="s">
        <v>1473</v>
      </c>
      <c r="AM827" t="s">
        <v>1080</v>
      </c>
      <c r="AN827" t="s">
        <v>1474</v>
      </c>
      <c r="AO827" t="s">
        <v>15956</v>
      </c>
      <c r="AP827" t="s">
        <v>15957</v>
      </c>
      <c r="AQ827" t="s">
        <v>74</v>
      </c>
      <c r="AR827" t="s">
        <v>15958</v>
      </c>
      <c r="AS827" t="s">
        <v>15959</v>
      </c>
      <c r="AT827" t="s">
        <v>14661</v>
      </c>
      <c r="AU827">
        <v>2018</v>
      </c>
      <c r="AV827">
        <v>98</v>
      </c>
      <c r="AW827">
        <v>7</v>
      </c>
      <c r="AX827" t="s">
        <v>74</v>
      </c>
      <c r="AY827" t="s">
        <v>74</v>
      </c>
      <c r="AZ827" t="s">
        <v>74</v>
      </c>
      <c r="BA827" t="s">
        <v>74</v>
      </c>
      <c r="BB827">
        <v>1695</v>
      </c>
      <c r="BC827">
        <v>1702</v>
      </c>
      <c r="BD827" t="s">
        <v>74</v>
      </c>
      <c r="BE827" t="s">
        <v>15960</v>
      </c>
      <c r="BF827" t="str">
        <f>HYPERLINK("http://dx.doi.org/10.1017/S0025315417001138","http://dx.doi.org/10.1017/S0025315417001138")</f>
        <v>http://dx.doi.org/10.1017/S0025315417001138</v>
      </c>
      <c r="BG827" t="s">
        <v>74</v>
      </c>
      <c r="BH827" t="s">
        <v>74</v>
      </c>
      <c r="BI827">
        <v>8</v>
      </c>
      <c r="BJ827" t="s">
        <v>694</v>
      </c>
      <c r="BK827" t="s">
        <v>101</v>
      </c>
      <c r="BL827" t="s">
        <v>694</v>
      </c>
      <c r="BM827" t="s">
        <v>15961</v>
      </c>
      <c r="BN827" t="s">
        <v>74</v>
      </c>
      <c r="BO827" t="s">
        <v>74</v>
      </c>
      <c r="BP827" t="s">
        <v>74</v>
      </c>
      <c r="BQ827" t="s">
        <v>74</v>
      </c>
      <c r="BR827" t="s">
        <v>104</v>
      </c>
      <c r="BS827" t="s">
        <v>15962</v>
      </c>
      <c r="BT827" t="str">
        <f>HYPERLINK("https%3A%2F%2Fwww.webofscience.com%2Fwos%2Fwoscc%2Ffull-record%2FWOS:000447314500017","View Full Record in Web of Science")</f>
        <v>View Full Record in Web of Science</v>
      </c>
    </row>
    <row r="828" spans="1:72" x14ac:dyDescent="0.15">
      <c r="A828" t="s">
        <v>72</v>
      </c>
      <c r="B828" t="s">
        <v>15963</v>
      </c>
      <c r="C828" t="s">
        <v>74</v>
      </c>
      <c r="D828" t="s">
        <v>74</v>
      </c>
      <c r="E828" t="s">
        <v>74</v>
      </c>
      <c r="F828" t="s">
        <v>15964</v>
      </c>
      <c r="G828" t="s">
        <v>74</v>
      </c>
      <c r="H828" t="s">
        <v>74</v>
      </c>
      <c r="I828" t="s">
        <v>15965</v>
      </c>
      <c r="J828" t="s">
        <v>4989</v>
      </c>
      <c r="K828" t="s">
        <v>74</v>
      </c>
      <c r="L828" t="s">
        <v>74</v>
      </c>
      <c r="M828" t="s">
        <v>78</v>
      </c>
      <c r="N828" t="s">
        <v>79</v>
      </c>
      <c r="O828" t="s">
        <v>74</v>
      </c>
      <c r="P828" t="s">
        <v>74</v>
      </c>
      <c r="Q828" t="s">
        <v>74</v>
      </c>
      <c r="R828" t="s">
        <v>74</v>
      </c>
      <c r="S828" t="s">
        <v>74</v>
      </c>
      <c r="T828" t="s">
        <v>74</v>
      </c>
      <c r="U828" t="s">
        <v>15966</v>
      </c>
      <c r="V828" t="s">
        <v>15967</v>
      </c>
      <c r="W828" t="s">
        <v>15968</v>
      </c>
      <c r="X828" t="s">
        <v>15969</v>
      </c>
      <c r="Y828" t="s">
        <v>15970</v>
      </c>
      <c r="Z828" t="s">
        <v>15971</v>
      </c>
      <c r="AA828" t="s">
        <v>74</v>
      </c>
      <c r="AB828" t="s">
        <v>74</v>
      </c>
      <c r="AC828" t="s">
        <v>15972</v>
      </c>
      <c r="AD828" t="s">
        <v>15973</v>
      </c>
      <c r="AE828" t="s">
        <v>15974</v>
      </c>
      <c r="AF828" t="s">
        <v>74</v>
      </c>
      <c r="AG828">
        <v>49</v>
      </c>
      <c r="AH828">
        <v>5</v>
      </c>
      <c r="AI828">
        <v>7</v>
      </c>
      <c r="AJ828">
        <v>1</v>
      </c>
      <c r="AK828">
        <v>23</v>
      </c>
      <c r="AL828" t="s">
        <v>3670</v>
      </c>
      <c r="AM828" t="s">
        <v>3671</v>
      </c>
      <c r="AN828" t="s">
        <v>3672</v>
      </c>
      <c r="AO828" t="s">
        <v>5001</v>
      </c>
      <c r="AP828" t="s">
        <v>5002</v>
      </c>
      <c r="AQ828" t="s">
        <v>74</v>
      </c>
      <c r="AR828" t="s">
        <v>5003</v>
      </c>
      <c r="AS828" t="s">
        <v>5004</v>
      </c>
      <c r="AT828" t="s">
        <v>14661</v>
      </c>
      <c r="AU828">
        <v>2018</v>
      </c>
      <c r="AV828">
        <v>63</v>
      </c>
      <c r="AW828">
        <v>6</v>
      </c>
      <c r="AX828" t="s">
        <v>74</v>
      </c>
      <c r="AY828" t="s">
        <v>74</v>
      </c>
      <c r="AZ828" t="s">
        <v>74</v>
      </c>
      <c r="BA828" t="s">
        <v>74</v>
      </c>
      <c r="BB828">
        <v>2737</v>
      </c>
      <c r="BC828">
        <v>2750</v>
      </c>
      <c r="BD828" t="s">
        <v>74</v>
      </c>
      <c r="BE828" t="s">
        <v>15975</v>
      </c>
      <c r="BF828" t="str">
        <f>HYPERLINK("http://dx.doi.org/10.1002/lno.11004","http://dx.doi.org/10.1002/lno.11004")</f>
        <v>http://dx.doi.org/10.1002/lno.11004</v>
      </c>
      <c r="BG828" t="s">
        <v>74</v>
      </c>
      <c r="BH828" t="s">
        <v>74</v>
      </c>
      <c r="BI828">
        <v>14</v>
      </c>
      <c r="BJ828" t="s">
        <v>5006</v>
      </c>
      <c r="BK828" t="s">
        <v>101</v>
      </c>
      <c r="BL828" t="s">
        <v>827</v>
      </c>
      <c r="BM828" t="s">
        <v>15976</v>
      </c>
      <c r="BN828" t="s">
        <v>74</v>
      </c>
      <c r="BO828" t="s">
        <v>162</v>
      </c>
      <c r="BP828" t="s">
        <v>74</v>
      </c>
      <c r="BQ828" t="s">
        <v>74</v>
      </c>
      <c r="BR828" t="s">
        <v>104</v>
      </c>
      <c r="BS828" t="s">
        <v>15977</v>
      </c>
      <c r="BT828" t="str">
        <f>HYPERLINK("https%3A%2F%2Fwww.webofscience.com%2Fwos%2Fwoscc%2Ffull-record%2FWOS:000450233300031","View Full Record in Web of Science")</f>
        <v>View Full Record in Web of Science</v>
      </c>
    </row>
    <row r="829" spans="1:72" x14ac:dyDescent="0.15">
      <c r="A829" t="s">
        <v>72</v>
      </c>
      <c r="B829" t="s">
        <v>15978</v>
      </c>
      <c r="C829" t="s">
        <v>74</v>
      </c>
      <c r="D829" t="s">
        <v>74</v>
      </c>
      <c r="E829" t="s">
        <v>74</v>
      </c>
      <c r="F829" t="s">
        <v>15979</v>
      </c>
      <c r="G829" t="s">
        <v>74</v>
      </c>
      <c r="H829" t="s">
        <v>74</v>
      </c>
      <c r="I829" t="s">
        <v>15980</v>
      </c>
      <c r="J829" t="s">
        <v>4989</v>
      </c>
      <c r="K829" t="s">
        <v>74</v>
      </c>
      <c r="L829" t="s">
        <v>74</v>
      </c>
      <c r="M829" t="s">
        <v>78</v>
      </c>
      <c r="N829" t="s">
        <v>79</v>
      </c>
      <c r="O829" t="s">
        <v>74</v>
      </c>
      <c r="P829" t="s">
        <v>74</v>
      </c>
      <c r="Q829" t="s">
        <v>74</v>
      </c>
      <c r="R829" t="s">
        <v>74</v>
      </c>
      <c r="S829" t="s">
        <v>74</v>
      </c>
      <c r="T829" t="s">
        <v>74</v>
      </c>
      <c r="U829" t="s">
        <v>15981</v>
      </c>
      <c r="V829" t="s">
        <v>15982</v>
      </c>
      <c r="W829" t="s">
        <v>15983</v>
      </c>
      <c r="X829" t="s">
        <v>15984</v>
      </c>
      <c r="Y829" t="s">
        <v>15985</v>
      </c>
      <c r="Z829" t="s">
        <v>15986</v>
      </c>
      <c r="AA829" t="s">
        <v>74</v>
      </c>
      <c r="AB829" t="s">
        <v>15987</v>
      </c>
      <c r="AC829" t="s">
        <v>15988</v>
      </c>
      <c r="AD829" t="s">
        <v>15989</v>
      </c>
      <c r="AE829" t="s">
        <v>15990</v>
      </c>
      <c r="AF829" t="s">
        <v>74</v>
      </c>
      <c r="AG829">
        <v>84</v>
      </c>
      <c r="AH829">
        <v>17</v>
      </c>
      <c r="AI829">
        <v>20</v>
      </c>
      <c r="AJ829">
        <v>1</v>
      </c>
      <c r="AK829">
        <v>23</v>
      </c>
      <c r="AL829" t="s">
        <v>3670</v>
      </c>
      <c r="AM829" t="s">
        <v>3671</v>
      </c>
      <c r="AN829" t="s">
        <v>3672</v>
      </c>
      <c r="AO829" t="s">
        <v>5001</v>
      </c>
      <c r="AP829" t="s">
        <v>5002</v>
      </c>
      <c r="AQ829" t="s">
        <v>74</v>
      </c>
      <c r="AR829" t="s">
        <v>5003</v>
      </c>
      <c r="AS829" t="s">
        <v>5004</v>
      </c>
      <c r="AT829" t="s">
        <v>14661</v>
      </c>
      <c r="AU829">
        <v>2018</v>
      </c>
      <c r="AV829">
        <v>63</v>
      </c>
      <c r="AW829">
        <v>6</v>
      </c>
      <c r="AX829" t="s">
        <v>74</v>
      </c>
      <c r="AY829" t="s">
        <v>74</v>
      </c>
      <c r="AZ829" t="s">
        <v>74</v>
      </c>
      <c r="BA829" t="s">
        <v>74</v>
      </c>
      <c r="BB829">
        <v>2839</v>
      </c>
      <c r="BC829">
        <v>2857</v>
      </c>
      <c r="BD829" t="s">
        <v>74</v>
      </c>
      <c r="BE829" t="s">
        <v>15991</v>
      </c>
      <c r="BF829" t="str">
        <f>HYPERLINK("http://dx.doi.org/10.1002/lno.11024","http://dx.doi.org/10.1002/lno.11024")</f>
        <v>http://dx.doi.org/10.1002/lno.11024</v>
      </c>
      <c r="BG829" t="s">
        <v>74</v>
      </c>
      <c r="BH829" t="s">
        <v>74</v>
      </c>
      <c r="BI829">
        <v>19</v>
      </c>
      <c r="BJ829" t="s">
        <v>5006</v>
      </c>
      <c r="BK829" t="s">
        <v>101</v>
      </c>
      <c r="BL829" t="s">
        <v>827</v>
      </c>
      <c r="BM829" t="s">
        <v>15976</v>
      </c>
      <c r="BN829" t="s">
        <v>74</v>
      </c>
      <c r="BO829" t="s">
        <v>162</v>
      </c>
      <c r="BP829" t="s">
        <v>74</v>
      </c>
      <c r="BQ829" t="s">
        <v>74</v>
      </c>
      <c r="BR829" t="s">
        <v>104</v>
      </c>
      <c r="BS829" t="s">
        <v>15992</v>
      </c>
      <c r="BT829" t="str">
        <f>HYPERLINK("https%3A%2F%2Fwww.webofscience.com%2Fwos%2Fwoscc%2Ffull-record%2FWOS:000450233300038","View Full Record in Web of Science")</f>
        <v>View Full Record in Web of Science</v>
      </c>
    </row>
    <row r="830" spans="1:72" x14ac:dyDescent="0.15">
      <c r="A830" t="s">
        <v>72</v>
      </c>
      <c r="B830" t="s">
        <v>15993</v>
      </c>
      <c r="C830" t="s">
        <v>74</v>
      </c>
      <c r="D830" t="s">
        <v>74</v>
      </c>
      <c r="E830" t="s">
        <v>74</v>
      </c>
      <c r="F830" t="s">
        <v>15994</v>
      </c>
      <c r="G830" t="s">
        <v>74</v>
      </c>
      <c r="H830" t="s">
        <v>74</v>
      </c>
      <c r="I830" t="s">
        <v>15995</v>
      </c>
      <c r="J830" t="s">
        <v>4989</v>
      </c>
      <c r="K830" t="s">
        <v>74</v>
      </c>
      <c r="L830" t="s">
        <v>74</v>
      </c>
      <c r="M830" t="s">
        <v>78</v>
      </c>
      <c r="N830" t="s">
        <v>79</v>
      </c>
      <c r="O830" t="s">
        <v>74</v>
      </c>
      <c r="P830" t="s">
        <v>74</v>
      </c>
      <c r="Q830" t="s">
        <v>74</v>
      </c>
      <c r="R830" t="s">
        <v>74</v>
      </c>
      <c r="S830" t="s">
        <v>74</v>
      </c>
      <c r="T830" t="s">
        <v>74</v>
      </c>
      <c r="U830" t="s">
        <v>15996</v>
      </c>
      <c r="V830" t="s">
        <v>15997</v>
      </c>
      <c r="W830" t="s">
        <v>15998</v>
      </c>
      <c r="X830" t="s">
        <v>15999</v>
      </c>
      <c r="Y830" t="s">
        <v>16000</v>
      </c>
      <c r="Z830" t="s">
        <v>16001</v>
      </c>
      <c r="AA830" t="s">
        <v>74</v>
      </c>
      <c r="AB830" t="s">
        <v>16002</v>
      </c>
      <c r="AC830" t="s">
        <v>16003</v>
      </c>
      <c r="AD830" t="s">
        <v>16004</v>
      </c>
      <c r="AE830" t="s">
        <v>16005</v>
      </c>
      <c r="AF830" t="s">
        <v>74</v>
      </c>
      <c r="AG830">
        <v>97</v>
      </c>
      <c r="AH830">
        <v>5</v>
      </c>
      <c r="AI830">
        <v>6</v>
      </c>
      <c r="AJ830">
        <v>0</v>
      </c>
      <c r="AK830">
        <v>11</v>
      </c>
      <c r="AL830" t="s">
        <v>3670</v>
      </c>
      <c r="AM830" t="s">
        <v>3671</v>
      </c>
      <c r="AN830" t="s">
        <v>3672</v>
      </c>
      <c r="AO830" t="s">
        <v>5001</v>
      </c>
      <c r="AP830" t="s">
        <v>5002</v>
      </c>
      <c r="AQ830" t="s">
        <v>74</v>
      </c>
      <c r="AR830" t="s">
        <v>5003</v>
      </c>
      <c r="AS830" t="s">
        <v>5004</v>
      </c>
      <c r="AT830" t="s">
        <v>14661</v>
      </c>
      <c r="AU830">
        <v>2018</v>
      </c>
      <c r="AV830">
        <v>63</v>
      </c>
      <c r="AW830">
        <v>6</v>
      </c>
      <c r="AX830" t="s">
        <v>74</v>
      </c>
      <c r="AY830" t="s">
        <v>74</v>
      </c>
      <c r="AZ830" t="s">
        <v>74</v>
      </c>
      <c r="BA830" t="s">
        <v>74</v>
      </c>
      <c r="BB830">
        <v>2858</v>
      </c>
      <c r="BC830">
        <v>2876</v>
      </c>
      <c r="BD830" t="s">
        <v>74</v>
      </c>
      <c r="BE830" t="s">
        <v>16006</v>
      </c>
      <c r="BF830" t="str">
        <f>HYPERLINK("http://dx.doi.org/10.1002/lno.11014","http://dx.doi.org/10.1002/lno.11014")</f>
        <v>http://dx.doi.org/10.1002/lno.11014</v>
      </c>
      <c r="BG830" t="s">
        <v>74</v>
      </c>
      <c r="BH830" t="s">
        <v>74</v>
      </c>
      <c r="BI830">
        <v>19</v>
      </c>
      <c r="BJ830" t="s">
        <v>5006</v>
      </c>
      <c r="BK830" t="s">
        <v>101</v>
      </c>
      <c r="BL830" t="s">
        <v>827</v>
      </c>
      <c r="BM830" t="s">
        <v>15976</v>
      </c>
      <c r="BN830" t="s">
        <v>74</v>
      </c>
      <c r="BO830" t="s">
        <v>162</v>
      </c>
      <c r="BP830" t="s">
        <v>74</v>
      </c>
      <c r="BQ830" t="s">
        <v>74</v>
      </c>
      <c r="BR830" t="s">
        <v>104</v>
      </c>
      <c r="BS830" t="s">
        <v>16007</v>
      </c>
      <c r="BT830" t="str">
        <f>HYPERLINK("https%3A%2F%2Fwww.webofscience.com%2Fwos%2Fwoscc%2Ffull-record%2FWOS:000450233300039","View Full Record in Web of Science")</f>
        <v>View Full Record in Web of Science</v>
      </c>
    </row>
    <row r="831" spans="1:72" x14ac:dyDescent="0.15">
      <c r="A831" t="s">
        <v>72</v>
      </c>
      <c r="B831" t="s">
        <v>16008</v>
      </c>
      <c r="C831" t="s">
        <v>74</v>
      </c>
      <c r="D831" t="s">
        <v>74</v>
      </c>
      <c r="E831" t="s">
        <v>74</v>
      </c>
      <c r="F831" t="s">
        <v>16009</v>
      </c>
      <c r="G831" t="s">
        <v>74</v>
      </c>
      <c r="H831" t="s">
        <v>74</v>
      </c>
      <c r="I831" t="s">
        <v>16010</v>
      </c>
      <c r="J831" t="s">
        <v>16011</v>
      </c>
      <c r="K831" t="s">
        <v>74</v>
      </c>
      <c r="L831" t="s">
        <v>74</v>
      </c>
      <c r="M831" t="s">
        <v>78</v>
      </c>
      <c r="N831" t="s">
        <v>79</v>
      </c>
      <c r="O831" t="s">
        <v>74</v>
      </c>
      <c r="P831" t="s">
        <v>74</v>
      </c>
      <c r="Q831" t="s">
        <v>74</v>
      </c>
      <c r="R831" t="s">
        <v>74</v>
      </c>
      <c r="S831" t="s">
        <v>74</v>
      </c>
      <c r="T831" t="s">
        <v>16012</v>
      </c>
      <c r="U831" t="s">
        <v>16013</v>
      </c>
      <c r="V831" t="s">
        <v>16014</v>
      </c>
      <c r="W831" t="s">
        <v>16015</v>
      </c>
      <c r="X831" t="s">
        <v>16016</v>
      </c>
      <c r="Y831" t="s">
        <v>16017</v>
      </c>
      <c r="Z831" t="s">
        <v>16018</v>
      </c>
      <c r="AA831" t="s">
        <v>16019</v>
      </c>
      <c r="AB831" t="s">
        <v>16020</v>
      </c>
      <c r="AC831" t="s">
        <v>16021</v>
      </c>
      <c r="AD831" t="s">
        <v>16022</v>
      </c>
      <c r="AE831" t="s">
        <v>16023</v>
      </c>
      <c r="AF831" t="s">
        <v>74</v>
      </c>
      <c r="AG831">
        <v>119</v>
      </c>
      <c r="AH831">
        <v>18</v>
      </c>
      <c r="AI831">
        <v>18</v>
      </c>
      <c r="AJ831">
        <v>0</v>
      </c>
      <c r="AK831">
        <v>7</v>
      </c>
      <c r="AL831" t="s">
        <v>3290</v>
      </c>
      <c r="AM831" t="s">
        <v>2520</v>
      </c>
      <c r="AN831" t="s">
        <v>3291</v>
      </c>
      <c r="AO831" t="s">
        <v>16024</v>
      </c>
      <c r="AP831" t="s">
        <v>16025</v>
      </c>
      <c r="AQ831" t="s">
        <v>74</v>
      </c>
      <c r="AR831" t="s">
        <v>16011</v>
      </c>
      <c r="AS831" t="s">
        <v>16026</v>
      </c>
      <c r="AT831" t="s">
        <v>14661</v>
      </c>
      <c r="AU831">
        <v>2018</v>
      </c>
      <c r="AV831">
        <v>320</v>
      </c>
      <c r="AW831" t="s">
        <v>74</v>
      </c>
      <c r="AX831" t="s">
        <v>74</v>
      </c>
      <c r="AY831" t="s">
        <v>74</v>
      </c>
      <c r="AZ831" t="s">
        <v>74</v>
      </c>
      <c r="BA831" t="s">
        <v>74</v>
      </c>
      <c r="BB831">
        <v>490</v>
      </c>
      <c r="BC831">
        <v>514</v>
      </c>
      <c r="BD831" t="s">
        <v>74</v>
      </c>
      <c r="BE831" t="s">
        <v>16027</v>
      </c>
      <c r="BF831" t="str">
        <f>HYPERLINK("http://dx.doi.org/10.1016/j.lithos.2018.09.014","http://dx.doi.org/10.1016/j.lithos.2018.09.014")</f>
        <v>http://dx.doi.org/10.1016/j.lithos.2018.09.014</v>
      </c>
      <c r="BG831" t="s">
        <v>74</v>
      </c>
      <c r="BH831" t="s">
        <v>74</v>
      </c>
      <c r="BI831">
        <v>25</v>
      </c>
      <c r="BJ831" t="s">
        <v>10652</v>
      </c>
      <c r="BK831" t="s">
        <v>101</v>
      </c>
      <c r="BL831" t="s">
        <v>10652</v>
      </c>
      <c r="BM831" t="s">
        <v>16028</v>
      </c>
      <c r="BN831" t="s">
        <v>74</v>
      </c>
      <c r="BO831" t="s">
        <v>74</v>
      </c>
      <c r="BP831" t="s">
        <v>74</v>
      </c>
      <c r="BQ831" t="s">
        <v>74</v>
      </c>
      <c r="BR831" t="s">
        <v>104</v>
      </c>
      <c r="BS831" t="s">
        <v>16029</v>
      </c>
      <c r="BT831" t="str">
        <f>HYPERLINK("https%3A%2F%2Fwww.webofscience.com%2Fwos%2Fwoscc%2Ffull-record%2FWOS:000453111800032","View Full Record in Web of Science")</f>
        <v>View Full Record in Web of Science</v>
      </c>
    </row>
    <row r="832" spans="1:72" x14ac:dyDescent="0.15">
      <c r="A832" t="s">
        <v>72</v>
      </c>
      <c r="B832" t="s">
        <v>16030</v>
      </c>
      <c r="C832" t="s">
        <v>74</v>
      </c>
      <c r="D832" t="s">
        <v>74</v>
      </c>
      <c r="E832" t="s">
        <v>74</v>
      </c>
      <c r="F832" t="s">
        <v>16031</v>
      </c>
      <c r="G832" t="s">
        <v>74</v>
      </c>
      <c r="H832" t="s">
        <v>74</v>
      </c>
      <c r="I832" t="s">
        <v>16032</v>
      </c>
      <c r="J832" t="s">
        <v>16033</v>
      </c>
      <c r="K832" t="s">
        <v>74</v>
      </c>
      <c r="L832" t="s">
        <v>74</v>
      </c>
      <c r="M832" t="s">
        <v>78</v>
      </c>
      <c r="N832" t="s">
        <v>79</v>
      </c>
      <c r="O832" t="s">
        <v>74</v>
      </c>
      <c r="P832" t="s">
        <v>74</v>
      </c>
      <c r="Q832" t="s">
        <v>74</v>
      </c>
      <c r="R832" t="s">
        <v>74</v>
      </c>
      <c r="S832" t="s">
        <v>74</v>
      </c>
      <c r="T832" t="s">
        <v>16034</v>
      </c>
      <c r="U832" t="s">
        <v>16035</v>
      </c>
      <c r="V832" t="s">
        <v>16036</v>
      </c>
      <c r="W832" t="s">
        <v>16037</v>
      </c>
      <c r="X832" t="s">
        <v>16038</v>
      </c>
      <c r="Y832" t="s">
        <v>16039</v>
      </c>
      <c r="Z832" t="s">
        <v>16040</v>
      </c>
      <c r="AA832" t="s">
        <v>16041</v>
      </c>
      <c r="AB832" t="s">
        <v>16042</v>
      </c>
      <c r="AC832" t="s">
        <v>16043</v>
      </c>
      <c r="AD832" t="s">
        <v>16044</v>
      </c>
      <c r="AE832" t="s">
        <v>16045</v>
      </c>
      <c r="AF832" t="s">
        <v>74</v>
      </c>
      <c r="AG832">
        <v>45</v>
      </c>
      <c r="AH832">
        <v>12</v>
      </c>
      <c r="AI832">
        <v>13</v>
      </c>
      <c r="AJ832">
        <v>0</v>
      </c>
      <c r="AK832">
        <v>9</v>
      </c>
      <c r="AL832" t="s">
        <v>6114</v>
      </c>
      <c r="AM832" t="s">
        <v>6115</v>
      </c>
      <c r="AN832" t="s">
        <v>6116</v>
      </c>
      <c r="AO832" t="s">
        <v>16046</v>
      </c>
      <c r="AP832" t="s">
        <v>16047</v>
      </c>
      <c r="AQ832" t="s">
        <v>74</v>
      </c>
      <c r="AR832" t="s">
        <v>16048</v>
      </c>
      <c r="AS832" t="s">
        <v>16049</v>
      </c>
      <c r="AT832" t="s">
        <v>14661</v>
      </c>
      <c r="AU832">
        <v>2018</v>
      </c>
      <c r="AV832">
        <v>93</v>
      </c>
      <c r="AW832" t="s">
        <v>74</v>
      </c>
      <c r="AX832" t="s">
        <v>74</v>
      </c>
      <c r="AY832" t="s">
        <v>74</v>
      </c>
      <c r="AZ832" t="s">
        <v>74</v>
      </c>
      <c r="BA832" t="s">
        <v>74</v>
      </c>
      <c r="BB832">
        <v>76</v>
      </c>
      <c r="BC832">
        <v>81</v>
      </c>
      <c r="BD832" t="s">
        <v>74</v>
      </c>
      <c r="BE832" t="s">
        <v>16050</v>
      </c>
      <c r="BF832" t="str">
        <f>HYPERLINK("http://dx.doi.org/10.1016/j.mambio.2018.07.007","http://dx.doi.org/10.1016/j.mambio.2018.07.007")</f>
        <v>http://dx.doi.org/10.1016/j.mambio.2018.07.007</v>
      </c>
      <c r="BG832" t="s">
        <v>74</v>
      </c>
      <c r="BH832" t="s">
        <v>74</v>
      </c>
      <c r="BI832">
        <v>6</v>
      </c>
      <c r="BJ832" t="s">
        <v>3516</v>
      </c>
      <c r="BK832" t="s">
        <v>101</v>
      </c>
      <c r="BL832" t="s">
        <v>3516</v>
      </c>
      <c r="BM832" t="s">
        <v>16051</v>
      </c>
      <c r="BN832" t="s">
        <v>74</v>
      </c>
      <c r="BO832" t="s">
        <v>74</v>
      </c>
      <c r="BP832" t="s">
        <v>74</v>
      </c>
      <c r="BQ832" t="s">
        <v>74</v>
      </c>
      <c r="BR832" t="s">
        <v>104</v>
      </c>
      <c r="BS832" t="s">
        <v>16052</v>
      </c>
      <c r="BT832" t="str">
        <f>HYPERLINK("https%3A%2F%2Fwww.webofscience.com%2Fwos%2Fwoscc%2Ffull-record%2FWOS:000450619900011","View Full Record in Web of Science")</f>
        <v>View Full Record in Web of Science</v>
      </c>
    </row>
    <row r="833" spans="1:72" x14ac:dyDescent="0.15">
      <c r="A833" t="s">
        <v>72</v>
      </c>
      <c r="B833" t="s">
        <v>16053</v>
      </c>
      <c r="C833" t="s">
        <v>74</v>
      </c>
      <c r="D833" t="s">
        <v>74</v>
      </c>
      <c r="E833" t="s">
        <v>74</v>
      </c>
      <c r="F833" t="s">
        <v>16054</v>
      </c>
      <c r="G833" t="s">
        <v>74</v>
      </c>
      <c r="H833" t="s">
        <v>74</v>
      </c>
      <c r="I833" t="s">
        <v>16055</v>
      </c>
      <c r="J833" t="s">
        <v>6881</v>
      </c>
      <c r="K833" t="s">
        <v>74</v>
      </c>
      <c r="L833" t="s">
        <v>74</v>
      </c>
      <c r="M833" t="s">
        <v>78</v>
      </c>
      <c r="N833" t="s">
        <v>79</v>
      </c>
      <c r="O833" t="s">
        <v>74</v>
      </c>
      <c r="P833" t="s">
        <v>74</v>
      </c>
      <c r="Q833" t="s">
        <v>74</v>
      </c>
      <c r="R833" t="s">
        <v>74</v>
      </c>
      <c r="S833" t="s">
        <v>74</v>
      </c>
      <c r="T833" t="s">
        <v>16056</v>
      </c>
      <c r="U833" t="s">
        <v>16057</v>
      </c>
      <c r="V833" t="s">
        <v>16058</v>
      </c>
      <c r="W833" t="s">
        <v>16059</v>
      </c>
      <c r="X833" t="s">
        <v>16060</v>
      </c>
      <c r="Y833" t="s">
        <v>16061</v>
      </c>
      <c r="Z833" t="s">
        <v>16062</v>
      </c>
      <c r="AA833" t="s">
        <v>16063</v>
      </c>
      <c r="AB833" t="s">
        <v>16064</v>
      </c>
      <c r="AC833" t="s">
        <v>16065</v>
      </c>
      <c r="AD833" t="s">
        <v>16066</v>
      </c>
      <c r="AE833" t="s">
        <v>16067</v>
      </c>
      <c r="AF833" t="s">
        <v>74</v>
      </c>
      <c r="AG833">
        <v>76</v>
      </c>
      <c r="AH833">
        <v>10</v>
      </c>
      <c r="AI833">
        <v>12</v>
      </c>
      <c r="AJ833">
        <v>1</v>
      </c>
      <c r="AK833">
        <v>24</v>
      </c>
      <c r="AL833" t="s">
        <v>6139</v>
      </c>
      <c r="AM833" t="s">
        <v>3353</v>
      </c>
      <c r="AN833" t="s">
        <v>6140</v>
      </c>
      <c r="AO833" t="s">
        <v>6894</v>
      </c>
      <c r="AP833" t="s">
        <v>6895</v>
      </c>
      <c r="AQ833" t="s">
        <v>74</v>
      </c>
      <c r="AR833" t="s">
        <v>6896</v>
      </c>
      <c r="AS833" t="s">
        <v>6897</v>
      </c>
      <c r="AT833" t="s">
        <v>14661</v>
      </c>
      <c r="AU833">
        <v>2018</v>
      </c>
      <c r="AV833">
        <v>142</v>
      </c>
      <c r="AW833" t="s">
        <v>74</v>
      </c>
      <c r="AX833" t="s">
        <v>74</v>
      </c>
      <c r="AY833" t="s">
        <v>74</v>
      </c>
      <c r="AZ833" t="s">
        <v>74</v>
      </c>
      <c r="BA833" t="s">
        <v>74</v>
      </c>
      <c r="BB833">
        <v>7</v>
      </c>
      <c r="BC833">
        <v>20</v>
      </c>
      <c r="BD833" t="s">
        <v>74</v>
      </c>
      <c r="BE833" t="s">
        <v>16068</v>
      </c>
      <c r="BF833" t="str">
        <f>HYPERLINK("http://dx.doi.org/10.1016/j.marenvres.2018.09.010","http://dx.doi.org/10.1016/j.marenvres.2018.09.010")</f>
        <v>http://dx.doi.org/10.1016/j.marenvres.2018.09.010</v>
      </c>
      <c r="BG833" t="s">
        <v>74</v>
      </c>
      <c r="BH833" t="s">
        <v>74</v>
      </c>
      <c r="BI833">
        <v>14</v>
      </c>
      <c r="BJ833" t="s">
        <v>6899</v>
      </c>
      <c r="BK833" t="s">
        <v>101</v>
      </c>
      <c r="BL833" t="s">
        <v>6900</v>
      </c>
      <c r="BM833" t="s">
        <v>16069</v>
      </c>
      <c r="BN833">
        <v>30253918</v>
      </c>
      <c r="BO833" t="s">
        <v>74</v>
      </c>
      <c r="BP833" t="s">
        <v>74</v>
      </c>
      <c r="BQ833" t="s">
        <v>74</v>
      </c>
      <c r="BR833" t="s">
        <v>104</v>
      </c>
      <c r="BS833" t="s">
        <v>16070</v>
      </c>
      <c r="BT833" t="str">
        <f>HYPERLINK("https%3A%2F%2Fwww.webofscience.com%2Fwos%2Fwoscc%2Ffull-record%2FWOS:000452943500002","View Full Record in Web of Science")</f>
        <v>View Full Record in Web of Science</v>
      </c>
    </row>
    <row r="834" spans="1:72" x14ac:dyDescent="0.15">
      <c r="A834" t="s">
        <v>72</v>
      </c>
      <c r="B834" t="s">
        <v>16071</v>
      </c>
      <c r="C834" t="s">
        <v>74</v>
      </c>
      <c r="D834" t="s">
        <v>74</v>
      </c>
      <c r="E834" t="s">
        <v>74</v>
      </c>
      <c r="F834" t="s">
        <v>16072</v>
      </c>
      <c r="G834" t="s">
        <v>74</v>
      </c>
      <c r="H834" t="s">
        <v>74</v>
      </c>
      <c r="I834" t="s">
        <v>16073</v>
      </c>
      <c r="J834" t="s">
        <v>6881</v>
      </c>
      <c r="K834" t="s">
        <v>74</v>
      </c>
      <c r="L834" t="s">
        <v>74</v>
      </c>
      <c r="M834" t="s">
        <v>78</v>
      </c>
      <c r="N834" t="s">
        <v>79</v>
      </c>
      <c r="O834" t="s">
        <v>74</v>
      </c>
      <c r="P834" t="s">
        <v>74</v>
      </c>
      <c r="Q834" t="s">
        <v>74</v>
      </c>
      <c r="R834" t="s">
        <v>74</v>
      </c>
      <c r="S834" t="s">
        <v>74</v>
      </c>
      <c r="T834" t="s">
        <v>16074</v>
      </c>
      <c r="U834" t="s">
        <v>16075</v>
      </c>
      <c r="V834" t="s">
        <v>16076</v>
      </c>
      <c r="W834" t="s">
        <v>16077</v>
      </c>
      <c r="X834" t="s">
        <v>16078</v>
      </c>
      <c r="Y834" t="s">
        <v>16079</v>
      </c>
      <c r="Z834" t="s">
        <v>16080</v>
      </c>
      <c r="AA834" t="s">
        <v>16081</v>
      </c>
      <c r="AB834" t="s">
        <v>16082</v>
      </c>
      <c r="AC834" t="s">
        <v>74</v>
      </c>
      <c r="AD834" t="s">
        <v>74</v>
      </c>
      <c r="AE834" t="s">
        <v>74</v>
      </c>
      <c r="AF834" t="s">
        <v>74</v>
      </c>
      <c r="AG834">
        <v>55</v>
      </c>
      <c r="AH834">
        <v>5</v>
      </c>
      <c r="AI834">
        <v>5</v>
      </c>
      <c r="AJ834">
        <v>1</v>
      </c>
      <c r="AK834">
        <v>8</v>
      </c>
      <c r="AL834" t="s">
        <v>6139</v>
      </c>
      <c r="AM834" t="s">
        <v>3353</v>
      </c>
      <c r="AN834" t="s">
        <v>6140</v>
      </c>
      <c r="AO834" t="s">
        <v>6894</v>
      </c>
      <c r="AP834" t="s">
        <v>6895</v>
      </c>
      <c r="AQ834" t="s">
        <v>74</v>
      </c>
      <c r="AR834" t="s">
        <v>6896</v>
      </c>
      <c r="AS834" t="s">
        <v>6897</v>
      </c>
      <c r="AT834" t="s">
        <v>14661</v>
      </c>
      <c r="AU834">
        <v>2018</v>
      </c>
      <c r="AV834">
        <v>142</v>
      </c>
      <c r="AW834" t="s">
        <v>74</v>
      </c>
      <c r="AX834" t="s">
        <v>74</v>
      </c>
      <c r="AY834" t="s">
        <v>74</v>
      </c>
      <c r="AZ834" t="s">
        <v>74</v>
      </c>
      <c r="BA834" t="s">
        <v>74</v>
      </c>
      <c r="BB834">
        <v>124</v>
      </c>
      <c r="BC834">
        <v>129</v>
      </c>
      <c r="BD834" t="s">
        <v>74</v>
      </c>
      <c r="BE834" t="s">
        <v>16083</v>
      </c>
      <c r="BF834" t="str">
        <f>HYPERLINK("http://dx.doi.org/10.1016/j.marenvres.2018.09.025","http://dx.doi.org/10.1016/j.marenvres.2018.09.025")</f>
        <v>http://dx.doi.org/10.1016/j.marenvres.2018.09.025</v>
      </c>
      <c r="BG834" t="s">
        <v>74</v>
      </c>
      <c r="BH834" t="s">
        <v>74</v>
      </c>
      <c r="BI834">
        <v>6</v>
      </c>
      <c r="BJ834" t="s">
        <v>6899</v>
      </c>
      <c r="BK834" t="s">
        <v>101</v>
      </c>
      <c r="BL834" t="s">
        <v>6900</v>
      </c>
      <c r="BM834" t="s">
        <v>16069</v>
      </c>
      <c r="BN834">
        <v>30314636</v>
      </c>
      <c r="BO834" t="s">
        <v>74</v>
      </c>
      <c r="BP834" t="s">
        <v>74</v>
      </c>
      <c r="BQ834" t="s">
        <v>74</v>
      </c>
      <c r="BR834" t="s">
        <v>104</v>
      </c>
      <c r="BS834" t="s">
        <v>16084</v>
      </c>
      <c r="BT834" t="str">
        <f>HYPERLINK("https%3A%2F%2Fwww.webofscience.com%2Fwos%2Fwoscc%2Ffull-record%2FWOS:000452943500014","View Full Record in Web of Science")</f>
        <v>View Full Record in Web of Science</v>
      </c>
    </row>
    <row r="835" spans="1:72" x14ac:dyDescent="0.15">
      <c r="A835" t="s">
        <v>72</v>
      </c>
      <c r="B835" t="s">
        <v>16085</v>
      </c>
      <c r="C835" t="s">
        <v>74</v>
      </c>
      <c r="D835" t="s">
        <v>74</v>
      </c>
      <c r="E835" t="s">
        <v>74</v>
      </c>
      <c r="F835" t="s">
        <v>16086</v>
      </c>
      <c r="G835" t="s">
        <v>74</v>
      </c>
      <c r="H835" t="s">
        <v>74</v>
      </c>
      <c r="I835" t="s">
        <v>16087</v>
      </c>
      <c r="J835" t="s">
        <v>10488</v>
      </c>
      <c r="K835" t="s">
        <v>74</v>
      </c>
      <c r="L835" t="s">
        <v>74</v>
      </c>
      <c r="M835" t="s">
        <v>78</v>
      </c>
      <c r="N835" t="s">
        <v>79</v>
      </c>
      <c r="O835" t="s">
        <v>74</v>
      </c>
      <c r="P835" t="s">
        <v>74</v>
      </c>
      <c r="Q835" t="s">
        <v>74</v>
      </c>
      <c r="R835" t="s">
        <v>74</v>
      </c>
      <c r="S835" t="s">
        <v>74</v>
      </c>
      <c r="T835" t="s">
        <v>16088</v>
      </c>
      <c r="U835" t="s">
        <v>16089</v>
      </c>
      <c r="V835" t="s">
        <v>16090</v>
      </c>
      <c r="W835" t="s">
        <v>16091</v>
      </c>
      <c r="X835" t="s">
        <v>16092</v>
      </c>
      <c r="Y835" t="s">
        <v>16093</v>
      </c>
      <c r="Z835" t="s">
        <v>16094</v>
      </c>
      <c r="AA835" t="s">
        <v>16095</v>
      </c>
      <c r="AB835" t="s">
        <v>16096</v>
      </c>
      <c r="AC835" t="s">
        <v>74</v>
      </c>
      <c r="AD835" t="s">
        <v>74</v>
      </c>
      <c r="AE835" t="s">
        <v>74</v>
      </c>
      <c r="AF835" t="s">
        <v>74</v>
      </c>
      <c r="AG835">
        <v>68</v>
      </c>
      <c r="AH835">
        <v>12</v>
      </c>
      <c r="AI835">
        <v>12</v>
      </c>
      <c r="AJ835">
        <v>1</v>
      </c>
      <c r="AK835">
        <v>23</v>
      </c>
      <c r="AL835" t="s">
        <v>6139</v>
      </c>
      <c r="AM835" t="s">
        <v>3353</v>
      </c>
      <c r="AN835" t="s">
        <v>6140</v>
      </c>
      <c r="AO835" t="s">
        <v>10499</v>
      </c>
      <c r="AP835" t="s">
        <v>10500</v>
      </c>
      <c r="AQ835" t="s">
        <v>74</v>
      </c>
      <c r="AR835" t="s">
        <v>10501</v>
      </c>
      <c r="AS835" t="s">
        <v>10502</v>
      </c>
      <c r="AT835" t="s">
        <v>14661</v>
      </c>
      <c r="AU835">
        <v>2018</v>
      </c>
      <c r="AV835">
        <v>97</v>
      </c>
      <c r="AW835" t="s">
        <v>74</v>
      </c>
      <c r="AX835" t="s">
        <v>74</v>
      </c>
      <c r="AY835" t="s">
        <v>74</v>
      </c>
      <c r="AZ835" t="s">
        <v>74</v>
      </c>
      <c r="BA835" t="s">
        <v>74</v>
      </c>
      <c r="BB835">
        <v>82</v>
      </c>
      <c r="BC835">
        <v>90</v>
      </c>
      <c r="BD835" t="s">
        <v>74</v>
      </c>
      <c r="BE835" t="s">
        <v>16097</v>
      </c>
      <c r="BF835" t="str">
        <f>HYPERLINK("http://dx.doi.org/10.1016/j.marpol.2018.08.037","http://dx.doi.org/10.1016/j.marpol.2018.08.037")</f>
        <v>http://dx.doi.org/10.1016/j.marpol.2018.08.037</v>
      </c>
      <c r="BG835" t="s">
        <v>74</v>
      </c>
      <c r="BH835" t="s">
        <v>74</v>
      </c>
      <c r="BI835">
        <v>9</v>
      </c>
      <c r="BJ835" t="s">
        <v>10504</v>
      </c>
      <c r="BK835" t="s">
        <v>10505</v>
      </c>
      <c r="BL835" t="s">
        <v>10506</v>
      </c>
      <c r="BM835" t="s">
        <v>16098</v>
      </c>
      <c r="BN835" t="s">
        <v>74</v>
      </c>
      <c r="BO835" t="s">
        <v>74</v>
      </c>
      <c r="BP835" t="s">
        <v>74</v>
      </c>
      <c r="BQ835" t="s">
        <v>74</v>
      </c>
      <c r="BR835" t="s">
        <v>104</v>
      </c>
      <c r="BS835" t="s">
        <v>16099</v>
      </c>
      <c r="BT835" t="str">
        <f>HYPERLINK("https%3A%2F%2Fwww.webofscience.com%2Fwos%2Fwoscc%2Ffull-record%2FWOS:000448099300010","View Full Record in Web of Science")</f>
        <v>View Full Record in Web of Science</v>
      </c>
    </row>
    <row r="836" spans="1:72" x14ac:dyDescent="0.15">
      <c r="A836" t="s">
        <v>72</v>
      </c>
      <c r="B836" t="s">
        <v>16100</v>
      </c>
      <c r="C836" t="s">
        <v>74</v>
      </c>
      <c r="D836" t="s">
        <v>74</v>
      </c>
      <c r="E836" t="s">
        <v>74</v>
      </c>
      <c r="F836" t="s">
        <v>16101</v>
      </c>
      <c r="G836" t="s">
        <v>74</v>
      </c>
      <c r="H836" t="s">
        <v>74</v>
      </c>
      <c r="I836" t="s">
        <v>16102</v>
      </c>
      <c r="J836" t="s">
        <v>6152</v>
      </c>
      <c r="K836" t="s">
        <v>74</v>
      </c>
      <c r="L836" t="s">
        <v>74</v>
      </c>
      <c r="M836" t="s">
        <v>78</v>
      </c>
      <c r="N836" t="s">
        <v>79</v>
      </c>
      <c r="O836" t="s">
        <v>74</v>
      </c>
      <c r="P836" t="s">
        <v>74</v>
      </c>
      <c r="Q836" t="s">
        <v>74</v>
      </c>
      <c r="R836" t="s">
        <v>74</v>
      </c>
      <c r="S836" t="s">
        <v>74</v>
      </c>
      <c r="T836" t="s">
        <v>74</v>
      </c>
      <c r="U836" t="s">
        <v>16103</v>
      </c>
      <c r="V836" t="s">
        <v>16104</v>
      </c>
      <c r="W836" t="s">
        <v>16105</v>
      </c>
      <c r="X836" t="s">
        <v>16106</v>
      </c>
      <c r="Y836" t="s">
        <v>16107</v>
      </c>
      <c r="Z836" t="s">
        <v>16108</v>
      </c>
      <c r="AA836" t="s">
        <v>16109</v>
      </c>
      <c r="AB836" t="s">
        <v>16110</v>
      </c>
      <c r="AC836" t="s">
        <v>16111</v>
      </c>
      <c r="AD836" t="s">
        <v>16112</v>
      </c>
      <c r="AE836" t="s">
        <v>16113</v>
      </c>
      <c r="AF836" t="s">
        <v>74</v>
      </c>
      <c r="AG836">
        <v>104</v>
      </c>
      <c r="AH836">
        <v>94</v>
      </c>
      <c r="AI836">
        <v>103</v>
      </c>
      <c r="AJ836">
        <v>2</v>
      </c>
      <c r="AK836">
        <v>55</v>
      </c>
      <c r="AL836" t="s">
        <v>8045</v>
      </c>
      <c r="AM836" t="s">
        <v>6186</v>
      </c>
      <c r="AN836" t="s">
        <v>6187</v>
      </c>
      <c r="AO836" t="s">
        <v>6166</v>
      </c>
      <c r="AP836" t="s">
        <v>6167</v>
      </c>
      <c r="AQ836" t="s">
        <v>74</v>
      </c>
      <c r="AR836" t="s">
        <v>6168</v>
      </c>
      <c r="AS836" t="s">
        <v>6169</v>
      </c>
      <c r="AT836" t="s">
        <v>14661</v>
      </c>
      <c r="AU836">
        <v>2018</v>
      </c>
      <c r="AV836">
        <v>8</v>
      </c>
      <c r="AW836">
        <v>11</v>
      </c>
      <c r="AX836" t="s">
        <v>74</v>
      </c>
      <c r="AY836" t="s">
        <v>74</v>
      </c>
      <c r="AZ836" t="s">
        <v>74</v>
      </c>
      <c r="BA836" t="s">
        <v>74</v>
      </c>
      <c r="BB836">
        <v>946</v>
      </c>
      <c r="BC836" t="s">
        <v>642</v>
      </c>
      <c r="BD836" t="s">
        <v>74</v>
      </c>
      <c r="BE836" t="s">
        <v>16114</v>
      </c>
      <c r="BF836" t="str">
        <f>HYPERLINK("http://dx.doi.org/10.1038/s41558-018-0286-7","http://dx.doi.org/10.1038/s41558-018-0286-7")</f>
        <v>http://dx.doi.org/10.1038/s41558-018-0286-7</v>
      </c>
      <c r="BG836" t="s">
        <v>74</v>
      </c>
      <c r="BH836" t="s">
        <v>74</v>
      </c>
      <c r="BI836">
        <v>9</v>
      </c>
      <c r="BJ836" t="s">
        <v>6171</v>
      </c>
      <c r="BK836" t="s">
        <v>3493</v>
      </c>
      <c r="BL836" t="s">
        <v>2636</v>
      </c>
      <c r="BM836" t="s">
        <v>16115</v>
      </c>
      <c r="BN836" t="s">
        <v>74</v>
      </c>
      <c r="BO836" t="s">
        <v>1514</v>
      </c>
      <c r="BP836" t="s">
        <v>74</v>
      </c>
      <c r="BQ836" t="s">
        <v>74</v>
      </c>
      <c r="BR836" t="s">
        <v>104</v>
      </c>
      <c r="BS836" t="s">
        <v>16116</v>
      </c>
      <c r="BT836" t="str">
        <f>HYPERLINK("https%3A%2F%2Fwww.webofscience.com%2Fwos%2Fwoscc%2Ffull-record%2FWOS:000448839600013","View Full Record in Web of Science")</f>
        <v>View Full Record in Web of Science</v>
      </c>
    </row>
    <row r="837" spans="1:72" x14ac:dyDescent="0.15">
      <c r="A837" t="s">
        <v>72</v>
      </c>
      <c r="B837" t="s">
        <v>16117</v>
      </c>
      <c r="C837" t="s">
        <v>74</v>
      </c>
      <c r="D837" t="s">
        <v>74</v>
      </c>
      <c r="E837" t="s">
        <v>74</v>
      </c>
      <c r="F837" t="s">
        <v>16118</v>
      </c>
      <c r="G837" t="s">
        <v>74</v>
      </c>
      <c r="H837" t="s">
        <v>74</v>
      </c>
      <c r="I837" t="s">
        <v>16119</v>
      </c>
      <c r="J837" t="s">
        <v>7903</v>
      </c>
      <c r="K837" t="s">
        <v>74</v>
      </c>
      <c r="L837" t="s">
        <v>74</v>
      </c>
      <c r="M837" t="s">
        <v>78</v>
      </c>
      <c r="N837" t="s">
        <v>79</v>
      </c>
      <c r="O837" t="s">
        <v>74</v>
      </c>
      <c r="P837" t="s">
        <v>74</v>
      </c>
      <c r="Q837" t="s">
        <v>74</v>
      </c>
      <c r="R837" t="s">
        <v>74</v>
      </c>
      <c r="S837" t="s">
        <v>74</v>
      </c>
      <c r="T837" t="s">
        <v>74</v>
      </c>
      <c r="U837" t="s">
        <v>16120</v>
      </c>
      <c r="V837" t="s">
        <v>16121</v>
      </c>
      <c r="W837" t="s">
        <v>16122</v>
      </c>
      <c r="X837" t="s">
        <v>16123</v>
      </c>
      <c r="Y837" t="s">
        <v>16124</v>
      </c>
      <c r="Z837" t="s">
        <v>16125</v>
      </c>
      <c r="AA837" t="s">
        <v>16126</v>
      </c>
      <c r="AB837" t="s">
        <v>16127</v>
      </c>
      <c r="AC837" t="s">
        <v>16128</v>
      </c>
      <c r="AD837" t="s">
        <v>16129</v>
      </c>
      <c r="AE837" t="s">
        <v>16130</v>
      </c>
      <c r="AF837" t="s">
        <v>74</v>
      </c>
      <c r="AG837">
        <v>50</v>
      </c>
      <c r="AH837">
        <v>18</v>
      </c>
      <c r="AI837">
        <v>21</v>
      </c>
      <c r="AJ837">
        <v>0</v>
      </c>
      <c r="AK837">
        <v>4</v>
      </c>
      <c r="AL837" t="s">
        <v>6164</v>
      </c>
      <c r="AM837" t="s">
        <v>3008</v>
      </c>
      <c r="AN837" t="s">
        <v>6165</v>
      </c>
      <c r="AO837" t="s">
        <v>7915</v>
      </c>
      <c r="AP837" t="s">
        <v>74</v>
      </c>
      <c r="AQ837" t="s">
        <v>74</v>
      </c>
      <c r="AR837" t="s">
        <v>7916</v>
      </c>
      <c r="AS837" t="s">
        <v>7917</v>
      </c>
      <c r="AT837" t="s">
        <v>16131</v>
      </c>
      <c r="AU837">
        <v>2018</v>
      </c>
      <c r="AV837">
        <v>9</v>
      </c>
      <c r="AW837" t="s">
        <v>74</v>
      </c>
      <c r="AX837" t="s">
        <v>74</v>
      </c>
      <c r="AY837" t="s">
        <v>74</v>
      </c>
      <c r="AZ837" t="s">
        <v>74</v>
      </c>
      <c r="BA837" t="s">
        <v>74</v>
      </c>
      <c r="BB837" t="s">
        <v>74</v>
      </c>
      <c r="BC837" t="s">
        <v>74</v>
      </c>
      <c r="BD837">
        <v>4576</v>
      </c>
      <c r="BE837" t="s">
        <v>16132</v>
      </c>
      <c r="BF837" t="str">
        <f>HYPERLINK("http://dx.doi.org/10.1038/s41467-018-06679-z","http://dx.doi.org/10.1038/s41467-018-06679-z")</f>
        <v>http://dx.doi.org/10.1038/s41467-018-06679-z</v>
      </c>
      <c r="BG837" t="s">
        <v>74</v>
      </c>
      <c r="BH837" t="s">
        <v>74</v>
      </c>
      <c r="BI837">
        <v>9</v>
      </c>
      <c r="BJ837" t="s">
        <v>855</v>
      </c>
      <c r="BK837" t="s">
        <v>101</v>
      </c>
      <c r="BL837" t="s">
        <v>856</v>
      </c>
      <c r="BM837" t="s">
        <v>16133</v>
      </c>
      <c r="BN837">
        <v>30385741</v>
      </c>
      <c r="BO837" t="s">
        <v>7920</v>
      </c>
      <c r="BP837" t="s">
        <v>74</v>
      </c>
      <c r="BQ837" t="s">
        <v>74</v>
      </c>
      <c r="BR837" t="s">
        <v>104</v>
      </c>
      <c r="BS837" t="s">
        <v>16134</v>
      </c>
      <c r="BT837" t="str">
        <f>HYPERLINK("https%3A%2F%2Fwww.webofscience.com%2Fwos%2Fwoscc%2Ffull-record%2FWOS:000448941200006","View Full Record in Web of Science")</f>
        <v>View Full Record in Web of Science</v>
      </c>
    </row>
    <row r="838" spans="1:72" x14ac:dyDescent="0.15">
      <c r="A838" t="s">
        <v>72</v>
      </c>
      <c r="B838" t="s">
        <v>16135</v>
      </c>
      <c r="C838" t="s">
        <v>74</v>
      </c>
      <c r="D838" t="s">
        <v>74</v>
      </c>
      <c r="E838" t="s">
        <v>74</v>
      </c>
      <c r="F838" t="s">
        <v>16136</v>
      </c>
      <c r="G838" t="s">
        <v>74</v>
      </c>
      <c r="H838" t="s">
        <v>74</v>
      </c>
      <c r="I838" t="s">
        <v>16137</v>
      </c>
      <c r="J838" t="s">
        <v>4646</v>
      </c>
      <c r="K838" t="s">
        <v>74</v>
      </c>
      <c r="L838" t="s">
        <v>74</v>
      </c>
      <c r="M838" t="s">
        <v>78</v>
      </c>
      <c r="N838" t="s">
        <v>79</v>
      </c>
      <c r="O838" t="s">
        <v>74</v>
      </c>
      <c r="P838" t="s">
        <v>74</v>
      </c>
      <c r="Q838" t="s">
        <v>74</v>
      </c>
      <c r="R838" t="s">
        <v>74</v>
      </c>
      <c r="S838" t="s">
        <v>74</v>
      </c>
      <c r="T838" t="s">
        <v>74</v>
      </c>
      <c r="U838" t="s">
        <v>16138</v>
      </c>
      <c r="V838" t="s">
        <v>16139</v>
      </c>
      <c r="W838" t="s">
        <v>16140</v>
      </c>
      <c r="X838" t="s">
        <v>16141</v>
      </c>
      <c r="Y838" t="s">
        <v>16142</v>
      </c>
      <c r="Z838" t="s">
        <v>16143</v>
      </c>
      <c r="AA838" t="s">
        <v>74</v>
      </c>
      <c r="AB838" t="s">
        <v>16144</v>
      </c>
      <c r="AC838" t="s">
        <v>16145</v>
      </c>
      <c r="AD838" t="s">
        <v>16146</v>
      </c>
      <c r="AE838" t="s">
        <v>16147</v>
      </c>
      <c r="AF838" t="s">
        <v>74</v>
      </c>
      <c r="AG838">
        <v>105</v>
      </c>
      <c r="AH838">
        <v>11</v>
      </c>
      <c r="AI838">
        <v>13</v>
      </c>
      <c r="AJ838">
        <v>2</v>
      </c>
      <c r="AK838">
        <v>20</v>
      </c>
      <c r="AL838" t="s">
        <v>4034</v>
      </c>
      <c r="AM838" t="s">
        <v>4035</v>
      </c>
      <c r="AN838" t="s">
        <v>4036</v>
      </c>
      <c r="AO838" t="s">
        <v>4658</v>
      </c>
      <c r="AP838" t="s">
        <v>4659</v>
      </c>
      <c r="AQ838" t="s">
        <v>74</v>
      </c>
      <c r="AR838" t="s">
        <v>4660</v>
      </c>
      <c r="AS838" t="s">
        <v>4661</v>
      </c>
      <c r="AT838" t="s">
        <v>14661</v>
      </c>
      <c r="AU838">
        <v>2018</v>
      </c>
      <c r="AV838">
        <v>33</v>
      </c>
      <c r="AW838">
        <v>11</v>
      </c>
      <c r="AX838" t="s">
        <v>74</v>
      </c>
      <c r="AY838" t="s">
        <v>74</v>
      </c>
      <c r="AZ838" t="s">
        <v>74</v>
      </c>
      <c r="BA838" t="s">
        <v>74</v>
      </c>
      <c r="BB838">
        <v>1151</v>
      </c>
      <c r="BC838">
        <v>1168</v>
      </c>
      <c r="BD838" t="s">
        <v>74</v>
      </c>
      <c r="BE838" t="s">
        <v>16148</v>
      </c>
      <c r="BF838" t="str">
        <f>HYPERLINK("http://dx.doi.org/10.1029/2018PA003386","http://dx.doi.org/10.1029/2018PA003386")</f>
        <v>http://dx.doi.org/10.1029/2018PA003386</v>
      </c>
      <c r="BG838" t="s">
        <v>74</v>
      </c>
      <c r="BH838" t="s">
        <v>74</v>
      </c>
      <c r="BI838">
        <v>18</v>
      </c>
      <c r="BJ838" t="s">
        <v>4663</v>
      </c>
      <c r="BK838" t="s">
        <v>101</v>
      </c>
      <c r="BL838" t="s">
        <v>4664</v>
      </c>
      <c r="BM838" t="s">
        <v>16149</v>
      </c>
      <c r="BN838" t="s">
        <v>74</v>
      </c>
      <c r="BO838" t="s">
        <v>162</v>
      </c>
      <c r="BP838" t="s">
        <v>74</v>
      </c>
      <c r="BQ838" t="s">
        <v>74</v>
      </c>
      <c r="BR838" t="s">
        <v>104</v>
      </c>
      <c r="BS838" t="s">
        <v>16150</v>
      </c>
      <c r="BT838" t="str">
        <f>HYPERLINK("https%3A%2F%2Fwww.webofscience.com%2Fwos%2Fwoscc%2Ffull-record%2FWOS:000452730000002","View Full Record in Web of Science")</f>
        <v>View Full Record in Web of Science</v>
      </c>
    </row>
    <row r="839" spans="1:72" x14ac:dyDescent="0.15">
      <c r="A839" t="s">
        <v>72</v>
      </c>
      <c r="B839" t="s">
        <v>16151</v>
      </c>
      <c r="C839" t="s">
        <v>74</v>
      </c>
      <c r="D839" t="s">
        <v>74</v>
      </c>
      <c r="E839" t="s">
        <v>74</v>
      </c>
      <c r="F839" t="s">
        <v>16152</v>
      </c>
      <c r="G839" t="s">
        <v>74</v>
      </c>
      <c r="H839" t="s">
        <v>74</v>
      </c>
      <c r="I839" t="s">
        <v>16153</v>
      </c>
      <c r="J839" t="s">
        <v>4646</v>
      </c>
      <c r="K839" t="s">
        <v>74</v>
      </c>
      <c r="L839" t="s">
        <v>74</v>
      </c>
      <c r="M839" t="s">
        <v>78</v>
      </c>
      <c r="N839" t="s">
        <v>79</v>
      </c>
      <c r="O839" t="s">
        <v>74</v>
      </c>
      <c r="P839" t="s">
        <v>74</v>
      </c>
      <c r="Q839" t="s">
        <v>74</v>
      </c>
      <c r="R839" t="s">
        <v>74</v>
      </c>
      <c r="S839" t="s">
        <v>74</v>
      </c>
      <c r="T839" t="s">
        <v>74</v>
      </c>
      <c r="U839" t="s">
        <v>16154</v>
      </c>
      <c r="V839" t="s">
        <v>16155</v>
      </c>
      <c r="W839" t="s">
        <v>16156</v>
      </c>
      <c r="X839" t="s">
        <v>16157</v>
      </c>
      <c r="Y839" t="s">
        <v>16158</v>
      </c>
      <c r="Z839" t="s">
        <v>16159</v>
      </c>
      <c r="AA839" t="s">
        <v>16160</v>
      </c>
      <c r="AB839" t="s">
        <v>16161</v>
      </c>
      <c r="AC839" t="s">
        <v>16162</v>
      </c>
      <c r="AD839" t="s">
        <v>16162</v>
      </c>
      <c r="AE839" t="s">
        <v>16163</v>
      </c>
      <c r="AF839" t="s">
        <v>74</v>
      </c>
      <c r="AG839">
        <v>90</v>
      </c>
      <c r="AH839">
        <v>15</v>
      </c>
      <c r="AI839">
        <v>15</v>
      </c>
      <c r="AJ839">
        <v>0</v>
      </c>
      <c r="AK839">
        <v>21</v>
      </c>
      <c r="AL839" t="s">
        <v>4034</v>
      </c>
      <c r="AM839" t="s">
        <v>4035</v>
      </c>
      <c r="AN839" t="s">
        <v>4036</v>
      </c>
      <c r="AO839" t="s">
        <v>4658</v>
      </c>
      <c r="AP839" t="s">
        <v>4659</v>
      </c>
      <c r="AQ839" t="s">
        <v>74</v>
      </c>
      <c r="AR839" t="s">
        <v>4660</v>
      </c>
      <c r="AS839" t="s">
        <v>4661</v>
      </c>
      <c r="AT839" t="s">
        <v>14661</v>
      </c>
      <c r="AU839">
        <v>2018</v>
      </c>
      <c r="AV839">
        <v>33</v>
      </c>
      <c r="AW839">
        <v>11</v>
      </c>
      <c r="AX839" t="s">
        <v>74</v>
      </c>
      <c r="AY839" t="s">
        <v>74</v>
      </c>
      <c r="AZ839" t="s">
        <v>74</v>
      </c>
      <c r="BA839" t="s">
        <v>74</v>
      </c>
      <c r="BB839">
        <v>1292</v>
      </c>
      <c r="BC839">
        <v>1305</v>
      </c>
      <c r="BD839" t="s">
        <v>74</v>
      </c>
      <c r="BE839" t="s">
        <v>16164</v>
      </c>
      <c r="BF839" t="str">
        <f>HYPERLINK("http://dx.doi.org/10.1029/2017PA003284","http://dx.doi.org/10.1029/2017PA003284")</f>
        <v>http://dx.doi.org/10.1029/2017PA003284</v>
      </c>
      <c r="BG839" t="s">
        <v>74</v>
      </c>
      <c r="BH839" t="s">
        <v>74</v>
      </c>
      <c r="BI839">
        <v>14</v>
      </c>
      <c r="BJ839" t="s">
        <v>4663</v>
      </c>
      <c r="BK839" t="s">
        <v>101</v>
      </c>
      <c r="BL839" t="s">
        <v>4664</v>
      </c>
      <c r="BM839" t="s">
        <v>16149</v>
      </c>
      <c r="BN839" t="s">
        <v>74</v>
      </c>
      <c r="BO839" t="s">
        <v>16165</v>
      </c>
      <c r="BP839" t="s">
        <v>74</v>
      </c>
      <c r="BQ839" t="s">
        <v>74</v>
      </c>
      <c r="BR839" t="s">
        <v>104</v>
      </c>
      <c r="BS839" t="s">
        <v>16166</v>
      </c>
      <c r="BT839" t="str">
        <f>HYPERLINK("https%3A%2F%2Fwww.webofscience.com%2Fwos%2Fwoscc%2Ffull-record%2FWOS:000452730000009","View Full Record in Web of Science")</f>
        <v>View Full Record in Web of Science</v>
      </c>
    </row>
    <row r="840" spans="1:72" x14ac:dyDescent="0.15">
      <c r="A840" t="s">
        <v>72</v>
      </c>
      <c r="B840" t="s">
        <v>16167</v>
      </c>
      <c r="C840" t="s">
        <v>74</v>
      </c>
      <c r="D840" t="s">
        <v>74</v>
      </c>
      <c r="E840" t="s">
        <v>74</v>
      </c>
      <c r="F840" t="s">
        <v>16168</v>
      </c>
      <c r="G840" t="s">
        <v>74</v>
      </c>
      <c r="H840" t="s">
        <v>74</v>
      </c>
      <c r="I840" t="s">
        <v>16169</v>
      </c>
      <c r="J840" t="s">
        <v>4646</v>
      </c>
      <c r="K840" t="s">
        <v>74</v>
      </c>
      <c r="L840" t="s">
        <v>74</v>
      </c>
      <c r="M840" t="s">
        <v>78</v>
      </c>
      <c r="N840" t="s">
        <v>79</v>
      </c>
      <c r="O840" t="s">
        <v>74</v>
      </c>
      <c r="P840" t="s">
        <v>74</v>
      </c>
      <c r="Q840" t="s">
        <v>74</v>
      </c>
      <c r="R840" t="s">
        <v>74</v>
      </c>
      <c r="S840" t="s">
        <v>74</v>
      </c>
      <c r="T840" t="s">
        <v>74</v>
      </c>
      <c r="U840" t="s">
        <v>16170</v>
      </c>
      <c r="V840" t="s">
        <v>16171</v>
      </c>
      <c r="W840" t="s">
        <v>16172</v>
      </c>
      <c r="X840" t="s">
        <v>16173</v>
      </c>
      <c r="Y840" t="s">
        <v>16174</v>
      </c>
      <c r="Z840" t="s">
        <v>16175</v>
      </c>
      <c r="AA840" t="s">
        <v>16176</v>
      </c>
      <c r="AB840" t="s">
        <v>16177</v>
      </c>
      <c r="AC840" t="s">
        <v>10294</v>
      </c>
      <c r="AD840" t="s">
        <v>8513</v>
      </c>
      <c r="AE840" t="s">
        <v>16178</v>
      </c>
      <c r="AF840" t="s">
        <v>74</v>
      </c>
      <c r="AG840">
        <v>109</v>
      </c>
      <c r="AH840">
        <v>8</v>
      </c>
      <c r="AI840">
        <v>11</v>
      </c>
      <c r="AJ840">
        <v>2</v>
      </c>
      <c r="AK840">
        <v>17</v>
      </c>
      <c r="AL840" t="s">
        <v>4034</v>
      </c>
      <c r="AM840" t="s">
        <v>4035</v>
      </c>
      <c r="AN840" t="s">
        <v>4036</v>
      </c>
      <c r="AO840" t="s">
        <v>4658</v>
      </c>
      <c r="AP840" t="s">
        <v>4659</v>
      </c>
      <c r="AQ840" t="s">
        <v>74</v>
      </c>
      <c r="AR840" t="s">
        <v>4660</v>
      </c>
      <c r="AS840" t="s">
        <v>4661</v>
      </c>
      <c r="AT840" t="s">
        <v>14661</v>
      </c>
      <c r="AU840">
        <v>2018</v>
      </c>
      <c r="AV840">
        <v>33</v>
      </c>
      <c r="AW840">
        <v>11</v>
      </c>
      <c r="AX840" t="s">
        <v>74</v>
      </c>
      <c r="AY840" t="s">
        <v>74</v>
      </c>
      <c r="AZ840" t="s">
        <v>74</v>
      </c>
      <c r="BA840" t="s">
        <v>74</v>
      </c>
      <c r="BB840">
        <v>1306</v>
      </c>
      <c r="BC840">
        <v>1321</v>
      </c>
      <c r="BD840" t="s">
        <v>74</v>
      </c>
      <c r="BE840" t="s">
        <v>16179</v>
      </c>
      <c r="BF840" t="str">
        <f>HYPERLINK("http://dx.doi.org/10.1029/2018PA003439","http://dx.doi.org/10.1029/2018PA003439")</f>
        <v>http://dx.doi.org/10.1029/2018PA003439</v>
      </c>
      <c r="BG840" t="s">
        <v>74</v>
      </c>
      <c r="BH840" t="s">
        <v>74</v>
      </c>
      <c r="BI840">
        <v>16</v>
      </c>
      <c r="BJ840" t="s">
        <v>4663</v>
      </c>
      <c r="BK840" t="s">
        <v>101</v>
      </c>
      <c r="BL840" t="s">
        <v>4664</v>
      </c>
      <c r="BM840" t="s">
        <v>16149</v>
      </c>
      <c r="BN840" t="s">
        <v>74</v>
      </c>
      <c r="BO840" t="s">
        <v>428</v>
      </c>
      <c r="BP840" t="s">
        <v>74</v>
      </c>
      <c r="BQ840" t="s">
        <v>74</v>
      </c>
      <c r="BR840" t="s">
        <v>104</v>
      </c>
      <c r="BS840" t="s">
        <v>16180</v>
      </c>
      <c r="BT840" t="str">
        <f>HYPERLINK("https%3A%2F%2Fwww.webofscience.com%2Fwos%2Fwoscc%2Ffull-record%2FWOS:000452730000010","View Full Record in Web of Science")</f>
        <v>View Full Record in Web of Science</v>
      </c>
    </row>
    <row r="841" spans="1:72" x14ac:dyDescent="0.15">
      <c r="A841" t="s">
        <v>72</v>
      </c>
      <c r="B841" t="s">
        <v>16181</v>
      </c>
      <c r="C841" t="s">
        <v>74</v>
      </c>
      <c r="D841" t="s">
        <v>74</v>
      </c>
      <c r="E841" t="s">
        <v>74</v>
      </c>
      <c r="F841" t="s">
        <v>16182</v>
      </c>
      <c r="G841" t="s">
        <v>74</v>
      </c>
      <c r="H841" t="s">
        <v>74</v>
      </c>
      <c r="I841" t="s">
        <v>16183</v>
      </c>
      <c r="J841" t="s">
        <v>16184</v>
      </c>
      <c r="K841" t="s">
        <v>74</v>
      </c>
      <c r="L841" t="s">
        <v>74</v>
      </c>
      <c r="M841" t="s">
        <v>78</v>
      </c>
      <c r="N841" t="s">
        <v>79</v>
      </c>
      <c r="O841" t="s">
        <v>74</v>
      </c>
      <c r="P841" t="s">
        <v>74</v>
      </c>
      <c r="Q841" t="s">
        <v>74</v>
      </c>
      <c r="R841" t="s">
        <v>74</v>
      </c>
      <c r="S841" t="s">
        <v>74</v>
      </c>
      <c r="T841" t="s">
        <v>16185</v>
      </c>
      <c r="U841" t="s">
        <v>16186</v>
      </c>
      <c r="V841" t="s">
        <v>16187</v>
      </c>
      <c r="W841" t="s">
        <v>16188</v>
      </c>
      <c r="X841" t="s">
        <v>16189</v>
      </c>
      <c r="Y841" t="s">
        <v>16190</v>
      </c>
      <c r="Z841" t="s">
        <v>16191</v>
      </c>
      <c r="AA841" t="s">
        <v>16192</v>
      </c>
      <c r="AB841" t="s">
        <v>16193</v>
      </c>
      <c r="AC841" t="s">
        <v>16194</v>
      </c>
      <c r="AD841" t="s">
        <v>16195</v>
      </c>
      <c r="AE841" t="s">
        <v>16196</v>
      </c>
      <c r="AF841" t="s">
        <v>74</v>
      </c>
      <c r="AG841">
        <v>47</v>
      </c>
      <c r="AH841">
        <v>2</v>
      </c>
      <c r="AI841">
        <v>2</v>
      </c>
      <c r="AJ841">
        <v>0</v>
      </c>
      <c r="AK841">
        <v>9</v>
      </c>
      <c r="AL841" t="s">
        <v>3290</v>
      </c>
      <c r="AM841" t="s">
        <v>2520</v>
      </c>
      <c r="AN841" t="s">
        <v>3291</v>
      </c>
      <c r="AO841" t="s">
        <v>16197</v>
      </c>
      <c r="AP841" t="s">
        <v>16198</v>
      </c>
      <c r="AQ841" t="s">
        <v>74</v>
      </c>
      <c r="AR841" t="s">
        <v>16199</v>
      </c>
      <c r="AS841" t="s">
        <v>16200</v>
      </c>
      <c r="AT841" t="s">
        <v>14661</v>
      </c>
      <c r="AU841">
        <v>2018</v>
      </c>
      <c r="AV841">
        <v>284</v>
      </c>
      <c r="AW841" t="s">
        <v>74</v>
      </c>
      <c r="AX841" t="s">
        <v>74</v>
      </c>
      <c r="AY841" t="s">
        <v>74</v>
      </c>
      <c r="AZ841" t="s">
        <v>74</v>
      </c>
      <c r="BA841" t="s">
        <v>74</v>
      </c>
      <c r="BB841">
        <v>28</v>
      </c>
      <c r="BC841">
        <v>35</v>
      </c>
      <c r="BD841" t="s">
        <v>74</v>
      </c>
      <c r="BE841" t="s">
        <v>16201</v>
      </c>
      <c r="BF841" t="str">
        <f>HYPERLINK("http://dx.doi.org/10.1016/j.pepi.2018.09.003","http://dx.doi.org/10.1016/j.pepi.2018.09.003")</f>
        <v>http://dx.doi.org/10.1016/j.pepi.2018.09.003</v>
      </c>
      <c r="BG841" t="s">
        <v>74</v>
      </c>
      <c r="BH841" t="s">
        <v>74</v>
      </c>
      <c r="BI841">
        <v>8</v>
      </c>
      <c r="BJ841" t="s">
        <v>746</v>
      </c>
      <c r="BK841" t="s">
        <v>101</v>
      </c>
      <c r="BL841" t="s">
        <v>746</v>
      </c>
      <c r="BM841" t="s">
        <v>16202</v>
      </c>
      <c r="BN841" t="s">
        <v>74</v>
      </c>
      <c r="BO841" t="s">
        <v>74</v>
      </c>
      <c r="BP841" t="s">
        <v>74</v>
      </c>
      <c r="BQ841" t="s">
        <v>74</v>
      </c>
      <c r="BR841" t="s">
        <v>104</v>
      </c>
      <c r="BS841" t="s">
        <v>16203</v>
      </c>
      <c r="BT841" t="str">
        <f>HYPERLINK("https%3A%2F%2Fwww.webofscience.com%2Fwos%2Fwoscc%2Ffull-record%2FWOS:000452943800004","View Full Record in Web of Science")</f>
        <v>View Full Record in Web of Science</v>
      </c>
    </row>
    <row r="842" spans="1:72" x14ac:dyDescent="0.15">
      <c r="A842" t="s">
        <v>72</v>
      </c>
      <c r="B842" t="s">
        <v>16204</v>
      </c>
      <c r="C842" t="s">
        <v>74</v>
      </c>
      <c r="D842" t="s">
        <v>74</v>
      </c>
      <c r="E842" t="s">
        <v>74</v>
      </c>
      <c r="F842" t="s">
        <v>16205</v>
      </c>
      <c r="G842" t="s">
        <v>74</v>
      </c>
      <c r="H842" t="s">
        <v>74</v>
      </c>
      <c r="I842" t="s">
        <v>16206</v>
      </c>
      <c r="J842" t="s">
        <v>16207</v>
      </c>
      <c r="K842" t="s">
        <v>74</v>
      </c>
      <c r="L842" t="s">
        <v>74</v>
      </c>
      <c r="M842" t="s">
        <v>78</v>
      </c>
      <c r="N842" t="s">
        <v>79</v>
      </c>
      <c r="O842" t="s">
        <v>74</v>
      </c>
      <c r="P842" t="s">
        <v>74</v>
      </c>
      <c r="Q842" t="s">
        <v>74</v>
      </c>
      <c r="R842" t="s">
        <v>74</v>
      </c>
      <c r="S842" t="s">
        <v>74</v>
      </c>
      <c r="T842" t="s">
        <v>16208</v>
      </c>
      <c r="U842" t="s">
        <v>16209</v>
      </c>
      <c r="V842" t="s">
        <v>16210</v>
      </c>
      <c r="W842" t="s">
        <v>16211</v>
      </c>
      <c r="X842" t="s">
        <v>16212</v>
      </c>
      <c r="Y842" t="s">
        <v>16213</v>
      </c>
      <c r="Z842" t="s">
        <v>16214</v>
      </c>
      <c r="AA842" t="s">
        <v>16215</v>
      </c>
      <c r="AB842" t="s">
        <v>74</v>
      </c>
      <c r="AC842" t="s">
        <v>16216</v>
      </c>
      <c r="AD842" t="s">
        <v>16216</v>
      </c>
      <c r="AE842" t="s">
        <v>16217</v>
      </c>
      <c r="AF842" t="s">
        <v>74</v>
      </c>
      <c r="AG842">
        <v>34</v>
      </c>
      <c r="AH842">
        <v>13</v>
      </c>
      <c r="AI842">
        <v>14</v>
      </c>
      <c r="AJ842">
        <v>1</v>
      </c>
      <c r="AK842">
        <v>7</v>
      </c>
      <c r="AL842" t="s">
        <v>3670</v>
      </c>
      <c r="AM842" t="s">
        <v>3671</v>
      </c>
      <c r="AN842" t="s">
        <v>3672</v>
      </c>
      <c r="AO842" t="s">
        <v>16218</v>
      </c>
      <c r="AP842" t="s">
        <v>74</v>
      </c>
      <c r="AQ842" t="s">
        <v>74</v>
      </c>
      <c r="AR842" t="s">
        <v>16219</v>
      </c>
      <c r="AS842" t="s">
        <v>16220</v>
      </c>
      <c r="AT842" t="s">
        <v>14661</v>
      </c>
      <c r="AU842">
        <v>2018</v>
      </c>
      <c r="AV842">
        <v>6</v>
      </c>
      <c r="AW842">
        <v>21</v>
      </c>
      <c r="AX842" t="s">
        <v>74</v>
      </c>
      <c r="AY842" t="s">
        <v>74</v>
      </c>
      <c r="AZ842" t="s">
        <v>74</v>
      </c>
      <c r="BA842" t="s">
        <v>74</v>
      </c>
      <c r="BB842" t="s">
        <v>74</v>
      </c>
      <c r="BC842" t="s">
        <v>74</v>
      </c>
      <c r="BD842" t="s">
        <v>16221</v>
      </c>
      <c r="BE842" t="s">
        <v>16222</v>
      </c>
      <c r="BF842" t="str">
        <f>HYPERLINK("http://dx.doi.org/10.14814/phy2.13905","http://dx.doi.org/10.14814/phy2.13905")</f>
        <v>http://dx.doi.org/10.14814/phy2.13905</v>
      </c>
      <c r="BG842" t="s">
        <v>74</v>
      </c>
      <c r="BH842" t="s">
        <v>74</v>
      </c>
      <c r="BI842">
        <v>7</v>
      </c>
      <c r="BJ842" t="s">
        <v>7956</v>
      </c>
      <c r="BK842" t="s">
        <v>349</v>
      </c>
      <c r="BL842" t="s">
        <v>7956</v>
      </c>
      <c r="BM842" t="s">
        <v>16223</v>
      </c>
      <c r="BN842">
        <v>30381902</v>
      </c>
      <c r="BO842" t="s">
        <v>10404</v>
      </c>
      <c r="BP842" t="s">
        <v>74</v>
      </c>
      <c r="BQ842" t="s">
        <v>74</v>
      </c>
      <c r="BR842" t="s">
        <v>104</v>
      </c>
      <c r="BS842" t="s">
        <v>16224</v>
      </c>
      <c r="BT842" t="str">
        <f>HYPERLINK("https%3A%2F%2Fwww.webofscience.com%2Fwos%2Fwoscc%2Ffull-record%2FWOS:000453387200005","View Full Record in Web of Science")</f>
        <v>View Full Record in Web of Science</v>
      </c>
    </row>
    <row r="843" spans="1:72" x14ac:dyDescent="0.15">
      <c r="A843" t="s">
        <v>72</v>
      </c>
      <c r="B843" t="s">
        <v>16225</v>
      </c>
      <c r="C843" t="s">
        <v>74</v>
      </c>
      <c r="D843" t="s">
        <v>74</v>
      </c>
      <c r="E843" t="s">
        <v>74</v>
      </c>
      <c r="F843" t="s">
        <v>16226</v>
      </c>
      <c r="G843" t="s">
        <v>74</v>
      </c>
      <c r="H843" t="s">
        <v>74</v>
      </c>
      <c r="I843" t="s">
        <v>16227</v>
      </c>
      <c r="J843" t="s">
        <v>1067</v>
      </c>
      <c r="K843" t="s">
        <v>74</v>
      </c>
      <c r="L843" t="s">
        <v>74</v>
      </c>
      <c r="M843" t="s">
        <v>78</v>
      </c>
      <c r="N843" t="s">
        <v>79</v>
      </c>
      <c r="O843" t="s">
        <v>74</v>
      </c>
      <c r="P843" t="s">
        <v>74</v>
      </c>
      <c r="Q843" t="s">
        <v>74</v>
      </c>
      <c r="R843" t="s">
        <v>74</v>
      </c>
      <c r="S843" t="s">
        <v>74</v>
      </c>
      <c r="T843" t="s">
        <v>16228</v>
      </c>
      <c r="U843" t="s">
        <v>16229</v>
      </c>
      <c r="V843" t="s">
        <v>16230</v>
      </c>
      <c r="W843" t="s">
        <v>16231</v>
      </c>
      <c r="X843" t="s">
        <v>16232</v>
      </c>
      <c r="Y843" t="s">
        <v>16233</v>
      </c>
      <c r="Z843" t="s">
        <v>16234</v>
      </c>
      <c r="AA843" t="s">
        <v>16235</v>
      </c>
      <c r="AB843" t="s">
        <v>16236</v>
      </c>
      <c r="AC843" t="s">
        <v>16237</v>
      </c>
      <c r="AD843" t="s">
        <v>16238</v>
      </c>
      <c r="AE843" t="s">
        <v>16239</v>
      </c>
      <c r="AF843" t="s">
        <v>74</v>
      </c>
      <c r="AG843">
        <v>79</v>
      </c>
      <c r="AH843">
        <v>10</v>
      </c>
      <c r="AI843">
        <v>10</v>
      </c>
      <c r="AJ843">
        <v>3</v>
      </c>
      <c r="AK843">
        <v>46</v>
      </c>
      <c r="AL843" t="s">
        <v>1079</v>
      </c>
      <c r="AM843" t="s">
        <v>1080</v>
      </c>
      <c r="AN843" t="s">
        <v>1106</v>
      </c>
      <c r="AO843" t="s">
        <v>1082</v>
      </c>
      <c r="AP843" t="s">
        <v>1083</v>
      </c>
      <c r="AQ843" t="s">
        <v>74</v>
      </c>
      <c r="AR843" t="s">
        <v>1084</v>
      </c>
      <c r="AS843" t="s">
        <v>1085</v>
      </c>
      <c r="AT843" t="s">
        <v>14661</v>
      </c>
      <c r="AU843">
        <v>2018</v>
      </c>
      <c r="AV843">
        <v>41</v>
      </c>
      <c r="AW843">
        <v>11</v>
      </c>
      <c r="AX843" t="s">
        <v>74</v>
      </c>
      <c r="AY843" t="s">
        <v>74</v>
      </c>
      <c r="AZ843" t="s">
        <v>74</v>
      </c>
      <c r="BA843" t="s">
        <v>74</v>
      </c>
      <c r="BB843">
        <v>2181</v>
      </c>
      <c r="BC843">
        <v>2198</v>
      </c>
      <c r="BD843" t="s">
        <v>74</v>
      </c>
      <c r="BE843" t="s">
        <v>16240</v>
      </c>
      <c r="BF843" t="str">
        <f>HYPERLINK("http://dx.doi.org/10.1007/s00300-018-2353-y","http://dx.doi.org/10.1007/s00300-018-2353-y")</f>
        <v>http://dx.doi.org/10.1007/s00300-018-2353-y</v>
      </c>
      <c r="BG843" t="s">
        <v>74</v>
      </c>
      <c r="BH843" t="s">
        <v>74</v>
      </c>
      <c r="BI843">
        <v>18</v>
      </c>
      <c r="BJ843" t="s">
        <v>1087</v>
      </c>
      <c r="BK843" t="s">
        <v>101</v>
      </c>
      <c r="BL843" t="s">
        <v>102</v>
      </c>
      <c r="BM843" t="s">
        <v>16241</v>
      </c>
      <c r="BN843" t="s">
        <v>74</v>
      </c>
      <c r="BO843" t="s">
        <v>74</v>
      </c>
      <c r="BP843" t="s">
        <v>74</v>
      </c>
      <c r="BQ843" t="s">
        <v>74</v>
      </c>
      <c r="BR843" t="s">
        <v>104</v>
      </c>
      <c r="BS843" t="s">
        <v>16242</v>
      </c>
      <c r="BT843" t="str">
        <f>HYPERLINK("https%3A%2F%2Fwww.webofscience.com%2Fwos%2Fwoscc%2Ffull-record%2FWOS:000446075800002","View Full Record in Web of Science")</f>
        <v>View Full Record in Web of Science</v>
      </c>
    </row>
    <row r="844" spans="1:72" x14ac:dyDescent="0.15">
      <c r="A844" t="s">
        <v>72</v>
      </c>
      <c r="B844" t="s">
        <v>16243</v>
      </c>
      <c r="C844" t="s">
        <v>74</v>
      </c>
      <c r="D844" t="s">
        <v>74</v>
      </c>
      <c r="E844" t="s">
        <v>74</v>
      </c>
      <c r="F844" t="s">
        <v>16244</v>
      </c>
      <c r="G844" t="s">
        <v>74</v>
      </c>
      <c r="H844" t="s">
        <v>74</v>
      </c>
      <c r="I844" t="s">
        <v>16245</v>
      </c>
      <c r="J844" t="s">
        <v>1067</v>
      </c>
      <c r="K844" t="s">
        <v>74</v>
      </c>
      <c r="L844" t="s">
        <v>74</v>
      </c>
      <c r="M844" t="s">
        <v>78</v>
      </c>
      <c r="N844" t="s">
        <v>79</v>
      </c>
      <c r="O844" t="s">
        <v>74</v>
      </c>
      <c r="P844" t="s">
        <v>74</v>
      </c>
      <c r="Q844" t="s">
        <v>74</v>
      </c>
      <c r="R844" t="s">
        <v>74</v>
      </c>
      <c r="S844" t="s">
        <v>74</v>
      </c>
      <c r="T844" t="s">
        <v>16246</v>
      </c>
      <c r="U844" t="s">
        <v>16247</v>
      </c>
      <c r="V844" t="s">
        <v>16248</v>
      </c>
      <c r="W844" t="s">
        <v>16249</v>
      </c>
      <c r="X844" t="s">
        <v>16250</v>
      </c>
      <c r="Y844" t="s">
        <v>16251</v>
      </c>
      <c r="Z844" t="s">
        <v>16252</v>
      </c>
      <c r="AA844" t="s">
        <v>16253</v>
      </c>
      <c r="AB844" t="s">
        <v>16254</v>
      </c>
      <c r="AC844" t="s">
        <v>16255</v>
      </c>
      <c r="AD844" t="s">
        <v>16255</v>
      </c>
      <c r="AE844" t="s">
        <v>16256</v>
      </c>
      <c r="AF844" t="s">
        <v>74</v>
      </c>
      <c r="AG844">
        <v>55</v>
      </c>
      <c r="AH844">
        <v>4</v>
      </c>
      <c r="AI844">
        <v>5</v>
      </c>
      <c r="AJ844">
        <v>0</v>
      </c>
      <c r="AK844">
        <v>64</v>
      </c>
      <c r="AL844" t="s">
        <v>1079</v>
      </c>
      <c r="AM844" t="s">
        <v>1080</v>
      </c>
      <c r="AN844" t="s">
        <v>1106</v>
      </c>
      <c r="AO844" t="s">
        <v>1082</v>
      </c>
      <c r="AP844" t="s">
        <v>1083</v>
      </c>
      <c r="AQ844" t="s">
        <v>74</v>
      </c>
      <c r="AR844" t="s">
        <v>1084</v>
      </c>
      <c r="AS844" t="s">
        <v>1085</v>
      </c>
      <c r="AT844" t="s">
        <v>14661</v>
      </c>
      <c r="AU844">
        <v>2018</v>
      </c>
      <c r="AV844">
        <v>41</v>
      </c>
      <c r="AW844">
        <v>11</v>
      </c>
      <c r="AX844" t="s">
        <v>74</v>
      </c>
      <c r="AY844" t="s">
        <v>74</v>
      </c>
      <c r="AZ844" t="s">
        <v>74</v>
      </c>
      <c r="BA844" t="s">
        <v>74</v>
      </c>
      <c r="BB844">
        <v>2249</v>
      </c>
      <c r="BC844">
        <v>2259</v>
      </c>
      <c r="BD844" t="s">
        <v>74</v>
      </c>
      <c r="BE844" t="s">
        <v>16257</v>
      </c>
      <c r="BF844" t="str">
        <f>HYPERLINK("http://dx.doi.org/10.1007/s00300-018-2361-y","http://dx.doi.org/10.1007/s00300-018-2361-y")</f>
        <v>http://dx.doi.org/10.1007/s00300-018-2361-y</v>
      </c>
      <c r="BG844" t="s">
        <v>74</v>
      </c>
      <c r="BH844" t="s">
        <v>74</v>
      </c>
      <c r="BI844">
        <v>11</v>
      </c>
      <c r="BJ844" t="s">
        <v>1087</v>
      </c>
      <c r="BK844" t="s">
        <v>101</v>
      </c>
      <c r="BL844" t="s">
        <v>102</v>
      </c>
      <c r="BM844" t="s">
        <v>16241</v>
      </c>
      <c r="BN844" t="s">
        <v>74</v>
      </c>
      <c r="BO844" t="s">
        <v>404</v>
      </c>
      <c r="BP844" t="s">
        <v>74</v>
      </c>
      <c r="BQ844" t="s">
        <v>74</v>
      </c>
      <c r="BR844" t="s">
        <v>104</v>
      </c>
      <c r="BS844" t="s">
        <v>16258</v>
      </c>
      <c r="BT844" t="str">
        <f>HYPERLINK("https%3A%2F%2Fwww.webofscience.com%2Fwos%2Fwoscc%2Ffull-record%2FWOS:000446075800008","View Full Record in Web of Science")</f>
        <v>View Full Record in Web of Science</v>
      </c>
    </row>
    <row r="845" spans="1:72" x14ac:dyDescent="0.15">
      <c r="A845" t="s">
        <v>72</v>
      </c>
      <c r="B845" t="s">
        <v>16259</v>
      </c>
      <c r="C845" t="s">
        <v>74</v>
      </c>
      <c r="D845" t="s">
        <v>74</v>
      </c>
      <c r="E845" t="s">
        <v>74</v>
      </c>
      <c r="F845" t="s">
        <v>16260</v>
      </c>
      <c r="G845" t="s">
        <v>74</v>
      </c>
      <c r="H845" t="s">
        <v>74</v>
      </c>
      <c r="I845" t="s">
        <v>16261</v>
      </c>
      <c r="J845" t="s">
        <v>1067</v>
      </c>
      <c r="K845" t="s">
        <v>74</v>
      </c>
      <c r="L845" t="s">
        <v>74</v>
      </c>
      <c r="M845" t="s">
        <v>78</v>
      </c>
      <c r="N845" t="s">
        <v>79</v>
      </c>
      <c r="O845" t="s">
        <v>74</v>
      </c>
      <c r="P845" t="s">
        <v>74</v>
      </c>
      <c r="Q845" t="s">
        <v>74</v>
      </c>
      <c r="R845" t="s">
        <v>74</v>
      </c>
      <c r="S845" t="s">
        <v>74</v>
      </c>
      <c r="T845" t="s">
        <v>16262</v>
      </c>
      <c r="U845" t="s">
        <v>16263</v>
      </c>
      <c r="V845" t="s">
        <v>16264</v>
      </c>
      <c r="W845" t="s">
        <v>16265</v>
      </c>
      <c r="X845" t="s">
        <v>16266</v>
      </c>
      <c r="Y845" t="s">
        <v>16267</v>
      </c>
      <c r="Z845" t="s">
        <v>16268</v>
      </c>
      <c r="AA845" t="s">
        <v>16269</v>
      </c>
      <c r="AB845" t="s">
        <v>16270</v>
      </c>
      <c r="AC845" t="s">
        <v>16271</v>
      </c>
      <c r="AD845" t="s">
        <v>16272</v>
      </c>
      <c r="AE845" t="s">
        <v>16273</v>
      </c>
      <c r="AF845" t="s">
        <v>74</v>
      </c>
      <c r="AG845">
        <v>91</v>
      </c>
      <c r="AH845">
        <v>10</v>
      </c>
      <c r="AI845">
        <v>10</v>
      </c>
      <c r="AJ845">
        <v>0</v>
      </c>
      <c r="AK845">
        <v>30</v>
      </c>
      <c r="AL845" t="s">
        <v>1079</v>
      </c>
      <c r="AM845" t="s">
        <v>1080</v>
      </c>
      <c r="AN845" t="s">
        <v>1106</v>
      </c>
      <c r="AO845" t="s">
        <v>1082</v>
      </c>
      <c r="AP845" t="s">
        <v>1083</v>
      </c>
      <c r="AQ845" t="s">
        <v>74</v>
      </c>
      <c r="AR845" t="s">
        <v>1084</v>
      </c>
      <c r="AS845" t="s">
        <v>1085</v>
      </c>
      <c r="AT845" t="s">
        <v>14661</v>
      </c>
      <c r="AU845">
        <v>2018</v>
      </c>
      <c r="AV845">
        <v>41</v>
      </c>
      <c r="AW845">
        <v>11</v>
      </c>
      <c r="AX845" t="s">
        <v>74</v>
      </c>
      <c r="AY845" t="s">
        <v>74</v>
      </c>
      <c r="AZ845" t="s">
        <v>74</v>
      </c>
      <c r="BA845" t="s">
        <v>74</v>
      </c>
      <c r="BB845">
        <v>2275</v>
      </c>
      <c r="BC845">
        <v>2287</v>
      </c>
      <c r="BD845" t="s">
        <v>74</v>
      </c>
      <c r="BE845" t="s">
        <v>16274</v>
      </c>
      <c r="BF845" t="str">
        <f>HYPERLINK("http://dx.doi.org/10.1007/s00300-018-2364-8","http://dx.doi.org/10.1007/s00300-018-2364-8")</f>
        <v>http://dx.doi.org/10.1007/s00300-018-2364-8</v>
      </c>
      <c r="BG845" t="s">
        <v>74</v>
      </c>
      <c r="BH845" t="s">
        <v>74</v>
      </c>
      <c r="BI845">
        <v>13</v>
      </c>
      <c r="BJ845" t="s">
        <v>1087</v>
      </c>
      <c r="BK845" t="s">
        <v>101</v>
      </c>
      <c r="BL845" t="s">
        <v>102</v>
      </c>
      <c r="BM845" t="s">
        <v>16241</v>
      </c>
      <c r="BN845" t="s">
        <v>74</v>
      </c>
      <c r="BO845" t="s">
        <v>15386</v>
      </c>
      <c r="BP845" t="s">
        <v>74</v>
      </c>
      <c r="BQ845" t="s">
        <v>74</v>
      </c>
      <c r="BR845" t="s">
        <v>104</v>
      </c>
      <c r="BS845" t="s">
        <v>16275</v>
      </c>
      <c r="BT845" t="str">
        <f>HYPERLINK("https%3A%2F%2Fwww.webofscience.com%2Fwos%2Fwoscc%2Ffull-record%2FWOS:000446075800010","View Full Record in Web of Science")</f>
        <v>View Full Record in Web of Science</v>
      </c>
    </row>
    <row r="846" spans="1:72" x14ac:dyDescent="0.15">
      <c r="A846" t="s">
        <v>72</v>
      </c>
      <c r="B846" t="s">
        <v>16276</v>
      </c>
      <c r="C846" t="s">
        <v>74</v>
      </c>
      <c r="D846" t="s">
        <v>74</v>
      </c>
      <c r="E846" t="s">
        <v>74</v>
      </c>
      <c r="F846" t="s">
        <v>16277</v>
      </c>
      <c r="G846" t="s">
        <v>74</v>
      </c>
      <c r="H846" t="s">
        <v>74</v>
      </c>
      <c r="I846" t="s">
        <v>16278</v>
      </c>
      <c r="J846" t="s">
        <v>1067</v>
      </c>
      <c r="K846" t="s">
        <v>74</v>
      </c>
      <c r="L846" t="s">
        <v>74</v>
      </c>
      <c r="M846" t="s">
        <v>78</v>
      </c>
      <c r="N846" t="s">
        <v>79</v>
      </c>
      <c r="O846" t="s">
        <v>74</v>
      </c>
      <c r="P846" t="s">
        <v>74</v>
      </c>
      <c r="Q846" t="s">
        <v>74</v>
      </c>
      <c r="R846" t="s">
        <v>74</v>
      </c>
      <c r="S846" t="s">
        <v>74</v>
      </c>
      <c r="T846" t="s">
        <v>16279</v>
      </c>
      <c r="U846" t="s">
        <v>16280</v>
      </c>
      <c r="V846" t="s">
        <v>16281</v>
      </c>
      <c r="W846" t="s">
        <v>16282</v>
      </c>
      <c r="X846" t="s">
        <v>16283</v>
      </c>
      <c r="Y846" t="s">
        <v>16284</v>
      </c>
      <c r="Z846" t="s">
        <v>16285</v>
      </c>
      <c r="AA846" t="s">
        <v>16286</v>
      </c>
      <c r="AB846" t="s">
        <v>16287</v>
      </c>
      <c r="AC846" t="s">
        <v>16288</v>
      </c>
      <c r="AD846" t="s">
        <v>16289</v>
      </c>
      <c r="AE846" t="s">
        <v>16290</v>
      </c>
      <c r="AF846" t="s">
        <v>74</v>
      </c>
      <c r="AG846">
        <v>97</v>
      </c>
      <c r="AH846">
        <v>35</v>
      </c>
      <c r="AI846">
        <v>38</v>
      </c>
      <c r="AJ846">
        <v>3</v>
      </c>
      <c r="AK846">
        <v>46</v>
      </c>
      <c r="AL846" t="s">
        <v>1079</v>
      </c>
      <c r="AM846" t="s">
        <v>1080</v>
      </c>
      <c r="AN846" t="s">
        <v>1106</v>
      </c>
      <c r="AO846" t="s">
        <v>1082</v>
      </c>
      <c r="AP846" t="s">
        <v>1083</v>
      </c>
      <c r="AQ846" t="s">
        <v>74</v>
      </c>
      <c r="AR846" t="s">
        <v>1084</v>
      </c>
      <c r="AS846" t="s">
        <v>1085</v>
      </c>
      <c r="AT846" t="s">
        <v>14661</v>
      </c>
      <c r="AU846">
        <v>2018</v>
      </c>
      <c r="AV846">
        <v>41</v>
      </c>
      <c r="AW846">
        <v>11</v>
      </c>
      <c r="AX846" t="s">
        <v>74</v>
      </c>
      <c r="AY846" t="s">
        <v>74</v>
      </c>
      <c r="AZ846" t="s">
        <v>74</v>
      </c>
      <c r="BA846" t="s">
        <v>74</v>
      </c>
      <c r="BB846">
        <v>2343</v>
      </c>
      <c r="BC846">
        <v>2354</v>
      </c>
      <c r="BD846" t="s">
        <v>74</v>
      </c>
      <c r="BE846" t="s">
        <v>16291</v>
      </c>
      <c r="BF846" t="str">
        <f>HYPERLINK("http://dx.doi.org/10.1007/s00300-018-2374-6","http://dx.doi.org/10.1007/s00300-018-2374-6")</f>
        <v>http://dx.doi.org/10.1007/s00300-018-2374-6</v>
      </c>
      <c r="BG846" t="s">
        <v>74</v>
      </c>
      <c r="BH846" t="s">
        <v>74</v>
      </c>
      <c r="BI846">
        <v>12</v>
      </c>
      <c r="BJ846" t="s">
        <v>1087</v>
      </c>
      <c r="BK846" t="s">
        <v>101</v>
      </c>
      <c r="BL846" t="s">
        <v>102</v>
      </c>
      <c r="BM846" t="s">
        <v>16241</v>
      </c>
      <c r="BN846" t="s">
        <v>74</v>
      </c>
      <c r="BO846" t="s">
        <v>404</v>
      </c>
      <c r="BP846" t="s">
        <v>74</v>
      </c>
      <c r="BQ846" t="s">
        <v>74</v>
      </c>
      <c r="BR846" t="s">
        <v>104</v>
      </c>
      <c r="BS846" t="s">
        <v>16292</v>
      </c>
      <c r="BT846" t="str">
        <f>HYPERLINK("https%3A%2F%2Fwww.webofscience.com%2Fwos%2Fwoscc%2Ffull-record%2FWOS:000446075800016","View Full Record in Web of Science")</f>
        <v>View Full Record in Web of Science</v>
      </c>
    </row>
    <row r="847" spans="1:72" x14ac:dyDescent="0.15">
      <c r="A847" t="s">
        <v>72</v>
      </c>
      <c r="B847" t="s">
        <v>16293</v>
      </c>
      <c r="C847" t="s">
        <v>74</v>
      </c>
      <c r="D847" t="s">
        <v>74</v>
      </c>
      <c r="E847" t="s">
        <v>74</v>
      </c>
      <c r="F847" t="s">
        <v>16294</v>
      </c>
      <c r="G847" t="s">
        <v>74</v>
      </c>
      <c r="H847" t="s">
        <v>74</v>
      </c>
      <c r="I847" t="s">
        <v>16295</v>
      </c>
      <c r="J847" t="s">
        <v>4745</v>
      </c>
      <c r="K847" t="s">
        <v>74</v>
      </c>
      <c r="L847" t="s">
        <v>74</v>
      </c>
      <c r="M847" t="s">
        <v>78</v>
      </c>
      <c r="N847" t="s">
        <v>79</v>
      </c>
      <c r="O847" t="s">
        <v>74</v>
      </c>
      <c r="P847" t="s">
        <v>74</v>
      </c>
      <c r="Q847" t="s">
        <v>74</v>
      </c>
      <c r="R847" t="s">
        <v>74</v>
      </c>
      <c r="S847" t="s">
        <v>74</v>
      </c>
      <c r="T847" t="s">
        <v>16296</v>
      </c>
      <c r="U847" t="s">
        <v>16297</v>
      </c>
      <c r="V847" t="s">
        <v>16298</v>
      </c>
      <c r="W847" t="s">
        <v>16299</v>
      </c>
      <c r="X847" t="s">
        <v>16300</v>
      </c>
      <c r="Y847" t="s">
        <v>16301</v>
      </c>
      <c r="Z847" t="s">
        <v>16302</v>
      </c>
      <c r="AA847" t="s">
        <v>74</v>
      </c>
      <c r="AB847" t="s">
        <v>16303</v>
      </c>
      <c r="AC847" t="s">
        <v>16304</v>
      </c>
      <c r="AD847" t="s">
        <v>16305</v>
      </c>
      <c r="AE847" t="s">
        <v>16306</v>
      </c>
      <c r="AF847" t="s">
        <v>74</v>
      </c>
      <c r="AG847">
        <v>46</v>
      </c>
      <c r="AH847">
        <v>16</v>
      </c>
      <c r="AI847">
        <v>19</v>
      </c>
      <c r="AJ847">
        <v>1</v>
      </c>
      <c r="AK847">
        <v>17</v>
      </c>
      <c r="AL847" t="s">
        <v>4010</v>
      </c>
      <c r="AM847" t="s">
        <v>4011</v>
      </c>
      <c r="AN847" t="s">
        <v>4012</v>
      </c>
      <c r="AO847" t="s">
        <v>4757</v>
      </c>
      <c r="AP847" t="s">
        <v>74</v>
      </c>
      <c r="AQ847" t="s">
        <v>74</v>
      </c>
      <c r="AR847" t="s">
        <v>4758</v>
      </c>
      <c r="AS847" t="s">
        <v>4759</v>
      </c>
      <c r="AT847" t="s">
        <v>14661</v>
      </c>
      <c r="AU847">
        <v>2018</v>
      </c>
      <c r="AV847">
        <v>10</v>
      </c>
      <c r="AW847">
        <v>11</v>
      </c>
      <c r="AX847" t="s">
        <v>74</v>
      </c>
      <c r="AY847" t="s">
        <v>74</v>
      </c>
      <c r="AZ847" t="s">
        <v>74</v>
      </c>
      <c r="BA847" t="s">
        <v>74</v>
      </c>
      <c r="BB847" t="s">
        <v>74</v>
      </c>
      <c r="BC847" t="s">
        <v>74</v>
      </c>
      <c r="BD847">
        <v>1681</v>
      </c>
      <c r="BE847" t="s">
        <v>16307</v>
      </c>
      <c r="BF847" t="str">
        <f>HYPERLINK("http://dx.doi.org/10.3390/rs10111681","http://dx.doi.org/10.3390/rs10111681")</f>
        <v>http://dx.doi.org/10.3390/rs10111681</v>
      </c>
      <c r="BG847" t="s">
        <v>74</v>
      </c>
      <c r="BH847" t="s">
        <v>74</v>
      </c>
      <c r="BI847">
        <v>25</v>
      </c>
      <c r="BJ847" t="s">
        <v>4761</v>
      </c>
      <c r="BK847" t="s">
        <v>101</v>
      </c>
      <c r="BL847" t="s">
        <v>4762</v>
      </c>
      <c r="BM847" t="s">
        <v>16308</v>
      </c>
      <c r="BN847" t="s">
        <v>74</v>
      </c>
      <c r="BO847" t="s">
        <v>16309</v>
      </c>
      <c r="BP847" t="s">
        <v>74</v>
      </c>
      <c r="BQ847" t="s">
        <v>74</v>
      </c>
      <c r="BR847" t="s">
        <v>104</v>
      </c>
      <c r="BS847" t="s">
        <v>16310</v>
      </c>
      <c r="BT847" t="str">
        <f>HYPERLINK("https%3A%2F%2Fwww.webofscience.com%2Fwos%2Fwoscc%2Ffull-record%2FWOS:000451733800012","View Full Record in Web of Science")</f>
        <v>View Full Record in Web of Science</v>
      </c>
    </row>
    <row r="848" spans="1:72" x14ac:dyDescent="0.15">
      <c r="A848" t="s">
        <v>72</v>
      </c>
      <c r="B848" t="s">
        <v>16311</v>
      </c>
      <c r="C848" t="s">
        <v>74</v>
      </c>
      <c r="D848" t="s">
        <v>74</v>
      </c>
      <c r="E848" t="s">
        <v>74</v>
      </c>
      <c r="F848" t="s">
        <v>16312</v>
      </c>
      <c r="G848" t="s">
        <v>74</v>
      </c>
      <c r="H848" t="s">
        <v>74</v>
      </c>
      <c r="I848" t="s">
        <v>16313</v>
      </c>
      <c r="J848" t="s">
        <v>16314</v>
      </c>
      <c r="K848" t="s">
        <v>74</v>
      </c>
      <c r="L848" t="s">
        <v>74</v>
      </c>
      <c r="M848" t="s">
        <v>78</v>
      </c>
      <c r="N848" t="s">
        <v>79</v>
      </c>
      <c r="O848" t="s">
        <v>74</v>
      </c>
      <c r="P848" t="s">
        <v>74</v>
      </c>
      <c r="Q848" t="s">
        <v>74</v>
      </c>
      <c r="R848" t="s">
        <v>74</v>
      </c>
      <c r="S848" t="s">
        <v>74</v>
      </c>
      <c r="T848" t="s">
        <v>74</v>
      </c>
      <c r="U848" t="s">
        <v>16315</v>
      </c>
      <c r="V848" t="s">
        <v>16316</v>
      </c>
      <c r="W848" t="s">
        <v>16317</v>
      </c>
      <c r="X848" t="s">
        <v>16318</v>
      </c>
      <c r="Y848" t="s">
        <v>16319</v>
      </c>
      <c r="Z848" t="s">
        <v>16320</v>
      </c>
      <c r="AA848" t="s">
        <v>16321</v>
      </c>
      <c r="AB848" t="s">
        <v>16322</v>
      </c>
      <c r="AC848" t="s">
        <v>16323</v>
      </c>
      <c r="AD848" t="s">
        <v>16324</v>
      </c>
      <c r="AE848" t="s">
        <v>16325</v>
      </c>
      <c r="AF848" t="s">
        <v>74</v>
      </c>
      <c r="AG848">
        <v>39</v>
      </c>
      <c r="AH848">
        <v>80</v>
      </c>
      <c r="AI848">
        <v>85</v>
      </c>
      <c r="AJ848">
        <v>4</v>
      </c>
      <c r="AK848">
        <v>63</v>
      </c>
      <c r="AL848" t="s">
        <v>7926</v>
      </c>
      <c r="AM848" t="s">
        <v>4035</v>
      </c>
      <c r="AN848" t="s">
        <v>7927</v>
      </c>
      <c r="AO848" t="s">
        <v>16326</v>
      </c>
      <c r="AP848" t="s">
        <v>74</v>
      </c>
      <c r="AQ848" t="s">
        <v>74</v>
      </c>
      <c r="AR848" t="s">
        <v>16327</v>
      </c>
      <c r="AS848" t="s">
        <v>16328</v>
      </c>
      <c r="AT848" t="s">
        <v>14661</v>
      </c>
      <c r="AU848">
        <v>2018</v>
      </c>
      <c r="AV848">
        <v>4</v>
      </c>
      <c r="AW848">
        <v>11</v>
      </c>
      <c r="AX848" t="s">
        <v>74</v>
      </c>
      <c r="AY848" t="s">
        <v>74</v>
      </c>
      <c r="AZ848" t="s">
        <v>74</v>
      </c>
      <c r="BA848" t="s">
        <v>74</v>
      </c>
      <c r="BB848" t="s">
        <v>74</v>
      </c>
      <c r="BC848" t="s">
        <v>74</v>
      </c>
      <c r="BD848" t="s">
        <v>16329</v>
      </c>
      <c r="BE848" t="s">
        <v>16330</v>
      </c>
      <c r="BF848" t="str">
        <f>HYPERLINK("http://dx.doi.org/10.1126/sciadv.aat9744","http://dx.doi.org/10.1126/sciadv.aat9744")</f>
        <v>http://dx.doi.org/10.1126/sciadv.aat9744</v>
      </c>
      <c r="BG848" t="s">
        <v>74</v>
      </c>
      <c r="BH848" t="s">
        <v>74</v>
      </c>
      <c r="BI848">
        <v>6</v>
      </c>
      <c r="BJ848" t="s">
        <v>855</v>
      </c>
      <c r="BK848" t="s">
        <v>101</v>
      </c>
      <c r="BL848" t="s">
        <v>856</v>
      </c>
      <c r="BM848" t="s">
        <v>16331</v>
      </c>
      <c r="BN848">
        <v>30498779</v>
      </c>
      <c r="BO848" t="s">
        <v>221</v>
      </c>
      <c r="BP848" t="s">
        <v>74</v>
      </c>
      <c r="BQ848" t="s">
        <v>74</v>
      </c>
      <c r="BR848" t="s">
        <v>104</v>
      </c>
      <c r="BS848" t="s">
        <v>16332</v>
      </c>
      <c r="BT848" t="str">
        <f>HYPERLINK("https%3A%2F%2Fwww.webofscience.com%2Fwos%2Fwoscc%2Ffull-record%2FWOS:000452212000026","View Full Record in Web of Science")</f>
        <v>View Full Record in Web of Science</v>
      </c>
    </row>
    <row r="849" spans="1:72" x14ac:dyDescent="0.15">
      <c r="A849" t="s">
        <v>72</v>
      </c>
      <c r="B849" t="s">
        <v>16333</v>
      </c>
      <c r="C849" t="s">
        <v>74</v>
      </c>
      <c r="D849" t="s">
        <v>74</v>
      </c>
      <c r="E849" t="s">
        <v>74</v>
      </c>
      <c r="F849" t="s">
        <v>16334</v>
      </c>
      <c r="G849" t="s">
        <v>74</v>
      </c>
      <c r="H849" t="s">
        <v>74</v>
      </c>
      <c r="I849" t="s">
        <v>16335</v>
      </c>
      <c r="J849" t="s">
        <v>7540</v>
      </c>
      <c r="K849" t="s">
        <v>74</v>
      </c>
      <c r="L849" t="s">
        <v>74</v>
      </c>
      <c r="M849" t="s">
        <v>78</v>
      </c>
      <c r="N849" t="s">
        <v>79</v>
      </c>
      <c r="O849" t="s">
        <v>74</v>
      </c>
      <c r="P849" t="s">
        <v>74</v>
      </c>
      <c r="Q849" t="s">
        <v>74</v>
      </c>
      <c r="R849" t="s">
        <v>74</v>
      </c>
      <c r="S849" t="s">
        <v>74</v>
      </c>
      <c r="T849" t="s">
        <v>74</v>
      </c>
      <c r="U849" t="s">
        <v>16336</v>
      </c>
      <c r="V849" t="s">
        <v>16337</v>
      </c>
      <c r="W849" t="s">
        <v>16338</v>
      </c>
      <c r="X849" t="s">
        <v>16339</v>
      </c>
      <c r="Y849" t="s">
        <v>16340</v>
      </c>
      <c r="Z849" t="s">
        <v>16341</v>
      </c>
      <c r="AA849" t="s">
        <v>16342</v>
      </c>
      <c r="AB849" t="s">
        <v>16343</v>
      </c>
      <c r="AC849" t="s">
        <v>16344</v>
      </c>
      <c r="AD849" t="s">
        <v>16345</v>
      </c>
      <c r="AE849" t="s">
        <v>16346</v>
      </c>
      <c r="AF849" t="s">
        <v>74</v>
      </c>
      <c r="AG849">
        <v>58</v>
      </c>
      <c r="AH849">
        <v>7</v>
      </c>
      <c r="AI849">
        <v>9</v>
      </c>
      <c r="AJ849">
        <v>2</v>
      </c>
      <c r="AK849">
        <v>88</v>
      </c>
      <c r="AL849" t="s">
        <v>2519</v>
      </c>
      <c r="AM849" t="s">
        <v>2520</v>
      </c>
      <c r="AN849" t="s">
        <v>3313</v>
      </c>
      <c r="AO849" t="s">
        <v>7552</v>
      </c>
      <c r="AP849" t="s">
        <v>7553</v>
      </c>
      <c r="AQ849" t="s">
        <v>74</v>
      </c>
      <c r="AR849" t="s">
        <v>7554</v>
      </c>
      <c r="AS849" t="s">
        <v>7555</v>
      </c>
      <c r="AT849" t="s">
        <v>16131</v>
      </c>
      <c r="AU849">
        <v>2018</v>
      </c>
      <c r="AV849">
        <v>640</v>
      </c>
      <c r="AW849" t="s">
        <v>74</v>
      </c>
      <c r="AX849" t="s">
        <v>74</v>
      </c>
      <c r="AY849" t="s">
        <v>74</v>
      </c>
      <c r="AZ849" t="s">
        <v>74</v>
      </c>
      <c r="BA849" t="s">
        <v>74</v>
      </c>
      <c r="BB849">
        <v>284</v>
      </c>
      <c r="BC849">
        <v>292</v>
      </c>
      <c r="BD849" t="s">
        <v>74</v>
      </c>
      <c r="BE849" t="s">
        <v>16347</v>
      </c>
      <c r="BF849" t="str">
        <f>HYPERLINK("http://dx.doi.org/10.1016/j.scitotenv.2018.05.311","http://dx.doi.org/10.1016/j.scitotenv.2018.05.311")</f>
        <v>http://dx.doi.org/10.1016/j.scitotenv.2018.05.311</v>
      </c>
      <c r="BG849" t="s">
        <v>74</v>
      </c>
      <c r="BH849" t="s">
        <v>74</v>
      </c>
      <c r="BI849">
        <v>9</v>
      </c>
      <c r="BJ849" t="s">
        <v>798</v>
      </c>
      <c r="BK849" t="s">
        <v>101</v>
      </c>
      <c r="BL849" t="s">
        <v>799</v>
      </c>
      <c r="BM849" t="s">
        <v>16348</v>
      </c>
      <c r="BN849">
        <v>29859444</v>
      </c>
      <c r="BO849" t="s">
        <v>74</v>
      </c>
      <c r="BP849" t="s">
        <v>74</v>
      </c>
      <c r="BQ849" t="s">
        <v>74</v>
      </c>
      <c r="BR849" t="s">
        <v>104</v>
      </c>
      <c r="BS849" t="s">
        <v>16349</v>
      </c>
      <c r="BT849" t="str">
        <f>HYPERLINK("https%3A%2F%2Fwww.webofscience.com%2Fwos%2Fwoscc%2Ffull-record%2FWOS:000438408800031","View Full Record in Web of Science")</f>
        <v>View Full Record in Web of Science</v>
      </c>
    </row>
    <row r="850" spans="1:72" x14ac:dyDescent="0.15">
      <c r="A850" t="s">
        <v>72</v>
      </c>
      <c r="B850" t="s">
        <v>16350</v>
      </c>
      <c r="C850" t="s">
        <v>74</v>
      </c>
      <c r="D850" t="s">
        <v>74</v>
      </c>
      <c r="E850" t="s">
        <v>74</v>
      </c>
      <c r="F850" t="s">
        <v>16351</v>
      </c>
      <c r="G850" t="s">
        <v>74</v>
      </c>
      <c r="H850" t="s">
        <v>74</v>
      </c>
      <c r="I850" t="s">
        <v>16352</v>
      </c>
      <c r="J850" t="s">
        <v>10099</v>
      </c>
      <c r="K850" t="s">
        <v>74</v>
      </c>
      <c r="L850" t="s">
        <v>74</v>
      </c>
      <c r="M850" t="s">
        <v>78</v>
      </c>
      <c r="N850" t="s">
        <v>79</v>
      </c>
      <c r="O850" t="s">
        <v>74</v>
      </c>
      <c r="P850" t="s">
        <v>74</v>
      </c>
      <c r="Q850" t="s">
        <v>74</v>
      </c>
      <c r="R850" t="s">
        <v>74</v>
      </c>
      <c r="S850" t="s">
        <v>74</v>
      </c>
      <c r="T850" t="s">
        <v>16353</v>
      </c>
      <c r="U850" t="s">
        <v>16354</v>
      </c>
      <c r="V850" t="s">
        <v>16355</v>
      </c>
      <c r="W850" t="s">
        <v>16356</v>
      </c>
      <c r="X850" t="s">
        <v>16357</v>
      </c>
      <c r="Y850" t="s">
        <v>16358</v>
      </c>
      <c r="Z850" t="s">
        <v>16359</v>
      </c>
      <c r="AA850" t="s">
        <v>16360</v>
      </c>
      <c r="AB850" t="s">
        <v>16361</v>
      </c>
      <c r="AC850" t="s">
        <v>16362</v>
      </c>
      <c r="AD850" t="s">
        <v>16363</v>
      </c>
      <c r="AE850" t="s">
        <v>16364</v>
      </c>
      <c r="AF850" t="s">
        <v>74</v>
      </c>
      <c r="AG850">
        <v>55</v>
      </c>
      <c r="AH850">
        <v>17</v>
      </c>
      <c r="AI850">
        <v>17</v>
      </c>
      <c r="AJ850">
        <v>1</v>
      </c>
      <c r="AK850">
        <v>15</v>
      </c>
      <c r="AL850" t="s">
        <v>4010</v>
      </c>
      <c r="AM850" t="s">
        <v>4011</v>
      </c>
      <c r="AN850" t="s">
        <v>4012</v>
      </c>
      <c r="AO850" t="s">
        <v>74</v>
      </c>
      <c r="AP850" t="s">
        <v>10112</v>
      </c>
      <c r="AQ850" t="s">
        <v>74</v>
      </c>
      <c r="AR850" t="s">
        <v>10113</v>
      </c>
      <c r="AS850" t="s">
        <v>10114</v>
      </c>
      <c r="AT850" t="s">
        <v>14661</v>
      </c>
      <c r="AU850">
        <v>2018</v>
      </c>
      <c r="AV850">
        <v>18</v>
      </c>
      <c r="AW850">
        <v>11</v>
      </c>
      <c r="AX850" t="s">
        <v>74</v>
      </c>
      <c r="AY850" t="s">
        <v>74</v>
      </c>
      <c r="AZ850" t="s">
        <v>74</v>
      </c>
      <c r="BA850" t="s">
        <v>74</v>
      </c>
      <c r="BB850" t="s">
        <v>74</v>
      </c>
      <c r="BC850" t="s">
        <v>74</v>
      </c>
      <c r="BD850">
        <v>4063</v>
      </c>
      <c r="BE850" t="s">
        <v>16365</v>
      </c>
      <c r="BF850" t="str">
        <f>HYPERLINK("http://dx.doi.org/10.3390/s18114063","http://dx.doi.org/10.3390/s18114063")</f>
        <v>http://dx.doi.org/10.3390/s18114063</v>
      </c>
      <c r="BG850" t="s">
        <v>74</v>
      </c>
      <c r="BH850" t="s">
        <v>74</v>
      </c>
      <c r="BI850">
        <v>18</v>
      </c>
      <c r="BJ850" t="s">
        <v>10116</v>
      </c>
      <c r="BK850" t="s">
        <v>101</v>
      </c>
      <c r="BL850" t="s">
        <v>10117</v>
      </c>
      <c r="BM850" t="s">
        <v>16366</v>
      </c>
      <c r="BN850">
        <v>30469351</v>
      </c>
      <c r="BO850" t="s">
        <v>285</v>
      </c>
      <c r="BP850" t="s">
        <v>74</v>
      </c>
      <c r="BQ850" t="s">
        <v>74</v>
      </c>
      <c r="BR850" t="s">
        <v>104</v>
      </c>
      <c r="BS850" t="s">
        <v>16367</v>
      </c>
      <c r="BT850" t="str">
        <f>HYPERLINK("https%3A%2F%2Fwww.webofscience.com%2Fwos%2Fwoscc%2Ffull-record%2FWOS:000451598900473","View Full Record in Web of Science")</f>
        <v>View Full Record in Web of Science</v>
      </c>
    </row>
    <row r="851" spans="1:72" x14ac:dyDescent="0.15">
      <c r="A851" t="s">
        <v>72</v>
      </c>
      <c r="B851" t="s">
        <v>16368</v>
      </c>
      <c r="C851" t="s">
        <v>74</v>
      </c>
      <c r="D851" t="s">
        <v>74</v>
      </c>
      <c r="E851" t="s">
        <v>74</v>
      </c>
      <c r="F851" t="s">
        <v>16369</v>
      </c>
      <c r="G851" t="s">
        <v>74</v>
      </c>
      <c r="H851" t="s">
        <v>74</v>
      </c>
      <c r="I851" t="s">
        <v>16370</v>
      </c>
      <c r="J851" t="s">
        <v>16371</v>
      </c>
      <c r="K851" t="s">
        <v>74</v>
      </c>
      <c r="L851" t="s">
        <v>74</v>
      </c>
      <c r="M851" t="s">
        <v>78</v>
      </c>
      <c r="N851" t="s">
        <v>79</v>
      </c>
      <c r="O851" t="s">
        <v>74</v>
      </c>
      <c r="P851" t="s">
        <v>74</v>
      </c>
      <c r="Q851" t="s">
        <v>74</v>
      </c>
      <c r="R851" t="s">
        <v>74</v>
      </c>
      <c r="S851" t="s">
        <v>74</v>
      </c>
      <c r="T851" t="s">
        <v>16372</v>
      </c>
      <c r="U851" t="s">
        <v>16373</v>
      </c>
      <c r="V851" t="s">
        <v>16374</v>
      </c>
      <c r="W851" t="s">
        <v>16375</v>
      </c>
      <c r="X851" t="s">
        <v>16376</v>
      </c>
      <c r="Y851" t="s">
        <v>16377</v>
      </c>
      <c r="Z851" t="s">
        <v>16378</v>
      </c>
      <c r="AA851" t="s">
        <v>16379</v>
      </c>
      <c r="AB851" t="s">
        <v>16380</v>
      </c>
      <c r="AC851" t="s">
        <v>16381</v>
      </c>
      <c r="AD851" t="s">
        <v>16382</v>
      </c>
      <c r="AE851" t="s">
        <v>16383</v>
      </c>
      <c r="AF851" t="s">
        <v>74</v>
      </c>
      <c r="AG851">
        <v>27</v>
      </c>
      <c r="AH851">
        <v>12</v>
      </c>
      <c r="AI851">
        <v>12</v>
      </c>
      <c r="AJ851">
        <v>0</v>
      </c>
      <c r="AK851">
        <v>2</v>
      </c>
      <c r="AL851" t="s">
        <v>1079</v>
      </c>
      <c r="AM851" t="s">
        <v>4862</v>
      </c>
      <c r="AN851" t="s">
        <v>4863</v>
      </c>
      <c r="AO851" t="s">
        <v>16384</v>
      </c>
      <c r="AP851" t="s">
        <v>16385</v>
      </c>
      <c r="AQ851" t="s">
        <v>74</v>
      </c>
      <c r="AR851" t="s">
        <v>16386</v>
      </c>
      <c r="AS851" t="s">
        <v>16387</v>
      </c>
      <c r="AT851" t="s">
        <v>14661</v>
      </c>
      <c r="AU851">
        <v>2018</v>
      </c>
      <c r="AV851">
        <v>293</v>
      </c>
      <c r="AW851">
        <v>11</v>
      </c>
      <c r="AX851" t="s">
        <v>74</v>
      </c>
      <c r="AY851" t="s">
        <v>74</v>
      </c>
      <c r="AZ851" t="s">
        <v>74</v>
      </c>
      <c r="BA851" t="s">
        <v>74</v>
      </c>
      <c r="BB851" t="s">
        <v>74</v>
      </c>
      <c r="BC851" t="s">
        <v>74</v>
      </c>
      <c r="BD851">
        <v>154</v>
      </c>
      <c r="BE851" t="s">
        <v>16388</v>
      </c>
      <c r="BF851" t="str">
        <f>HYPERLINK("http://dx.doi.org/10.1007/s11207-018-1375-5","http://dx.doi.org/10.1007/s11207-018-1375-5")</f>
        <v>http://dx.doi.org/10.1007/s11207-018-1375-5</v>
      </c>
      <c r="BG851" t="s">
        <v>74</v>
      </c>
      <c r="BH851" t="s">
        <v>74</v>
      </c>
      <c r="BI851">
        <v>10</v>
      </c>
      <c r="BJ851" t="s">
        <v>2351</v>
      </c>
      <c r="BK851" t="s">
        <v>101</v>
      </c>
      <c r="BL851" t="s">
        <v>2351</v>
      </c>
      <c r="BM851" t="s">
        <v>16389</v>
      </c>
      <c r="BN851" t="s">
        <v>74</v>
      </c>
      <c r="BO851" t="s">
        <v>3893</v>
      </c>
      <c r="BP851" t="s">
        <v>74</v>
      </c>
      <c r="BQ851" t="s">
        <v>74</v>
      </c>
      <c r="BR851" t="s">
        <v>104</v>
      </c>
      <c r="BS851" t="s">
        <v>16390</v>
      </c>
      <c r="BT851" t="str">
        <f>HYPERLINK("https%3A%2F%2Fwww.webofscience.com%2Fwos%2Fwoscc%2Ffull-record%2FWOS:000451190100001","View Full Record in Web of Science")</f>
        <v>View Full Record in Web of Science</v>
      </c>
    </row>
    <row r="852" spans="1:72" x14ac:dyDescent="0.15">
      <c r="A852" t="s">
        <v>72</v>
      </c>
      <c r="B852" t="s">
        <v>16391</v>
      </c>
      <c r="C852" t="s">
        <v>74</v>
      </c>
      <c r="D852" t="s">
        <v>74</v>
      </c>
      <c r="E852" t="s">
        <v>74</v>
      </c>
      <c r="F852" t="s">
        <v>16392</v>
      </c>
      <c r="G852" t="s">
        <v>74</v>
      </c>
      <c r="H852" t="s">
        <v>74</v>
      </c>
      <c r="I852" t="s">
        <v>16393</v>
      </c>
      <c r="J852" t="s">
        <v>16394</v>
      </c>
      <c r="K852" t="s">
        <v>74</v>
      </c>
      <c r="L852" t="s">
        <v>74</v>
      </c>
      <c r="M852" t="s">
        <v>78</v>
      </c>
      <c r="N852" t="s">
        <v>79</v>
      </c>
      <c r="O852" t="s">
        <v>74</v>
      </c>
      <c r="P852" t="s">
        <v>74</v>
      </c>
      <c r="Q852" t="s">
        <v>74</v>
      </c>
      <c r="R852" t="s">
        <v>74</v>
      </c>
      <c r="S852" t="s">
        <v>74</v>
      </c>
      <c r="T852" t="s">
        <v>16395</v>
      </c>
      <c r="U852" t="s">
        <v>16396</v>
      </c>
      <c r="V852" t="s">
        <v>16397</v>
      </c>
      <c r="W852" t="s">
        <v>16398</v>
      </c>
      <c r="X852" t="s">
        <v>16399</v>
      </c>
      <c r="Y852" t="s">
        <v>16400</v>
      </c>
      <c r="Z852" t="s">
        <v>16401</v>
      </c>
      <c r="AA852" t="s">
        <v>16402</v>
      </c>
      <c r="AB852" t="s">
        <v>16403</v>
      </c>
      <c r="AC852" t="s">
        <v>16404</v>
      </c>
      <c r="AD852" t="s">
        <v>16405</v>
      </c>
      <c r="AE852" t="s">
        <v>16406</v>
      </c>
      <c r="AF852" t="s">
        <v>74</v>
      </c>
      <c r="AG852">
        <v>69</v>
      </c>
      <c r="AH852">
        <v>9</v>
      </c>
      <c r="AI852">
        <v>9</v>
      </c>
      <c r="AJ852">
        <v>0</v>
      </c>
      <c r="AK852">
        <v>11</v>
      </c>
      <c r="AL852" t="s">
        <v>16407</v>
      </c>
      <c r="AM852" t="s">
        <v>16408</v>
      </c>
      <c r="AN852" t="s">
        <v>16409</v>
      </c>
      <c r="AO852" t="s">
        <v>16410</v>
      </c>
      <c r="AP852" t="s">
        <v>16411</v>
      </c>
      <c r="AQ852" t="s">
        <v>74</v>
      </c>
      <c r="AR852" t="s">
        <v>16412</v>
      </c>
      <c r="AS852" t="s">
        <v>16413</v>
      </c>
      <c r="AT852" t="s">
        <v>14661</v>
      </c>
      <c r="AU852">
        <v>2018</v>
      </c>
      <c r="AV852">
        <v>134</v>
      </c>
      <c r="AW852" t="s">
        <v>16414</v>
      </c>
      <c r="AX852" t="s">
        <v>74</v>
      </c>
      <c r="AY852" t="s">
        <v>74</v>
      </c>
      <c r="AZ852" t="s">
        <v>74</v>
      </c>
      <c r="BA852" t="s">
        <v>74</v>
      </c>
      <c r="BB852">
        <v>1245</v>
      </c>
      <c r="BC852">
        <v>1256</v>
      </c>
      <c r="BD852" t="s">
        <v>74</v>
      </c>
      <c r="BE852" t="s">
        <v>16415</v>
      </c>
      <c r="BF852" t="str">
        <f>HYPERLINK("http://dx.doi.org/10.1007/s00704-017-2330-3","http://dx.doi.org/10.1007/s00704-017-2330-3")</f>
        <v>http://dx.doi.org/10.1007/s00704-017-2330-3</v>
      </c>
      <c r="BG852" t="s">
        <v>74</v>
      </c>
      <c r="BH852" t="s">
        <v>74</v>
      </c>
      <c r="BI852">
        <v>12</v>
      </c>
      <c r="BJ852" t="s">
        <v>3037</v>
      </c>
      <c r="BK852" t="s">
        <v>101</v>
      </c>
      <c r="BL852" t="s">
        <v>3037</v>
      </c>
      <c r="BM852" t="s">
        <v>16416</v>
      </c>
      <c r="BN852" t="s">
        <v>74</v>
      </c>
      <c r="BO852" t="s">
        <v>74</v>
      </c>
      <c r="BP852" t="s">
        <v>74</v>
      </c>
      <c r="BQ852" t="s">
        <v>74</v>
      </c>
      <c r="BR852" t="s">
        <v>104</v>
      </c>
      <c r="BS852" t="s">
        <v>16417</v>
      </c>
      <c r="BT852" t="str">
        <f>HYPERLINK("https%3A%2F%2Fwww.webofscience.com%2Fwos%2Fwoscc%2Ffull-record%2FWOS:000448861400035","View Full Record in Web of Science")</f>
        <v>View Full Record in Web of Science</v>
      </c>
    </row>
    <row r="853" spans="1:72" x14ac:dyDescent="0.15">
      <c r="A853" t="s">
        <v>72</v>
      </c>
      <c r="B853" t="s">
        <v>16418</v>
      </c>
      <c r="C853" t="s">
        <v>74</v>
      </c>
      <c r="D853" t="s">
        <v>74</v>
      </c>
      <c r="E853" t="s">
        <v>74</v>
      </c>
      <c r="F853" t="s">
        <v>16419</v>
      </c>
      <c r="G853" t="s">
        <v>74</v>
      </c>
      <c r="H853" t="s">
        <v>74</v>
      </c>
      <c r="I853" t="s">
        <v>16420</v>
      </c>
      <c r="J853" t="s">
        <v>9933</v>
      </c>
      <c r="K853" t="s">
        <v>74</v>
      </c>
      <c r="L853" t="s">
        <v>74</v>
      </c>
      <c r="M853" t="s">
        <v>78</v>
      </c>
      <c r="N853" t="s">
        <v>1003</v>
      </c>
      <c r="O853" t="s">
        <v>74</v>
      </c>
      <c r="P853" t="s">
        <v>74</v>
      </c>
      <c r="Q853" t="s">
        <v>74</v>
      </c>
      <c r="R853" t="s">
        <v>74</v>
      </c>
      <c r="S853" t="s">
        <v>74</v>
      </c>
      <c r="T853" t="s">
        <v>16421</v>
      </c>
      <c r="U853" t="s">
        <v>16422</v>
      </c>
      <c r="V853" t="s">
        <v>16423</v>
      </c>
      <c r="W853" t="s">
        <v>16424</v>
      </c>
      <c r="X853" t="s">
        <v>16425</v>
      </c>
      <c r="Y853" t="s">
        <v>16426</v>
      </c>
      <c r="Z853" t="s">
        <v>16427</v>
      </c>
      <c r="AA853" t="s">
        <v>16428</v>
      </c>
      <c r="AB853" t="s">
        <v>16429</v>
      </c>
      <c r="AC853" t="s">
        <v>16430</v>
      </c>
      <c r="AD853" t="s">
        <v>16431</v>
      </c>
      <c r="AE853" t="s">
        <v>16432</v>
      </c>
      <c r="AF853" t="s">
        <v>74</v>
      </c>
      <c r="AG853">
        <v>132</v>
      </c>
      <c r="AH853">
        <v>19</v>
      </c>
      <c r="AI853">
        <v>22</v>
      </c>
      <c r="AJ853">
        <v>4</v>
      </c>
      <c r="AK853">
        <v>60</v>
      </c>
      <c r="AL853" t="s">
        <v>4010</v>
      </c>
      <c r="AM853" t="s">
        <v>4011</v>
      </c>
      <c r="AN853" t="s">
        <v>4012</v>
      </c>
      <c r="AO853" t="s">
        <v>74</v>
      </c>
      <c r="AP853" t="s">
        <v>9945</v>
      </c>
      <c r="AQ853" t="s">
        <v>74</v>
      </c>
      <c r="AR853" t="s">
        <v>9946</v>
      </c>
      <c r="AS853" t="s">
        <v>9947</v>
      </c>
      <c r="AT853" t="s">
        <v>14661</v>
      </c>
      <c r="AU853">
        <v>2018</v>
      </c>
      <c r="AV853">
        <v>9</v>
      </c>
      <c r="AW853">
        <v>11</v>
      </c>
      <c r="AX853" t="s">
        <v>74</v>
      </c>
      <c r="AY853" t="s">
        <v>74</v>
      </c>
      <c r="AZ853" t="s">
        <v>74</v>
      </c>
      <c r="BA853" t="s">
        <v>74</v>
      </c>
      <c r="BB853" t="s">
        <v>74</v>
      </c>
      <c r="BC853" t="s">
        <v>74</v>
      </c>
      <c r="BD853">
        <v>439</v>
      </c>
      <c r="BE853" t="s">
        <v>16433</v>
      </c>
      <c r="BF853" t="str">
        <f>HYPERLINK("http://dx.doi.org/10.3390/atmos9110439","http://dx.doi.org/10.3390/atmos9110439")</f>
        <v>http://dx.doi.org/10.3390/atmos9110439</v>
      </c>
      <c r="BG853" t="s">
        <v>74</v>
      </c>
      <c r="BH853" t="s">
        <v>74</v>
      </c>
      <c r="BI853">
        <v>24</v>
      </c>
      <c r="BJ853" t="s">
        <v>2635</v>
      </c>
      <c r="BK853" t="s">
        <v>101</v>
      </c>
      <c r="BL853" t="s">
        <v>2636</v>
      </c>
      <c r="BM853" t="s">
        <v>16434</v>
      </c>
      <c r="BN853" t="s">
        <v>74</v>
      </c>
      <c r="BO853" t="s">
        <v>949</v>
      </c>
      <c r="BP853" t="s">
        <v>74</v>
      </c>
      <c r="BQ853" t="s">
        <v>74</v>
      </c>
      <c r="BR853" t="s">
        <v>104</v>
      </c>
      <c r="BS853" t="s">
        <v>16435</v>
      </c>
      <c r="BT853" t="str">
        <f>HYPERLINK("https%3A%2F%2Fwww.webofscience.com%2Fwos%2Fwoscc%2Ffull-record%2FWOS:000451306900026","View Full Record in Web of Science")</f>
        <v>View Full Record in Web of Science</v>
      </c>
    </row>
    <row r="854" spans="1:72" x14ac:dyDescent="0.15">
      <c r="A854" t="s">
        <v>72</v>
      </c>
      <c r="B854" t="s">
        <v>16436</v>
      </c>
      <c r="C854" t="s">
        <v>74</v>
      </c>
      <c r="D854" t="s">
        <v>74</v>
      </c>
      <c r="E854" t="s">
        <v>74</v>
      </c>
      <c r="F854" t="s">
        <v>16437</v>
      </c>
      <c r="G854" t="s">
        <v>74</v>
      </c>
      <c r="H854" t="s">
        <v>74</v>
      </c>
      <c r="I854" t="s">
        <v>16438</v>
      </c>
      <c r="J854" t="s">
        <v>9933</v>
      </c>
      <c r="K854" t="s">
        <v>74</v>
      </c>
      <c r="L854" t="s">
        <v>74</v>
      </c>
      <c r="M854" t="s">
        <v>78</v>
      </c>
      <c r="N854" t="s">
        <v>79</v>
      </c>
      <c r="O854" t="s">
        <v>74</v>
      </c>
      <c r="P854" t="s">
        <v>74</v>
      </c>
      <c r="Q854" t="s">
        <v>74</v>
      </c>
      <c r="R854" t="s">
        <v>74</v>
      </c>
      <c r="S854" t="s">
        <v>74</v>
      </c>
      <c r="T854" t="s">
        <v>16439</v>
      </c>
      <c r="U854" t="s">
        <v>16440</v>
      </c>
      <c r="V854" t="s">
        <v>16441</v>
      </c>
      <c r="W854" t="s">
        <v>16442</v>
      </c>
      <c r="X854" t="s">
        <v>16443</v>
      </c>
      <c r="Y854" t="s">
        <v>16444</v>
      </c>
      <c r="Z854" t="s">
        <v>16445</v>
      </c>
      <c r="AA854" t="s">
        <v>16446</v>
      </c>
      <c r="AB854" t="s">
        <v>16447</v>
      </c>
      <c r="AC854" t="s">
        <v>16448</v>
      </c>
      <c r="AD854" t="s">
        <v>16449</v>
      </c>
      <c r="AE854" t="s">
        <v>16450</v>
      </c>
      <c r="AF854" t="s">
        <v>74</v>
      </c>
      <c r="AG854">
        <v>30</v>
      </c>
      <c r="AH854">
        <v>21</v>
      </c>
      <c r="AI854">
        <v>22</v>
      </c>
      <c r="AJ854">
        <v>1</v>
      </c>
      <c r="AK854">
        <v>3</v>
      </c>
      <c r="AL854" t="s">
        <v>4010</v>
      </c>
      <c r="AM854" t="s">
        <v>4011</v>
      </c>
      <c r="AN854" t="s">
        <v>4012</v>
      </c>
      <c r="AO854" t="s">
        <v>9945</v>
      </c>
      <c r="AP854" t="s">
        <v>74</v>
      </c>
      <c r="AQ854" t="s">
        <v>74</v>
      </c>
      <c r="AR854" t="s">
        <v>9946</v>
      </c>
      <c r="AS854" t="s">
        <v>9947</v>
      </c>
      <c r="AT854" t="s">
        <v>14661</v>
      </c>
      <c r="AU854">
        <v>2018</v>
      </c>
      <c r="AV854">
        <v>9</v>
      </c>
      <c r="AW854">
        <v>11</v>
      </c>
      <c r="AX854" t="s">
        <v>74</v>
      </c>
      <c r="AY854" t="s">
        <v>74</v>
      </c>
      <c r="AZ854" t="s">
        <v>74</v>
      </c>
      <c r="BA854" t="s">
        <v>74</v>
      </c>
      <c r="BB854" t="s">
        <v>74</v>
      </c>
      <c r="BC854" t="s">
        <v>74</v>
      </c>
      <c r="BD854">
        <v>431</v>
      </c>
      <c r="BE854" t="s">
        <v>16451</v>
      </c>
      <c r="BF854" t="str">
        <f>HYPERLINK("http://dx.doi.org/10.3390/atmos9110431","http://dx.doi.org/10.3390/atmos9110431")</f>
        <v>http://dx.doi.org/10.3390/atmos9110431</v>
      </c>
      <c r="BG854" t="s">
        <v>74</v>
      </c>
      <c r="BH854" t="s">
        <v>74</v>
      </c>
      <c r="BI854">
        <v>19</v>
      </c>
      <c r="BJ854" t="s">
        <v>2635</v>
      </c>
      <c r="BK854" t="s">
        <v>101</v>
      </c>
      <c r="BL854" t="s">
        <v>2636</v>
      </c>
      <c r="BM854" t="s">
        <v>16434</v>
      </c>
      <c r="BN854" t="s">
        <v>74</v>
      </c>
      <c r="BO854" t="s">
        <v>131</v>
      </c>
      <c r="BP854" t="s">
        <v>74</v>
      </c>
      <c r="BQ854" t="s">
        <v>74</v>
      </c>
      <c r="BR854" t="s">
        <v>104</v>
      </c>
      <c r="BS854" t="s">
        <v>16452</v>
      </c>
      <c r="BT854" t="str">
        <f>HYPERLINK("https%3A%2F%2Fwww.webofscience.com%2Fwos%2Fwoscc%2Ffull-record%2FWOS:000451306900018","View Full Record in Web of Science")</f>
        <v>View Full Record in Web of Science</v>
      </c>
    </row>
    <row r="855" spans="1:72" x14ac:dyDescent="0.15">
      <c r="A855" t="s">
        <v>72</v>
      </c>
      <c r="B855" t="s">
        <v>16453</v>
      </c>
      <c r="C855" t="s">
        <v>74</v>
      </c>
      <c r="D855" t="s">
        <v>74</v>
      </c>
      <c r="E855" t="s">
        <v>74</v>
      </c>
      <c r="F855" t="s">
        <v>16454</v>
      </c>
      <c r="G855" t="s">
        <v>74</v>
      </c>
      <c r="H855" t="s">
        <v>74</v>
      </c>
      <c r="I855" t="s">
        <v>16455</v>
      </c>
      <c r="J855" t="s">
        <v>16456</v>
      </c>
      <c r="K855" t="s">
        <v>74</v>
      </c>
      <c r="L855" t="s">
        <v>74</v>
      </c>
      <c r="M855" t="s">
        <v>78</v>
      </c>
      <c r="N855" t="s">
        <v>5330</v>
      </c>
      <c r="O855" t="s">
        <v>16457</v>
      </c>
      <c r="P855" t="s">
        <v>16458</v>
      </c>
      <c r="Q855" t="s">
        <v>16459</v>
      </c>
      <c r="R855" t="s">
        <v>74</v>
      </c>
      <c r="S855" t="s">
        <v>74</v>
      </c>
      <c r="T855" t="s">
        <v>16460</v>
      </c>
      <c r="U855" t="s">
        <v>74</v>
      </c>
      <c r="V855" t="s">
        <v>16461</v>
      </c>
      <c r="W855" t="s">
        <v>16462</v>
      </c>
      <c r="X855" t="s">
        <v>16463</v>
      </c>
      <c r="Y855" t="s">
        <v>16464</v>
      </c>
      <c r="Z855" t="s">
        <v>16465</v>
      </c>
      <c r="AA855" t="s">
        <v>16466</v>
      </c>
      <c r="AB855" t="s">
        <v>16467</v>
      </c>
      <c r="AC855" t="s">
        <v>5695</v>
      </c>
      <c r="AD855" t="s">
        <v>5696</v>
      </c>
      <c r="AE855" t="s">
        <v>16468</v>
      </c>
      <c r="AF855" t="s">
        <v>74</v>
      </c>
      <c r="AG855">
        <v>24</v>
      </c>
      <c r="AH855">
        <v>10</v>
      </c>
      <c r="AI855">
        <v>11</v>
      </c>
      <c r="AJ855">
        <v>0</v>
      </c>
      <c r="AK855">
        <v>23</v>
      </c>
      <c r="AL855" t="s">
        <v>11140</v>
      </c>
      <c r="AM855" t="s">
        <v>3008</v>
      </c>
      <c r="AN855" t="s">
        <v>11141</v>
      </c>
      <c r="AO855" t="s">
        <v>16469</v>
      </c>
      <c r="AP855" t="s">
        <v>16470</v>
      </c>
      <c r="AQ855" t="s">
        <v>74</v>
      </c>
      <c r="AR855" t="s">
        <v>16471</v>
      </c>
      <c r="AS855" t="s">
        <v>16472</v>
      </c>
      <c r="AT855" t="s">
        <v>14661</v>
      </c>
      <c r="AU855">
        <v>2018</v>
      </c>
      <c r="AV855">
        <v>232</v>
      </c>
      <c r="AW855">
        <v>14</v>
      </c>
      <c r="AX855" t="s">
        <v>74</v>
      </c>
      <c r="AY855" t="s">
        <v>74</v>
      </c>
      <c r="AZ855" t="s">
        <v>4266</v>
      </c>
      <c r="BA855" t="s">
        <v>74</v>
      </c>
      <c r="BB855">
        <v>2598</v>
      </c>
      <c r="BC855">
        <v>2614</v>
      </c>
      <c r="BD855" t="s">
        <v>74</v>
      </c>
      <c r="BE855" t="s">
        <v>16473</v>
      </c>
      <c r="BF855" t="str">
        <f>HYPERLINK("http://dx.doi.org/10.1177/0954410018797855","http://dx.doi.org/10.1177/0954410018797855")</f>
        <v>http://dx.doi.org/10.1177/0954410018797855</v>
      </c>
      <c r="BG855" t="s">
        <v>74</v>
      </c>
      <c r="BH855" t="s">
        <v>74</v>
      </c>
      <c r="BI855">
        <v>17</v>
      </c>
      <c r="BJ855" t="s">
        <v>16474</v>
      </c>
      <c r="BK855" t="s">
        <v>5354</v>
      </c>
      <c r="BL855" t="s">
        <v>1241</v>
      </c>
      <c r="BM855" t="s">
        <v>16475</v>
      </c>
      <c r="BN855" t="s">
        <v>74</v>
      </c>
      <c r="BO855" t="s">
        <v>74</v>
      </c>
      <c r="BP855" t="s">
        <v>74</v>
      </c>
      <c r="BQ855" t="s">
        <v>74</v>
      </c>
      <c r="BR855" t="s">
        <v>104</v>
      </c>
      <c r="BS855" t="s">
        <v>16476</v>
      </c>
      <c r="BT855" t="str">
        <f>HYPERLINK("https%3A%2F%2Fwww.webofscience.com%2Fwos%2Fwoscc%2Ffull-record%2FWOS:000450355700002","View Full Record in Web of Science")</f>
        <v>View Full Record in Web of Science</v>
      </c>
    </row>
    <row r="856" spans="1:72" x14ac:dyDescent="0.15">
      <c r="A856" t="s">
        <v>72</v>
      </c>
      <c r="B856" t="s">
        <v>16477</v>
      </c>
      <c r="C856" t="s">
        <v>74</v>
      </c>
      <c r="D856" t="s">
        <v>74</v>
      </c>
      <c r="E856" t="s">
        <v>74</v>
      </c>
      <c r="F856" t="s">
        <v>16478</v>
      </c>
      <c r="G856" t="s">
        <v>74</v>
      </c>
      <c r="H856" t="s">
        <v>74</v>
      </c>
      <c r="I856" t="s">
        <v>16479</v>
      </c>
      <c r="J856" t="s">
        <v>15271</v>
      </c>
      <c r="K856" t="s">
        <v>74</v>
      </c>
      <c r="L856" t="s">
        <v>74</v>
      </c>
      <c r="M856" t="s">
        <v>78</v>
      </c>
      <c r="N856" t="s">
        <v>79</v>
      </c>
      <c r="O856" t="s">
        <v>74</v>
      </c>
      <c r="P856" t="s">
        <v>74</v>
      </c>
      <c r="Q856" t="s">
        <v>74</v>
      </c>
      <c r="R856" t="s">
        <v>74</v>
      </c>
      <c r="S856" t="s">
        <v>74</v>
      </c>
      <c r="T856" t="s">
        <v>16480</v>
      </c>
      <c r="U856" t="s">
        <v>74</v>
      </c>
      <c r="V856" t="s">
        <v>16481</v>
      </c>
      <c r="W856" t="s">
        <v>16482</v>
      </c>
      <c r="X856" t="s">
        <v>16483</v>
      </c>
      <c r="Y856" t="s">
        <v>16484</v>
      </c>
      <c r="Z856" t="s">
        <v>16485</v>
      </c>
      <c r="AA856" t="s">
        <v>16486</v>
      </c>
      <c r="AB856" t="s">
        <v>74</v>
      </c>
      <c r="AC856" t="s">
        <v>16487</v>
      </c>
      <c r="AD856" t="s">
        <v>16488</v>
      </c>
      <c r="AE856" t="s">
        <v>16489</v>
      </c>
      <c r="AF856" t="s">
        <v>74</v>
      </c>
      <c r="AG856">
        <v>13</v>
      </c>
      <c r="AH856">
        <v>5</v>
      </c>
      <c r="AI856">
        <v>6</v>
      </c>
      <c r="AJ856">
        <v>2</v>
      </c>
      <c r="AK856">
        <v>23</v>
      </c>
      <c r="AL856" t="s">
        <v>5392</v>
      </c>
      <c r="AM856" t="s">
        <v>5393</v>
      </c>
      <c r="AN856" t="s">
        <v>5394</v>
      </c>
      <c r="AO856" t="s">
        <v>15283</v>
      </c>
      <c r="AP856" t="s">
        <v>15284</v>
      </c>
      <c r="AQ856" t="s">
        <v>74</v>
      </c>
      <c r="AR856" t="s">
        <v>15285</v>
      </c>
      <c r="AS856" t="s">
        <v>15286</v>
      </c>
      <c r="AT856" t="s">
        <v>14661</v>
      </c>
      <c r="AU856">
        <v>2018</v>
      </c>
      <c r="AV856">
        <v>350</v>
      </c>
      <c r="AW856">
        <v>7</v>
      </c>
      <c r="AX856" t="s">
        <v>74</v>
      </c>
      <c r="AY856" t="s">
        <v>74</v>
      </c>
      <c r="AZ856" t="s">
        <v>74</v>
      </c>
      <c r="BA856" t="s">
        <v>74</v>
      </c>
      <c r="BB856">
        <v>335</v>
      </c>
      <c r="BC856">
        <v>340</v>
      </c>
      <c r="BD856" t="s">
        <v>74</v>
      </c>
      <c r="BE856" t="s">
        <v>16490</v>
      </c>
      <c r="BF856" t="str">
        <f>HYPERLINK("http://dx.doi.org/10.1016/j.crte.2018.04.006","http://dx.doi.org/10.1016/j.crte.2018.04.006")</f>
        <v>http://dx.doi.org/10.1016/j.crte.2018.04.006</v>
      </c>
      <c r="BG856" t="s">
        <v>74</v>
      </c>
      <c r="BH856" t="s">
        <v>74</v>
      </c>
      <c r="BI856">
        <v>6</v>
      </c>
      <c r="BJ856" t="s">
        <v>884</v>
      </c>
      <c r="BK856" t="s">
        <v>101</v>
      </c>
      <c r="BL856" t="s">
        <v>528</v>
      </c>
      <c r="BM856" t="s">
        <v>15288</v>
      </c>
      <c r="BN856" t="s">
        <v>74</v>
      </c>
      <c r="BO856" t="s">
        <v>1089</v>
      </c>
      <c r="BP856" t="s">
        <v>74</v>
      </c>
      <c r="BQ856" t="s">
        <v>74</v>
      </c>
      <c r="BR856" t="s">
        <v>104</v>
      </c>
      <c r="BS856" t="s">
        <v>16491</v>
      </c>
      <c r="BT856" t="str">
        <f>HYPERLINK("https%3A%2F%2Fwww.webofscience.com%2Fwos%2Fwoscc%2Ffull-record%2FWOS:000450932300002","View Full Record in Web of Science")</f>
        <v>View Full Record in Web of Science</v>
      </c>
    </row>
    <row r="857" spans="1:72" x14ac:dyDescent="0.15">
      <c r="A857" t="s">
        <v>72</v>
      </c>
      <c r="B857" t="s">
        <v>16492</v>
      </c>
      <c r="C857" t="s">
        <v>74</v>
      </c>
      <c r="D857" t="s">
        <v>74</v>
      </c>
      <c r="E857" t="s">
        <v>74</v>
      </c>
      <c r="F857" t="s">
        <v>16493</v>
      </c>
      <c r="G857" t="s">
        <v>74</v>
      </c>
      <c r="H857" t="s">
        <v>74</v>
      </c>
      <c r="I857" t="s">
        <v>16494</v>
      </c>
      <c r="J857" t="s">
        <v>15271</v>
      </c>
      <c r="K857" t="s">
        <v>74</v>
      </c>
      <c r="L857" t="s">
        <v>74</v>
      </c>
      <c r="M857" t="s">
        <v>78</v>
      </c>
      <c r="N857" t="s">
        <v>79</v>
      </c>
      <c r="O857" t="s">
        <v>74</v>
      </c>
      <c r="P857" t="s">
        <v>74</v>
      </c>
      <c r="Q857" t="s">
        <v>74</v>
      </c>
      <c r="R857" t="s">
        <v>74</v>
      </c>
      <c r="S857" t="s">
        <v>74</v>
      </c>
      <c r="T857" t="s">
        <v>16495</v>
      </c>
      <c r="U857" t="s">
        <v>74</v>
      </c>
      <c r="V857" t="s">
        <v>16496</v>
      </c>
      <c r="W857" t="s">
        <v>16497</v>
      </c>
      <c r="X857" t="s">
        <v>16498</v>
      </c>
      <c r="Y857" t="s">
        <v>16499</v>
      </c>
      <c r="Z857" t="s">
        <v>16500</v>
      </c>
      <c r="AA857" t="s">
        <v>16501</v>
      </c>
      <c r="AB857" t="s">
        <v>74</v>
      </c>
      <c r="AC857" t="s">
        <v>74</v>
      </c>
      <c r="AD857" t="s">
        <v>74</v>
      </c>
      <c r="AE857" t="s">
        <v>74</v>
      </c>
      <c r="AF857" t="s">
        <v>74</v>
      </c>
      <c r="AG857">
        <v>0</v>
      </c>
      <c r="AH857">
        <v>1</v>
      </c>
      <c r="AI857">
        <v>1</v>
      </c>
      <c r="AJ857">
        <v>0</v>
      </c>
      <c r="AK857">
        <v>5</v>
      </c>
      <c r="AL857" t="s">
        <v>5392</v>
      </c>
      <c r="AM857" t="s">
        <v>5393</v>
      </c>
      <c r="AN857" t="s">
        <v>5394</v>
      </c>
      <c r="AO857" t="s">
        <v>15283</v>
      </c>
      <c r="AP857" t="s">
        <v>15284</v>
      </c>
      <c r="AQ857" t="s">
        <v>74</v>
      </c>
      <c r="AR857" t="s">
        <v>15285</v>
      </c>
      <c r="AS857" t="s">
        <v>15286</v>
      </c>
      <c r="AT857" t="s">
        <v>14661</v>
      </c>
      <c r="AU857">
        <v>2018</v>
      </c>
      <c r="AV857">
        <v>350</v>
      </c>
      <c r="AW857">
        <v>7</v>
      </c>
      <c r="AX857" t="s">
        <v>74</v>
      </c>
      <c r="AY857" t="s">
        <v>74</v>
      </c>
      <c r="AZ857" t="s">
        <v>74</v>
      </c>
      <c r="BA857" t="s">
        <v>74</v>
      </c>
      <c r="BB857">
        <v>341</v>
      </c>
      <c r="BC857">
        <v>346</v>
      </c>
      <c r="BD857" t="s">
        <v>74</v>
      </c>
      <c r="BE857" t="s">
        <v>16502</v>
      </c>
      <c r="BF857" t="str">
        <f>HYPERLINK("http://dx.doi.org/10.1016/j.crte.2018.07.006","http://dx.doi.org/10.1016/j.crte.2018.07.006")</f>
        <v>http://dx.doi.org/10.1016/j.crte.2018.07.006</v>
      </c>
      <c r="BG857" t="s">
        <v>74</v>
      </c>
      <c r="BH857" t="s">
        <v>74</v>
      </c>
      <c r="BI857">
        <v>6</v>
      </c>
      <c r="BJ857" t="s">
        <v>884</v>
      </c>
      <c r="BK857" t="s">
        <v>101</v>
      </c>
      <c r="BL857" t="s">
        <v>528</v>
      </c>
      <c r="BM857" t="s">
        <v>15288</v>
      </c>
      <c r="BN857" t="s">
        <v>74</v>
      </c>
      <c r="BO857" t="s">
        <v>1089</v>
      </c>
      <c r="BP857" t="s">
        <v>74</v>
      </c>
      <c r="BQ857" t="s">
        <v>74</v>
      </c>
      <c r="BR857" t="s">
        <v>104</v>
      </c>
      <c r="BS857" t="s">
        <v>16503</v>
      </c>
      <c r="BT857" t="str">
        <f>HYPERLINK("https%3A%2F%2Fwww.webofscience.com%2Fwos%2Fwoscc%2Ffull-record%2FWOS:000450932300003","View Full Record in Web of Science")</f>
        <v>View Full Record in Web of Science</v>
      </c>
    </row>
    <row r="858" spans="1:72" x14ac:dyDescent="0.15">
      <c r="A858" t="s">
        <v>72</v>
      </c>
      <c r="B858" t="s">
        <v>16504</v>
      </c>
      <c r="C858" t="s">
        <v>74</v>
      </c>
      <c r="D858" t="s">
        <v>74</v>
      </c>
      <c r="E858" t="s">
        <v>74</v>
      </c>
      <c r="F858" t="s">
        <v>16505</v>
      </c>
      <c r="G858" t="s">
        <v>74</v>
      </c>
      <c r="H858" t="s">
        <v>74</v>
      </c>
      <c r="I858" t="s">
        <v>16506</v>
      </c>
      <c r="J858" t="s">
        <v>15271</v>
      </c>
      <c r="K858" t="s">
        <v>74</v>
      </c>
      <c r="L858" t="s">
        <v>74</v>
      </c>
      <c r="M858" t="s">
        <v>78</v>
      </c>
      <c r="N858" t="s">
        <v>79</v>
      </c>
      <c r="O858" t="s">
        <v>74</v>
      </c>
      <c r="P858" t="s">
        <v>74</v>
      </c>
      <c r="Q858" t="s">
        <v>74</v>
      </c>
      <c r="R858" t="s">
        <v>74</v>
      </c>
      <c r="S858" t="s">
        <v>74</v>
      </c>
      <c r="T858" t="s">
        <v>16507</v>
      </c>
      <c r="U858" t="s">
        <v>16508</v>
      </c>
      <c r="V858" t="s">
        <v>16509</v>
      </c>
      <c r="W858" t="s">
        <v>16510</v>
      </c>
      <c r="X858" t="s">
        <v>16511</v>
      </c>
      <c r="Y858" t="s">
        <v>16512</v>
      </c>
      <c r="Z858" t="s">
        <v>16513</v>
      </c>
      <c r="AA858" t="s">
        <v>74</v>
      </c>
      <c r="AB858" t="s">
        <v>74</v>
      </c>
      <c r="AC858" t="s">
        <v>74</v>
      </c>
      <c r="AD858" t="s">
        <v>74</v>
      </c>
      <c r="AE858" t="s">
        <v>74</v>
      </c>
      <c r="AF858" t="s">
        <v>74</v>
      </c>
      <c r="AG858">
        <v>56</v>
      </c>
      <c r="AH858">
        <v>4</v>
      </c>
      <c r="AI858">
        <v>4</v>
      </c>
      <c r="AJ858">
        <v>1</v>
      </c>
      <c r="AK858">
        <v>26</v>
      </c>
      <c r="AL858" t="s">
        <v>5392</v>
      </c>
      <c r="AM858" t="s">
        <v>5393</v>
      </c>
      <c r="AN858" t="s">
        <v>5394</v>
      </c>
      <c r="AO858" t="s">
        <v>15283</v>
      </c>
      <c r="AP858" t="s">
        <v>15284</v>
      </c>
      <c r="AQ858" t="s">
        <v>74</v>
      </c>
      <c r="AR858" t="s">
        <v>15285</v>
      </c>
      <c r="AS858" t="s">
        <v>15286</v>
      </c>
      <c r="AT858" t="s">
        <v>14661</v>
      </c>
      <c r="AU858">
        <v>2018</v>
      </c>
      <c r="AV858">
        <v>350</v>
      </c>
      <c r="AW858">
        <v>7</v>
      </c>
      <c r="AX858" t="s">
        <v>74</v>
      </c>
      <c r="AY858" t="s">
        <v>74</v>
      </c>
      <c r="AZ858" t="s">
        <v>74</v>
      </c>
      <c r="BA858" t="s">
        <v>74</v>
      </c>
      <c r="BB858">
        <v>354</v>
      </c>
      <c r="BC858">
        <v>367</v>
      </c>
      <c r="BD858" t="s">
        <v>74</v>
      </c>
      <c r="BE858" t="s">
        <v>16514</v>
      </c>
      <c r="BF858" t="str">
        <f>HYPERLINK("http://dx.doi.org/10.1016/j.crte.2018.08.007","http://dx.doi.org/10.1016/j.crte.2018.08.007")</f>
        <v>http://dx.doi.org/10.1016/j.crte.2018.08.007</v>
      </c>
      <c r="BG858" t="s">
        <v>74</v>
      </c>
      <c r="BH858" t="s">
        <v>74</v>
      </c>
      <c r="BI858">
        <v>14</v>
      </c>
      <c r="BJ858" t="s">
        <v>884</v>
      </c>
      <c r="BK858" t="s">
        <v>101</v>
      </c>
      <c r="BL858" t="s">
        <v>528</v>
      </c>
      <c r="BM858" t="s">
        <v>15288</v>
      </c>
      <c r="BN858" t="s">
        <v>74</v>
      </c>
      <c r="BO858" t="s">
        <v>1089</v>
      </c>
      <c r="BP858" t="s">
        <v>74</v>
      </c>
      <c r="BQ858" t="s">
        <v>74</v>
      </c>
      <c r="BR858" t="s">
        <v>104</v>
      </c>
      <c r="BS858" t="s">
        <v>16515</v>
      </c>
      <c r="BT858" t="str">
        <f>HYPERLINK("https%3A%2F%2Fwww.webofscience.com%2Fwos%2Fwoscc%2Ffull-record%2FWOS:000450932300005","View Full Record in Web of Science")</f>
        <v>View Full Record in Web of Science</v>
      </c>
    </row>
    <row r="859" spans="1:72" x14ac:dyDescent="0.15">
      <c r="A859" t="s">
        <v>72</v>
      </c>
      <c r="B859" t="s">
        <v>16516</v>
      </c>
      <c r="C859" t="s">
        <v>74</v>
      </c>
      <c r="D859" t="s">
        <v>74</v>
      </c>
      <c r="E859" t="s">
        <v>74</v>
      </c>
      <c r="F859" t="s">
        <v>16517</v>
      </c>
      <c r="G859" t="s">
        <v>74</v>
      </c>
      <c r="H859" t="s">
        <v>74</v>
      </c>
      <c r="I859" t="s">
        <v>16518</v>
      </c>
      <c r="J859" t="s">
        <v>4792</v>
      </c>
      <c r="K859" t="s">
        <v>74</v>
      </c>
      <c r="L859" t="s">
        <v>74</v>
      </c>
      <c r="M859" t="s">
        <v>78</v>
      </c>
      <c r="N859" t="s">
        <v>79</v>
      </c>
      <c r="O859" t="s">
        <v>74</v>
      </c>
      <c r="P859" t="s">
        <v>74</v>
      </c>
      <c r="Q859" t="s">
        <v>74</v>
      </c>
      <c r="R859" t="s">
        <v>74</v>
      </c>
      <c r="S859" t="s">
        <v>74</v>
      </c>
      <c r="T859" t="s">
        <v>16519</v>
      </c>
      <c r="U859" t="s">
        <v>16520</v>
      </c>
      <c r="V859" t="s">
        <v>16521</v>
      </c>
      <c r="W859" t="s">
        <v>16522</v>
      </c>
      <c r="X859" t="s">
        <v>16523</v>
      </c>
      <c r="Y859" t="s">
        <v>16524</v>
      </c>
      <c r="Z859" t="s">
        <v>7172</v>
      </c>
      <c r="AA859" t="s">
        <v>16525</v>
      </c>
      <c r="AB859" t="s">
        <v>16526</v>
      </c>
      <c r="AC859" t="s">
        <v>16527</v>
      </c>
      <c r="AD859" t="s">
        <v>16528</v>
      </c>
      <c r="AE859" t="s">
        <v>16529</v>
      </c>
      <c r="AF859" t="s">
        <v>74</v>
      </c>
      <c r="AG859">
        <v>32</v>
      </c>
      <c r="AH859">
        <v>17</v>
      </c>
      <c r="AI859">
        <v>19</v>
      </c>
      <c r="AJ859">
        <v>1</v>
      </c>
      <c r="AK859">
        <v>14</v>
      </c>
      <c r="AL859" t="s">
        <v>3670</v>
      </c>
      <c r="AM859" t="s">
        <v>3671</v>
      </c>
      <c r="AN859" t="s">
        <v>3672</v>
      </c>
      <c r="AO859" t="s">
        <v>4805</v>
      </c>
      <c r="AP859" t="s">
        <v>74</v>
      </c>
      <c r="AQ859" t="s">
        <v>74</v>
      </c>
      <c r="AR859" t="s">
        <v>4806</v>
      </c>
      <c r="AS859" t="s">
        <v>4807</v>
      </c>
      <c r="AT859" t="s">
        <v>14661</v>
      </c>
      <c r="AU859">
        <v>2018</v>
      </c>
      <c r="AV859">
        <v>8</v>
      </c>
      <c r="AW859">
        <v>21</v>
      </c>
      <c r="AX859" t="s">
        <v>74</v>
      </c>
      <c r="AY859" t="s">
        <v>74</v>
      </c>
      <c r="AZ859" t="s">
        <v>74</v>
      </c>
      <c r="BA859" t="s">
        <v>74</v>
      </c>
      <c r="BB859">
        <v>10520</v>
      </c>
      <c r="BC859">
        <v>10529</v>
      </c>
      <c r="BD859" t="s">
        <v>74</v>
      </c>
      <c r="BE859" t="s">
        <v>16530</v>
      </c>
      <c r="BF859" t="str">
        <f>HYPERLINK("http://dx.doi.org/10.1002/ece3.4519","http://dx.doi.org/10.1002/ece3.4519")</f>
        <v>http://dx.doi.org/10.1002/ece3.4519</v>
      </c>
      <c r="BG859" t="s">
        <v>74</v>
      </c>
      <c r="BH859" t="s">
        <v>74</v>
      </c>
      <c r="BI859">
        <v>10</v>
      </c>
      <c r="BJ859" t="s">
        <v>4809</v>
      </c>
      <c r="BK859" t="s">
        <v>101</v>
      </c>
      <c r="BL859" t="s">
        <v>4810</v>
      </c>
      <c r="BM859" t="s">
        <v>16531</v>
      </c>
      <c r="BN859">
        <v>30464824</v>
      </c>
      <c r="BO859" t="s">
        <v>7920</v>
      </c>
      <c r="BP859" t="s">
        <v>74</v>
      </c>
      <c r="BQ859" t="s">
        <v>74</v>
      </c>
      <c r="BR859" t="s">
        <v>104</v>
      </c>
      <c r="BS859" t="s">
        <v>16532</v>
      </c>
      <c r="BT859" t="str">
        <f>HYPERLINK("https%3A%2F%2Fwww.webofscience.com%2Fwos%2Fwoscc%2Ffull-record%2FWOS:000450351400015","View Full Record in Web of Science")</f>
        <v>View Full Record in Web of Science</v>
      </c>
    </row>
    <row r="860" spans="1:72" x14ac:dyDescent="0.15">
      <c r="A860" t="s">
        <v>72</v>
      </c>
      <c r="B860" t="s">
        <v>16533</v>
      </c>
      <c r="C860" t="s">
        <v>74</v>
      </c>
      <c r="D860" t="s">
        <v>74</v>
      </c>
      <c r="E860" t="s">
        <v>74</v>
      </c>
      <c r="F860" t="s">
        <v>16534</v>
      </c>
      <c r="G860" t="s">
        <v>74</v>
      </c>
      <c r="H860" t="s">
        <v>74</v>
      </c>
      <c r="I860" t="s">
        <v>16535</v>
      </c>
      <c r="J860" t="s">
        <v>4792</v>
      </c>
      <c r="K860" t="s">
        <v>74</v>
      </c>
      <c r="L860" t="s">
        <v>74</v>
      </c>
      <c r="M860" t="s">
        <v>78</v>
      </c>
      <c r="N860" t="s">
        <v>79</v>
      </c>
      <c r="O860" t="s">
        <v>74</v>
      </c>
      <c r="P860" t="s">
        <v>74</v>
      </c>
      <c r="Q860" t="s">
        <v>74</v>
      </c>
      <c r="R860" t="s">
        <v>74</v>
      </c>
      <c r="S860" t="s">
        <v>74</v>
      </c>
      <c r="T860" t="s">
        <v>16536</v>
      </c>
      <c r="U860" t="s">
        <v>16537</v>
      </c>
      <c r="V860" t="s">
        <v>16538</v>
      </c>
      <c r="W860" t="s">
        <v>16539</v>
      </c>
      <c r="X860" t="s">
        <v>16540</v>
      </c>
      <c r="Y860" t="s">
        <v>16541</v>
      </c>
      <c r="Z860" t="s">
        <v>16542</v>
      </c>
      <c r="AA860" t="s">
        <v>16543</v>
      </c>
      <c r="AB860" t="s">
        <v>16544</v>
      </c>
      <c r="AC860" t="s">
        <v>16545</v>
      </c>
      <c r="AD860" t="s">
        <v>16546</v>
      </c>
      <c r="AE860" t="s">
        <v>16547</v>
      </c>
      <c r="AF860" t="s">
        <v>74</v>
      </c>
      <c r="AG860">
        <v>84</v>
      </c>
      <c r="AH860">
        <v>21</v>
      </c>
      <c r="AI860">
        <v>22</v>
      </c>
      <c r="AJ860">
        <v>0</v>
      </c>
      <c r="AK860">
        <v>11</v>
      </c>
      <c r="AL860" t="s">
        <v>3670</v>
      </c>
      <c r="AM860" t="s">
        <v>3671</v>
      </c>
      <c r="AN860" t="s">
        <v>3672</v>
      </c>
      <c r="AO860" t="s">
        <v>4805</v>
      </c>
      <c r="AP860" t="s">
        <v>74</v>
      </c>
      <c r="AQ860" t="s">
        <v>74</v>
      </c>
      <c r="AR860" t="s">
        <v>4806</v>
      </c>
      <c r="AS860" t="s">
        <v>4807</v>
      </c>
      <c r="AT860" t="s">
        <v>14661</v>
      </c>
      <c r="AU860">
        <v>2018</v>
      </c>
      <c r="AV860">
        <v>8</v>
      </c>
      <c r="AW860">
        <v>21</v>
      </c>
      <c r="AX860" t="s">
        <v>74</v>
      </c>
      <c r="AY860" t="s">
        <v>74</v>
      </c>
      <c r="AZ860" t="s">
        <v>74</v>
      </c>
      <c r="BA860" t="s">
        <v>74</v>
      </c>
      <c r="BB860">
        <v>10621</v>
      </c>
      <c r="BC860">
        <v>10633</v>
      </c>
      <c r="BD860" t="s">
        <v>74</v>
      </c>
      <c r="BE860" t="s">
        <v>16548</v>
      </c>
      <c r="BF860" t="str">
        <f>HYPERLINK("http://dx.doi.org/10.1002/ece3.4551","http://dx.doi.org/10.1002/ece3.4551")</f>
        <v>http://dx.doi.org/10.1002/ece3.4551</v>
      </c>
      <c r="BG860" t="s">
        <v>74</v>
      </c>
      <c r="BH860" t="s">
        <v>74</v>
      </c>
      <c r="BI860">
        <v>13</v>
      </c>
      <c r="BJ860" t="s">
        <v>4809</v>
      </c>
      <c r="BK860" t="s">
        <v>101</v>
      </c>
      <c r="BL860" t="s">
        <v>4810</v>
      </c>
      <c r="BM860" t="s">
        <v>16531</v>
      </c>
      <c r="BN860">
        <v>30464833</v>
      </c>
      <c r="BO860" t="s">
        <v>221</v>
      </c>
      <c r="BP860" t="s">
        <v>74</v>
      </c>
      <c r="BQ860" t="s">
        <v>74</v>
      </c>
      <c r="BR860" t="s">
        <v>104</v>
      </c>
      <c r="BS860" t="s">
        <v>16549</v>
      </c>
      <c r="BT860" t="str">
        <f>HYPERLINK("https%3A%2F%2Fwww.webofscience.com%2Fwos%2Fwoscc%2Ffull-record%2FWOS:000450351400024","View Full Record in Web of Science")</f>
        <v>View Full Record in Web of Science</v>
      </c>
    </row>
    <row r="861" spans="1:72" x14ac:dyDescent="0.15">
      <c r="A861" t="s">
        <v>72</v>
      </c>
      <c r="B861" t="s">
        <v>16550</v>
      </c>
      <c r="C861" t="s">
        <v>74</v>
      </c>
      <c r="D861" t="s">
        <v>74</v>
      </c>
      <c r="E861" t="s">
        <v>74</v>
      </c>
      <c r="F861" t="s">
        <v>16551</v>
      </c>
      <c r="G861" t="s">
        <v>74</v>
      </c>
      <c r="H861" t="s">
        <v>74</v>
      </c>
      <c r="I861" t="s">
        <v>16552</v>
      </c>
      <c r="J861" t="s">
        <v>16553</v>
      </c>
      <c r="K861" t="s">
        <v>74</v>
      </c>
      <c r="L861" t="s">
        <v>74</v>
      </c>
      <c r="M861" t="s">
        <v>78</v>
      </c>
      <c r="N861" t="s">
        <v>79</v>
      </c>
      <c r="O861" t="s">
        <v>74</v>
      </c>
      <c r="P861" t="s">
        <v>74</v>
      </c>
      <c r="Q861" t="s">
        <v>74</v>
      </c>
      <c r="R861" t="s">
        <v>74</v>
      </c>
      <c r="S861" t="s">
        <v>74</v>
      </c>
      <c r="T861" t="s">
        <v>16554</v>
      </c>
      <c r="U861" t="s">
        <v>16555</v>
      </c>
      <c r="V861" t="s">
        <v>16556</v>
      </c>
      <c r="W861" t="s">
        <v>16557</v>
      </c>
      <c r="X861" t="s">
        <v>16558</v>
      </c>
      <c r="Y861" t="s">
        <v>16559</v>
      </c>
      <c r="Z861" t="s">
        <v>16560</v>
      </c>
      <c r="AA861" t="s">
        <v>74</v>
      </c>
      <c r="AB861" t="s">
        <v>74</v>
      </c>
      <c r="AC861" t="s">
        <v>16561</v>
      </c>
      <c r="AD861" t="s">
        <v>16562</v>
      </c>
      <c r="AE861" t="s">
        <v>16563</v>
      </c>
      <c r="AF861" t="s">
        <v>74</v>
      </c>
      <c r="AG861">
        <v>29</v>
      </c>
      <c r="AH861">
        <v>4</v>
      </c>
      <c r="AI861">
        <v>4</v>
      </c>
      <c r="AJ861">
        <v>0</v>
      </c>
      <c r="AK861">
        <v>9</v>
      </c>
      <c r="AL861" t="s">
        <v>1013</v>
      </c>
      <c r="AM861" t="s">
        <v>2869</v>
      </c>
      <c r="AN861" t="s">
        <v>2870</v>
      </c>
      <c r="AO861" t="s">
        <v>16564</v>
      </c>
      <c r="AP861" t="s">
        <v>16565</v>
      </c>
      <c r="AQ861" t="s">
        <v>74</v>
      </c>
      <c r="AR861" t="s">
        <v>16566</v>
      </c>
      <c r="AS861" t="s">
        <v>16567</v>
      </c>
      <c r="AT861" t="s">
        <v>14661</v>
      </c>
      <c r="AU861">
        <v>2018</v>
      </c>
      <c r="AV861">
        <v>61</v>
      </c>
      <c r="AW861">
        <v>11</v>
      </c>
      <c r="AX861" t="s">
        <v>74</v>
      </c>
      <c r="AY861" t="s">
        <v>74</v>
      </c>
      <c r="AZ861" t="s">
        <v>74</v>
      </c>
      <c r="BA861" t="s">
        <v>74</v>
      </c>
      <c r="BB861">
        <v>1755</v>
      </c>
      <c r="BC861">
        <v>1764</v>
      </c>
      <c r="BD861" t="s">
        <v>74</v>
      </c>
      <c r="BE861" t="s">
        <v>16568</v>
      </c>
      <c r="BF861" t="str">
        <f>HYPERLINK("http://dx.doi.org/10.1007/s11431-017-9178-4","http://dx.doi.org/10.1007/s11431-017-9178-4")</f>
        <v>http://dx.doi.org/10.1007/s11431-017-9178-4</v>
      </c>
      <c r="BG861" t="s">
        <v>74</v>
      </c>
      <c r="BH861" t="s">
        <v>74</v>
      </c>
      <c r="BI861">
        <v>10</v>
      </c>
      <c r="BJ861" t="s">
        <v>16569</v>
      </c>
      <c r="BK861" t="s">
        <v>101</v>
      </c>
      <c r="BL861" t="s">
        <v>551</v>
      </c>
      <c r="BM861" t="s">
        <v>16570</v>
      </c>
      <c r="BN861" t="s">
        <v>74</v>
      </c>
      <c r="BO861" t="s">
        <v>74</v>
      </c>
      <c r="BP861" t="s">
        <v>74</v>
      </c>
      <c r="BQ861" t="s">
        <v>74</v>
      </c>
      <c r="BR861" t="s">
        <v>104</v>
      </c>
      <c r="BS861" t="s">
        <v>16571</v>
      </c>
      <c r="BT861" t="str">
        <f>HYPERLINK("https%3A%2F%2Fwww.webofscience.com%2Fwos%2Fwoscc%2Ffull-record%2FWOS:000450194100014","View Full Record in Web of Science")</f>
        <v>View Full Record in Web of Science</v>
      </c>
    </row>
    <row r="862" spans="1:72" x14ac:dyDescent="0.15">
      <c r="A862" t="s">
        <v>72</v>
      </c>
      <c r="B862" t="s">
        <v>16572</v>
      </c>
      <c r="C862" t="s">
        <v>74</v>
      </c>
      <c r="D862" t="s">
        <v>74</v>
      </c>
      <c r="E862" t="s">
        <v>74</v>
      </c>
      <c r="F862" t="s">
        <v>16573</v>
      </c>
      <c r="G862" t="s">
        <v>74</v>
      </c>
      <c r="H862" t="s">
        <v>74</v>
      </c>
      <c r="I862" t="s">
        <v>16574</v>
      </c>
      <c r="J862" t="s">
        <v>16575</v>
      </c>
      <c r="K862" t="s">
        <v>74</v>
      </c>
      <c r="L862" t="s">
        <v>74</v>
      </c>
      <c r="M862" t="s">
        <v>78</v>
      </c>
      <c r="N862" t="s">
        <v>1003</v>
      </c>
      <c r="O862" t="s">
        <v>74</v>
      </c>
      <c r="P862" t="s">
        <v>74</v>
      </c>
      <c r="Q862" t="s">
        <v>74</v>
      </c>
      <c r="R862" t="s">
        <v>74</v>
      </c>
      <c r="S862" t="s">
        <v>74</v>
      </c>
      <c r="T862" t="s">
        <v>16576</v>
      </c>
      <c r="U862" t="s">
        <v>16577</v>
      </c>
      <c r="V862" t="s">
        <v>16578</v>
      </c>
      <c r="W862" t="s">
        <v>16579</v>
      </c>
      <c r="X862" t="s">
        <v>16580</v>
      </c>
      <c r="Y862" t="s">
        <v>16581</v>
      </c>
      <c r="Z862" t="s">
        <v>16582</v>
      </c>
      <c r="AA862" t="s">
        <v>16583</v>
      </c>
      <c r="AB862" t="s">
        <v>16584</v>
      </c>
      <c r="AC862" t="s">
        <v>11685</v>
      </c>
      <c r="AD862" t="s">
        <v>16585</v>
      </c>
      <c r="AE862" t="s">
        <v>16586</v>
      </c>
      <c r="AF862" t="s">
        <v>74</v>
      </c>
      <c r="AG862">
        <v>86</v>
      </c>
      <c r="AH862">
        <v>17</v>
      </c>
      <c r="AI862">
        <v>18</v>
      </c>
      <c r="AJ862">
        <v>1</v>
      </c>
      <c r="AK862">
        <v>8</v>
      </c>
      <c r="AL862" t="s">
        <v>3352</v>
      </c>
      <c r="AM862" t="s">
        <v>3353</v>
      </c>
      <c r="AN862" t="s">
        <v>3354</v>
      </c>
      <c r="AO862" t="s">
        <v>16587</v>
      </c>
      <c r="AP862" t="s">
        <v>74</v>
      </c>
      <c r="AQ862" t="s">
        <v>74</v>
      </c>
      <c r="AR862" t="s">
        <v>16588</v>
      </c>
      <c r="AS862" t="s">
        <v>16589</v>
      </c>
      <c r="AT862" t="s">
        <v>14661</v>
      </c>
      <c r="AU862">
        <v>2018</v>
      </c>
      <c r="AV862">
        <v>121</v>
      </c>
      <c r="AW862" t="s">
        <v>74</v>
      </c>
      <c r="AX862" t="s">
        <v>74</v>
      </c>
      <c r="AY862" t="s">
        <v>74</v>
      </c>
      <c r="AZ862" t="s">
        <v>74</v>
      </c>
      <c r="BA862" t="s">
        <v>74</v>
      </c>
      <c r="BB862">
        <v>64</v>
      </c>
      <c r="BC862">
        <v>75</v>
      </c>
      <c r="BD862" t="s">
        <v>74</v>
      </c>
      <c r="BE862" t="s">
        <v>16590</v>
      </c>
      <c r="BF862" t="str">
        <f>HYPERLINK("http://dx.doi.org/10.1016/j.jog.2018.07.008","http://dx.doi.org/10.1016/j.jog.2018.07.008")</f>
        <v>http://dx.doi.org/10.1016/j.jog.2018.07.008</v>
      </c>
      <c r="BG862" t="s">
        <v>74</v>
      </c>
      <c r="BH862" t="s">
        <v>74</v>
      </c>
      <c r="BI862">
        <v>12</v>
      </c>
      <c r="BJ862" t="s">
        <v>746</v>
      </c>
      <c r="BK862" t="s">
        <v>101</v>
      </c>
      <c r="BL862" t="s">
        <v>746</v>
      </c>
      <c r="BM862" t="s">
        <v>16591</v>
      </c>
      <c r="BN862" t="s">
        <v>74</v>
      </c>
      <c r="BO862" t="s">
        <v>1089</v>
      </c>
      <c r="BP862" t="s">
        <v>74</v>
      </c>
      <c r="BQ862" t="s">
        <v>74</v>
      </c>
      <c r="BR862" t="s">
        <v>104</v>
      </c>
      <c r="BS862" t="s">
        <v>16592</v>
      </c>
      <c r="BT862" t="str">
        <f>HYPERLINK("https%3A%2F%2Fwww.webofscience.com%2Fwos%2Fwoscc%2Ffull-record%2FWOS:000449901200007","View Full Record in Web of Science")</f>
        <v>View Full Record in Web of Science</v>
      </c>
    </row>
    <row r="863" spans="1:72" x14ac:dyDescent="0.15">
      <c r="A863" t="s">
        <v>72</v>
      </c>
      <c r="B863" t="s">
        <v>16593</v>
      </c>
      <c r="C863" t="s">
        <v>74</v>
      </c>
      <c r="D863" t="s">
        <v>74</v>
      </c>
      <c r="E863" t="s">
        <v>74</v>
      </c>
      <c r="F863" t="s">
        <v>16594</v>
      </c>
      <c r="G863" t="s">
        <v>74</v>
      </c>
      <c r="H863" t="s">
        <v>74</v>
      </c>
      <c r="I863" t="s">
        <v>16595</v>
      </c>
      <c r="J863" t="s">
        <v>16596</v>
      </c>
      <c r="K863" t="s">
        <v>74</v>
      </c>
      <c r="L863" t="s">
        <v>74</v>
      </c>
      <c r="M863" t="s">
        <v>78</v>
      </c>
      <c r="N863" t="s">
        <v>79</v>
      </c>
      <c r="O863" t="s">
        <v>74</v>
      </c>
      <c r="P863" t="s">
        <v>74</v>
      </c>
      <c r="Q863" t="s">
        <v>74</v>
      </c>
      <c r="R863" t="s">
        <v>74</v>
      </c>
      <c r="S863" t="s">
        <v>74</v>
      </c>
      <c r="T863" t="s">
        <v>16597</v>
      </c>
      <c r="U863" t="s">
        <v>16598</v>
      </c>
      <c r="V863" t="s">
        <v>16599</v>
      </c>
      <c r="W863" t="s">
        <v>16600</v>
      </c>
      <c r="X863" t="s">
        <v>16601</v>
      </c>
      <c r="Y863" t="s">
        <v>16602</v>
      </c>
      <c r="Z863" t="s">
        <v>16603</v>
      </c>
      <c r="AA863" t="s">
        <v>16604</v>
      </c>
      <c r="AB863" t="s">
        <v>16605</v>
      </c>
      <c r="AC863" t="s">
        <v>16606</v>
      </c>
      <c r="AD863" t="s">
        <v>16607</v>
      </c>
      <c r="AE863" t="s">
        <v>16608</v>
      </c>
      <c r="AF863" t="s">
        <v>74</v>
      </c>
      <c r="AG863">
        <v>63</v>
      </c>
      <c r="AH863">
        <v>4</v>
      </c>
      <c r="AI863">
        <v>5</v>
      </c>
      <c r="AJ863">
        <v>1</v>
      </c>
      <c r="AK863">
        <v>45</v>
      </c>
      <c r="AL863" t="s">
        <v>3670</v>
      </c>
      <c r="AM863" t="s">
        <v>3671</v>
      </c>
      <c r="AN863" t="s">
        <v>3672</v>
      </c>
      <c r="AO863" t="s">
        <v>16609</v>
      </c>
      <c r="AP863" t="s">
        <v>16610</v>
      </c>
      <c r="AQ863" t="s">
        <v>74</v>
      </c>
      <c r="AR863" t="s">
        <v>16611</v>
      </c>
      <c r="AS863" t="s">
        <v>16612</v>
      </c>
      <c r="AT863" t="s">
        <v>14661</v>
      </c>
      <c r="AU863">
        <v>2018</v>
      </c>
      <c r="AV863">
        <v>88</v>
      </c>
      <c r="AW863">
        <v>4</v>
      </c>
      <c r="AX863" t="s">
        <v>74</v>
      </c>
      <c r="AY863" t="s">
        <v>74</v>
      </c>
      <c r="AZ863" t="s">
        <v>74</v>
      </c>
      <c r="BA863" t="s">
        <v>74</v>
      </c>
      <c r="BB863">
        <v>694</v>
      </c>
      <c r="BC863">
        <v>715</v>
      </c>
      <c r="BD863" t="s">
        <v>74</v>
      </c>
      <c r="BE863" t="s">
        <v>16613</v>
      </c>
      <c r="BF863" t="str">
        <f>HYPERLINK("http://dx.doi.org/10.1002/ecm.1312","http://dx.doi.org/10.1002/ecm.1312")</f>
        <v>http://dx.doi.org/10.1002/ecm.1312</v>
      </c>
      <c r="BG863" t="s">
        <v>74</v>
      </c>
      <c r="BH863" t="s">
        <v>74</v>
      </c>
      <c r="BI863">
        <v>22</v>
      </c>
      <c r="BJ863" t="s">
        <v>2400</v>
      </c>
      <c r="BK863" t="s">
        <v>101</v>
      </c>
      <c r="BL863" t="s">
        <v>799</v>
      </c>
      <c r="BM863" t="s">
        <v>16614</v>
      </c>
      <c r="BN863" t="s">
        <v>74</v>
      </c>
      <c r="BO863" t="s">
        <v>16615</v>
      </c>
      <c r="BP863" t="s">
        <v>74</v>
      </c>
      <c r="BQ863" t="s">
        <v>74</v>
      </c>
      <c r="BR863" t="s">
        <v>104</v>
      </c>
      <c r="BS863" t="s">
        <v>16616</v>
      </c>
      <c r="BT863" t="str">
        <f>HYPERLINK("https%3A%2F%2Fwww.webofscience.com%2Fwos%2Fwoscc%2Ffull-record%2FWOS:000449887100012","View Full Record in Web of Science")</f>
        <v>View Full Record in Web of Science</v>
      </c>
    </row>
    <row r="864" spans="1:72" x14ac:dyDescent="0.15">
      <c r="A864" t="s">
        <v>72</v>
      </c>
      <c r="B864" t="s">
        <v>16617</v>
      </c>
      <c r="C864" t="s">
        <v>74</v>
      </c>
      <c r="D864" t="s">
        <v>74</v>
      </c>
      <c r="E864" t="s">
        <v>74</v>
      </c>
      <c r="F864" t="s">
        <v>16618</v>
      </c>
      <c r="G864" t="s">
        <v>74</v>
      </c>
      <c r="H864" t="s">
        <v>74</v>
      </c>
      <c r="I864" t="s">
        <v>16619</v>
      </c>
      <c r="J864" t="s">
        <v>4367</v>
      </c>
      <c r="K864" t="s">
        <v>74</v>
      </c>
      <c r="L864" t="s">
        <v>74</v>
      </c>
      <c r="M864" t="s">
        <v>78</v>
      </c>
      <c r="N864" t="s">
        <v>79</v>
      </c>
      <c r="O864" t="s">
        <v>74</v>
      </c>
      <c r="P864" t="s">
        <v>74</v>
      </c>
      <c r="Q864" t="s">
        <v>74</v>
      </c>
      <c r="R864" t="s">
        <v>74</v>
      </c>
      <c r="S864" t="s">
        <v>74</v>
      </c>
      <c r="T864" t="s">
        <v>74</v>
      </c>
      <c r="U864" t="s">
        <v>16620</v>
      </c>
      <c r="V864" t="s">
        <v>16621</v>
      </c>
      <c r="W864" t="s">
        <v>16622</v>
      </c>
      <c r="X864" t="s">
        <v>16623</v>
      </c>
      <c r="Y864" t="s">
        <v>16624</v>
      </c>
      <c r="Z864" t="s">
        <v>16625</v>
      </c>
      <c r="AA864" t="s">
        <v>74</v>
      </c>
      <c r="AB864" t="s">
        <v>74</v>
      </c>
      <c r="AC864" t="s">
        <v>74</v>
      </c>
      <c r="AD864" t="s">
        <v>74</v>
      </c>
      <c r="AE864" t="s">
        <v>74</v>
      </c>
      <c r="AF864" t="s">
        <v>74</v>
      </c>
      <c r="AG864">
        <v>37</v>
      </c>
      <c r="AH864">
        <v>15</v>
      </c>
      <c r="AI864">
        <v>15</v>
      </c>
      <c r="AJ864">
        <v>0</v>
      </c>
      <c r="AK864">
        <v>9</v>
      </c>
      <c r="AL864" t="s">
        <v>3352</v>
      </c>
      <c r="AM864" t="s">
        <v>3353</v>
      </c>
      <c r="AN864" t="s">
        <v>3354</v>
      </c>
      <c r="AO864" t="s">
        <v>4378</v>
      </c>
      <c r="AP864" t="s">
        <v>4379</v>
      </c>
      <c r="AQ864" t="s">
        <v>74</v>
      </c>
      <c r="AR864" t="s">
        <v>4380</v>
      </c>
      <c r="AS864" t="s">
        <v>4381</v>
      </c>
      <c r="AT864" t="s">
        <v>14661</v>
      </c>
      <c r="AU864">
        <v>2018</v>
      </c>
      <c r="AV864">
        <v>179</v>
      </c>
      <c r="AW864" t="s">
        <v>74</v>
      </c>
      <c r="AX864" t="s">
        <v>74</v>
      </c>
      <c r="AY864" t="s">
        <v>74</v>
      </c>
      <c r="AZ864" t="s">
        <v>74</v>
      </c>
      <c r="BA864" t="s">
        <v>74</v>
      </c>
      <c r="BB864">
        <v>214</v>
      </c>
      <c r="BC864">
        <v>224</v>
      </c>
      <c r="BD864" t="s">
        <v>74</v>
      </c>
      <c r="BE864" t="s">
        <v>16626</v>
      </c>
      <c r="BF864" t="str">
        <f>HYPERLINK("http://dx.doi.org/10.1016/j.jastp.2018.08.003","http://dx.doi.org/10.1016/j.jastp.2018.08.003")</f>
        <v>http://dx.doi.org/10.1016/j.jastp.2018.08.003</v>
      </c>
      <c r="BG864" t="s">
        <v>74</v>
      </c>
      <c r="BH864" t="s">
        <v>74</v>
      </c>
      <c r="BI864">
        <v>11</v>
      </c>
      <c r="BJ864" t="s">
        <v>4383</v>
      </c>
      <c r="BK864" t="s">
        <v>101</v>
      </c>
      <c r="BL864" t="s">
        <v>4383</v>
      </c>
      <c r="BM864" t="s">
        <v>15660</v>
      </c>
      <c r="BN864" t="s">
        <v>74</v>
      </c>
      <c r="BO864" t="s">
        <v>3810</v>
      </c>
      <c r="BP864" t="s">
        <v>74</v>
      </c>
      <c r="BQ864" t="s">
        <v>74</v>
      </c>
      <c r="BR864" t="s">
        <v>104</v>
      </c>
      <c r="BS864" t="s">
        <v>16627</v>
      </c>
      <c r="BT864" t="str">
        <f>HYPERLINK("https%3A%2F%2Fwww.webofscience.com%2Fwos%2Fwoscc%2Ffull-record%2FWOS:000449447700024","View Full Record in Web of Science")</f>
        <v>View Full Record in Web of Science</v>
      </c>
    </row>
    <row r="865" spans="1:72" x14ac:dyDescent="0.15">
      <c r="A865" t="s">
        <v>72</v>
      </c>
      <c r="B865" t="s">
        <v>16628</v>
      </c>
      <c r="C865" t="s">
        <v>74</v>
      </c>
      <c r="D865" t="s">
        <v>74</v>
      </c>
      <c r="E865" t="s">
        <v>74</v>
      </c>
      <c r="F865" t="s">
        <v>16629</v>
      </c>
      <c r="G865" t="s">
        <v>74</v>
      </c>
      <c r="H865" t="s">
        <v>74</v>
      </c>
      <c r="I865" t="s">
        <v>16630</v>
      </c>
      <c r="J865" t="s">
        <v>4367</v>
      </c>
      <c r="K865" t="s">
        <v>74</v>
      </c>
      <c r="L865" t="s">
        <v>74</v>
      </c>
      <c r="M865" t="s">
        <v>78</v>
      </c>
      <c r="N865" t="s">
        <v>79</v>
      </c>
      <c r="O865" t="s">
        <v>74</v>
      </c>
      <c r="P865" t="s">
        <v>74</v>
      </c>
      <c r="Q865" t="s">
        <v>74</v>
      </c>
      <c r="R865" t="s">
        <v>74</v>
      </c>
      <c r="S865" t="s">
        <v>74</v>
      </c>
      <c r="T865" t="s">
        <v>74</v>
      </c>
      <c r="U865" t="s">
        <v>16631</v>
      </c>
      <c r="V865" t="s">
        <v>16632</v>
      </c>
      <c r="W865" t="s">
        <v>16633</v>
      </c>
      <c r="X865" t="s">
        <v>16634</v>
      </c>
      <c r="Y865" t="s">
        <v>16635</v>
      </c>
      <c r="Z865" t="s">
        <v>16636</v>
      </c>
      <c r="AA865" t="s">
        <v>16637</v>
      </c>
      <c r="AB865" t="s">
        <v>16638</v>
      </c>
      <c r="AC865" t="s">
        <v>16639</v>
      </c>
      <c r="AD865" t="s">
        <v>16640</v>
      </c>
      <c r="AE865" t="s">
        <v>16641</v>
      </c>
      <c r="AF865" t="s">
        <v>74</v>
      </c>
      <c r="AG865">
        <v>51</v>
      </c>
      <c r="AH865">
        <v>66</v>
      </c>
      <c r="AI865">
        <v>70</v>
      </c>
      <c r="AJ865">
        <v>0</v>
      </c>
      <c r="AK865">
        <v>4</v>
      </c>
      <c r="AL865" t="s">
        <v>3352</v>
      </c>
      <c r="AM865" t="s">
        <v>3353</v>
      </c>
      <c r="AN865" t="s">
        <v>3354</v>
      </c>
      <c r="AO865" t="s">
        <v>4378</v>
      </c>
      <c r="AP865" t="s">
        <v>4379</v>
      </c>
      <c r="AQ865" t="s">
        <v>74</v>
      </c>
      <c r="AR865" t="s">
        <v>4380</v>
      </c>
      <c r="AS865" t="s">
        <v>4381</v>
      </c>
      <c r="AT865" t="s">
        <v>14661</v>
      </c>
      <c r="AU865">
        <v>2018</v>
      </c>
      <c r="AV865">
        <v>179</v>
      </c>
      <c r="AW865" t="s">
        <v>74</v>
      </c>
      <c r="AX865" t="s">
        <v>74</v>
      </c>
      <c r="AY865" t="s">
        <v>74</v>
      </c>
      <c r="AZ865" t="s">
        <v>74</v>
      </c>
      <c r="BA865" t="s">
        <v>74</v>
      </c>
      <c r="BB865">
        <v>239</v>
      </c>
      <c r="BC865">
        <v>250</v>
      </c>
      <c r="BD865" t="s">
        <v>74</v>
      </c>
      <c r="BE865" t="s">
        <v>16642</v>
      </c>
      <c r="BF865" t="str">
        <f>HYPERLINK("http://dx.doi.org/10.1016/j.jastp.2018.07.008","http://dx.doi.org/10.1016/j.jastp.2018.07.008")</f>
        <v>http://dx.doi.org/10.1016/j.jastp.2018.07.008</v>
      </c>
      <c r="BG865" t="s">
        <v>74</v>
      </c>
      <c r="BH865" t="s">
        <v>74</v>
      </c>
      <c r="BI865">
        <v>12</v>
      </c>
      <c r="BJ865" t="s">
        <v>4383</v>
      </c>
      <c r="BK865" t="s">
        <v>101</v>
      </c>
      <c r="BL865" t="s">
        <v>4383</v>
      </c>
      <c r="BM865" t="s">
        <v>15660</v>
      </c>
      <c r="BN865" t="s">
        <v>74</v>
      </c>
      <c r="BO865" t="s">
        <v>3540</v>
      </c>
      <c r="BP865" t="s">
        <v>74</v>
      </c>
      <c r="BQ865" t="s">
        <v>74</v>
      </c>
      <c r="BR865" t="s">
        <v>104</v>
      </c>
      <c r="BS865" t="s">
        <v>16643</v>
      </c>
      <c r="BT865" t="str">
        <f>HYPERLINK("https%3A%2F%2Fwww.webofscience.com%2Fwos%2Fwoscc%2Ffull-record%2FWOS:000449447700026","View Full Record in Web of Science")</f>
        <v>View Full Record in Web of Science</v>
      </c>
    </row>
    <row r="866" spans="1:72" x14ac:dyDescent="0.15">
      <c r="A866" t="s">
        <v>72</v>
      </c>
      <c r="B866" t="s">
        <v>16644</v>
      </c>
      <c r="C866" t="s">
        <v>74</v>
      </c>
      <c r="D866" t="s">
        <v>74</v>
      </c>
      <c r="E866" t="s">
        <v>74</v>
      </c>
      <c r="F866" t="s">
        <v>16645</v>
      </c>
      <c r="G866" t="s">
        <v>74</v>
      </c>
      <c r="H866" t="s">
        <v>74</v>
      </c>
      <c r="I866" t="s">
        <v>16646</v>
      </c>
      <c r="J866" t="s">
        <v>4367</v>
      </c>
      <c r="K866" t="s">
        <v>74</v>
      </c>
      <c r="L866" t="s">
        <v>74</v>
      </c>
      <c r="M866" t="s">
        <v>78</v>
      </c>
      <c r="N866" t="s">
        <v>79</v>
      </c>
      <c r="O866" t="s">
        <v>74</v>
      </c>
      <c r="P866" t="s">
        <v>74</v>
      </c>
      <c r="Q866" t="s">
        <v>74</v>
      </c>
      <c r="R866" t="s">
        <v>74</v>
      </c>
      <c r="S866" t="s">
        <v>74</v>
      </c>
      <c r="T866" t="s">
        <v>16647</v>
      </c>
      <c r="U866" t="s">
        <v>16648</v>
      </c>
      <c r="V866" t="s">
        <v>16649</v>
      </c>
      <c r="W866" t="s">
        <v>16650</v>
      </c>
      <c r="X866" t="s">
        <v>893</v>
      </c>
      <c r="Y866" t="s">
        <v>16651</v>
      </c>
      <c r="Z866" t="s">
        <v>16652</v>
      </c>
      <c r="AA866" t="s">
        <v>74</v>
      </c>
      <c r="AB866" t="s">
        <v>74</v>
      </c>
      <c r="AC866" t="s">
        <v>74</v>
      </c>
      <c r="AD866" t="s">
        <v>74</v>
      </c>
      <c r="AE866" t="s">
        <v>74</v>
      </c>
      <c r="AF866" t="s">
        <v>74</v>
      </c>
      <c r="AG866">
        <v>60</v>
      </c>
      <c r="AH866">
        <v>6</v>
      </c>
      <c r="AI866">
        <v>7</v>
      </c>
      <c r="AJ866">
        <v>0</v>
      </c>
      <c r="AK866">
        <v>1</v>
      </c>
      <c r="AL866" t="s">
        <v>3352</v>
      </c>
      <c r="AM866" t="s">
        <v>3353</v>
      </c>
      <c r="AN866" t="s">
        <v>3354</v>
      </c>
      <c r="AO866" t="s">
        <v>4378</v>
      </c>
      <c r="AP866" t="s">
        <v>4379</v>
      </c>
      <c r="AQ866" t="s">
        <v>74</v>
      </c>
      <c r="AR866" t="s">
        <v>4380</v>
      </c>
      <c r="AS866" t="s">
        <v>4381</v>
      </c>
      <c r="AT866" t="s">
        <v>14661</v>
      </c>
      <c r="AU866">
        <v>2018</v>
      </c>
      <c r="AV866">
        <v>179</v>
      </c>
      <c r="AW866" t="s">
        <v>74</v>
      </c>
      <c r="AX866" t="s">
        <v>74</v>
      </c>
      <c r="AY866" t="s">
        <v>74</v>
      </c>
      <c r="AZ866" t="s">
        <v>74</v>
      </c>
      <c r="BA866" t="s">
        <v>74</v>
      </c>
      <c r="BB866">
        <v>316</v>
      </c>
      <c r="BC866">
        <v>336</v>
      </c>
      <c r="BD866" t="s">
        <v>74</v>
      </c>
      <c r="BE866" t="s">
        <v>16653</v>
      </c>
      <c r="BF866" t="str">
        <f>HYPERLINK("http://dx.doi.org/10.1016/j.jastp.2018.08.012","http://dx.doi.org/10.1016/j.jastp.2018.08.012")</f>
        <v>http://dx.doi.org/10.1016/j.jastp.2018.08.012</v>
      </c>
      <c r="BG866" t="s">
        <v>74</v>
      </c>
      <c r="BH866" t="s">
        <v>74</v>
      </c>
      <c r="BI866">
        <v>21</v>
      </c>
      <c r="BJ866" t="s">
        <v>4383</v>
      </c>
      <c r="BK866" t="s">
        <v>101</v>
      </c>
      <c r="BL866" t="s">
        <v>4383</v>
      </c>
      <c r="BM866" t="s">
        <v>15660</v>
      </c>
      <c r="BN866" t="s">
        <v>74</v>
      </c>
      <c r="BO866" t="s">
        <v>3810</v>
      </c>
      <c r="BP866" t="s">
        <v>74</v>
      </c>
      <c r="BQ866" t="s">
        <v>74</v>
      </c>
      <c r="BR866" t="s">
        <v>104</v>
      </c>
      <c r="BS866" t="s">
        <v>16654</v>
      </c>
      <c r="BT866" t="str">
        <f>HYPERLINK("https%3A%2F%2Fwww.webofscience.com%2Fwos%2Fwoscc%2Ffull-record%2FWOS:000449447700033","View Full Record in Web of Science")</f>
        <v>View Full Record in Web of Science</v>
      </c>
    </row>
    <row r="867" spans="1:72" x14ac:dyDescent="0.15">
      <c r="A867" t="s">
        <v>72</v>
      </c>
      <c r="B867" t="s">
        <v>16655</v>
      </c>
      <c r="C867" t="s">
        <v>74</v>
      </c>
      <c r="D867" t="s">
        <v>74</v>
      </c>
      <c r="E867" t="s">
        <v>74</v>
      </c>
      <c r="F867" t="s">
        <v>16656</v>
      </c>
      <c r="G867" t="s">
        <v>74</v>
      </c>
      <c r="H867" t="s">
        <v>74</v>
      </c>
      <c r="I867" t="s">
        <v>16657</v>
      </c>
      <c r="J867" t="s">
        <v>16658</v>
      </c>
      <c r="K867" t="s">
        <v>74</v>
      </c>
      <c r="L867" t="s">
        <v>74</v>
      </c>
      <c r="M867" t="s">
        <v>78</v>
      </c>
      <c r="N867" t="s">
        <v>79</v>
      </c>
      <c r="O867" t="s">
        <v>74</v>
      </c>
      <c r="P867" t="s">
        <v>74</v>
      </c>
      <c r="Q867" t="s">
        <v>74</v>
      </c>
      <c r="R867" t="s">
        <v>74</v>
      </c>
      <c r="S867" t="s">
        <v>74</v>
      </c>
      <c r="T867" t="s">
        <v>74</v>
      </c>
      <c r="U867" t="s">
        <v>16659</v>
      </c>
      <c r="V867" t="s">
        <v>16660</v>
      </c>
      <c r="W867" t="s">
        <v>16661</v>
      </c>
      <c r="X867" t="s">
        <v>3419</v>
      </c>
      <c r="Y867" t="s">
        <v>16662</v>
      </c>
      <c r="Z867" t="s">
        <v>16663</v>
      </c>
      <c r="AA867" t="s">
        <v>16664</v>
      </c>
      <c r="AB867" t="s">
        <v>16665</v>
      </c>
      <c r="AC867" t="s">
        <v>16666</v>
      </c>
      <c r="AD867" t="s">
        <v>16667</v>
      </c>
      <c r="AE867" t="s">
        <v>16668</v>
      </c>
      <c r="AF867" t="s">
        <v>74</v>
      </c>
      <c r="AG867">
        <v>8</v>
      </c>
      <c r="AH867">
        <v>5</v>
      </c>
      <c r="AI867">
        <v>5</v>
      </c>
      <c r="AJ867">
        <v>0</v>
      </c>
      <c r="AK867">
        <v>1</v>
      </c>
      <c r="AL867" t="s">
        <v>3239</v>
      </c>
      <c r="AM867" t="s">
        <v>877</v>
      </c>
      <c r="AN867" t="s">
        <v>3240</v>
      </c>
      <c r="AO867" t="s">
        <v>16669</v>
      </c>
      <c r="AP867" t="s">
        <v>16670</v>
      </c>
      <c r="AQ867" t="s">
        <v>74</v>
      </c>
      <c r="AR867" t="s">
        <v>16671</v>
      </c>
      <c r="AS867" t="s">
        <v>16672</v>
      </c>
      <c r="AT867" t="s">
        <v>14661</v>
      </c>
      <c r="AU867">
        <v>2018</v>
      </c>
      <c r="AV867">
        <v>53</v>
      </c>
      <c r="AW867">
        <v>6</v>
      </c>
      <c r="AX867" t="s">
        <v>74</v>
      </c>
      <c r="AY867" t="s">
        <v>74</v>
      </c>
      <c r="AZ867" t="s">
        <v>74</v>
      </c>
      <c r="BA867" t="s">
        <v>74</v>
      </c>
      <c r="BB867">
        <v>455</v>
      </c>
      <c r="BC867">
        <v>459</v>
      </c>
      <c r="BD867" t="s">
        <v>74</v>
      </c>
      <c r="BE867" t="s">
        <v>16673</v>
      </c>
      <c r="BF867" t="str">
        <f>HYPERLINK("http://dx.doi.org/10.1134/S0024490218060068","http://dx.doi.org/10.1134/S0024490218060068")</f>
        <v>http://dx.doi.org/10.1134/S0024490218060068</v>
      </c>
      <c r="BG867" t="s">
        <v>74</v>
      </c>
      <c r="BH867" t="s">
        <v>74</v>
      </c>
      <c r="BI867">
        <v>5</v>
      </c>
      <c r="BJ867" t="s">
        <v>16674</v>
      </c>
      <c r="BK867" t="s">
        <v>101</v>
      </c>
      <c r="BL867" t="s">
        <v>16674</v>
      </c>
      <c r="BM867" t="s">
        <v>16675</v>
      </c>
      <c r="BN867" t="s">
        <v>74</v>
      </c>
      <c r="BO867" t="s">
        <v>74</v>
      </c>
      <c r="BP867" t="s">
        <v>74</v>
      </c>
      <c r="BQ867" t="s">
        <v>74</v>
      </c>
      <c r="BR867" t="s">
        <v>104</v>
      </c>
      <c r="BS867" t="s">
        <v>16676</v>
      </c>
      <c r="BT867" t="str">
        <f>HYPERLINK("https%3A%2F%2Fwww.webofscience.com%2Fwos%2Fwoscc%2Ffull-record%2FWOS:000449423900002","View Full Record in Web of Science")</f>
        <v>View Full Record in Web of Science</v>
      </c>
    </row>
    <row r="868" spans="1:72" x14ac:dyDescent="0.15">
      <c r="A868" t="s">
        <v>72</v>
      </c>
      <c r="B868" t="s">
        <v>16677</v>
      </c>
      <c r="C868" t="s">
        <v>74</v>
      </c>
      <c r="D868" t="s">
        <v>74</v>
      </c>
      <c r="E868" t="s">
        <v>74</v>
      </c>
      <c r="F868" t="s">
        <v>16678</v>
      </c>
      <c r="G868" t="s">
        <v>74</v>
      </c>
      <c r="H868" t="s">
        <v>74</v>
      </c>
      <c r="I868" t="s">
        <v>16679</v>
      </c>
      <c r="J868" t="s">
        <v>16680</v>
      </c>
      <c r="K868" t="s">
        <v>74</v>
      </c>
      <c r="L868" t="s">
        <v>74</v>
      </c>
      <c r="M868" t="s">
        <v>78</v>
      </c>
      <c r="N868" t="s">
        <v>79</v>
      </c>
      <c r="O868" t="s">
        <v>74</v>
      </c>
      <c r="P868" t="s">
        <v>74</v>
      </c>
      <c r="Q868" t="s">
        <v>74</v>
      </c>
      <c r="R868" t="s">
        <v>74</v>
      </c>
      <c r="S868" t="s">
        <v>74</v>
      </c>
      <c r="T868" t="s">
        <v>16681</v>
      </c>
      <c r="U868" t="s">
        <v>16682</v>
      </c>
      <c r="V868" t="s">
        <v>16683</v>
      </c>
      <c r="W868" t="s">
        <v>16684</v>
      </c>
      <c r="X868" t="s">
        <v>16685</v>
      </c>
      <c r="Y868" t="s">
        <v>16686</v>
      </c>
      <c r="Z868" t="s">
        <v>16687</v>
      </c>
      <c r="AA868" t="s">
        <v>16688</v>
      </c>
      <c r="AB868" t="s">
        <v>16689</v>
      </c>
      <c r="AC868" t="s">
        <v>16690</v>
      </c>
      <c r="AD868" t="s">
        <v>16691</v>
      </c>
      <c r="AE868" t="s">
        <v>16692</v>
      </c>
      <c r="AF868" t="s">
        <v>74</v>
      </c>
      <c r="AG868">
        <v>53</v>
      </c>
      <c r="AH868">
        <v>6</v>
      </c>
      <c r="AI868">
        <v>6</v>
      </c>
      <c r="AJ868">
        <v>1</v>
      </c>
      <c r="AK868">
        <v>17</v>
      </c>
      <c r="AL868" t="s">
        <v>14203</v>
      </c>
      <c r="AM868" t="s">
        <v>7950</v>
      </c>
      <c r="AN868" t="s">
        <v>14204</v>
      </c>
      <c r="AO868" t="s">
        <v>16693</v>
      </c>
      <c r="AP868" t="s">
        <v>16694</v>
      </c>
      <c r="AQ868" t="s">
        <v>74</v>
      </c>
      <c r="AR868" t="s">
        <v>16695</v>
      </c>
      <c r="AS868" t="s">
        <v>16696</v>
      </c>
      <c r="AT868" t="s">
        <v>14661</v>
      </c>
      <c r="AU868">
        <v>2018</v>
      </c>
      <c r="AV868">
        <v>188</v>
      </c>
      <c r="AW868" t="s">
        <v>74</v>
      </c>
      <c r="AX868" t="s">
        <v>74</v>
      </c>
      <c r="AY868" t="s">
        <v>74</v>
      </c>
      <c r="AZ868" t="s">
        <v>74</v>
      </c>
      <c r="BA868" t="s">
        <v>74</v>
      </c>
      <c r="BB868">
        <v>87</v>
      </c>
      <c r="BC868">
        <v>94</v>
      </c>
      <c r="BD868" t="s">
        <v>74</v>
      </c>
      <c r="BE868" t="s">
        <v>16697</v>
      </c>
      <c r="BF868" t="str">
        <f>HYPERLINK("http://dx.doi.org/10.1016/j.jphotobiol.2018.09.008","http://dx.doi.org/10.1016/j.jphotobiol.2018.09.008")</f>
        <v>http://dx.doi.org/10.1016/j.jphotobiol.2018.09.008</v>
      </c>
      <c r="BG868" t="s">
        <v>74</v>
      </c>
      <c r="BH868" t="s">
        <v>74</v>
      </c>
      <c r="BI868">
        <v>8</v>
      </c>
      <c r="BJ868" t="s">
        <v>5081</v>
      </c>
      <c r="BK868" t="s">
        <v>101</v>
      </c>
      <c r="BL868" t="s">
        <v>5081</v>
      </c>
      <c r="BM868" t="s">
        <v>16698</v>
      </c>
      <c r="BN868">
        <v>30237008</v>
      </c>
      <c r="BO868" t="s">
        <v>74</v>
      </c>
      <c r="BP868" t="s">
        <v>74</v>
      </c>
      <c r="BQ868" t="s">
        <v>74</v>
      </c>
      <c r="BR868" t="s">
        <v>104</v>
      </c>
      <c r="BS868" t="s">
        <v>16699</v>
      </c>
      <c r="BT868" t="str">
        <f>HYPERLINK("https%3A%2F%2Fwww.webofscience.com%2Fwos%2Fwoscc%2Ffull-record%2FWOS:000449241400011","View Full Record in Web of Science")</f>
        <v>View Full Record in Web of Science</v>
      </c>
    </row>
    <row r="869" spans="1:72" x14ac:dyDescent="0.15">
      <c r="A869" t="s">
        <v>72</v>
      </c>
      <c r="B869" t="s">
        <v>16700</v>
      </c>
      <c r="C869" t="s">
        <v>74</v>
      </c>
      <c r="D869" t="s">
        <v>74</v>
      </c>
      <c r="E869" t="s">
        <v>74</v>
      </c>
      <c r="F869" t="s">
        <v>16701</v>
      </c>
      <c r="G869" t="s">
        <v>74</v>
      </c>
      <c r="H869" t="s">
        <v>74</v>
      </c>
      <c r="I869" t="s">
        <v>16702</v>
      </c>
      <c r="J869" t="s">
        <v>16703</v>
      </c>
      <c r="K869" t="s">
        <v>74</v>
      </c>
      <c r="L869" t="s">
        <v>74</v>
      </c>
      <c r="M869" t="s">
        <v>78</v>
      </c>
      <c r="N869" t="s">
        <v>79</v>
      </c>
      <c r="O869" t="s">
        <v>74</v>
      </c>
      <c r="P869" t="s">
        <v>74</v>
      </c>
      <c r="Q869" t="s">
        <v>74</v>
      </c>
      <c r="R869" t="s">
        <v>74</v>
      </c>
      <c r="S869" t="s">
        <v>74</v>
      </c>
      <c r="T869" t="s">
        <v>16704</v>
      </c>
      <c r="U869" t="s">
        <v>16705</v>
      </c>
      <c r="V869" t="s">
        <v>16706</v>
      </c>
      <c r="W869" t="s">
        <v>16707</v>
      </c>
      <c r="X869" t="s">
        <v>8598</v>
      </c>
      <c r="Y869" t="s">
        <v>16708</v>
      </c>
      <c r="Z869" t="s">
        <v>16709</v>
      </c>
      <c r="AA869" t="s">
        <v>16710</v>
      </c>
      <c r="AB869" t="s">
        <v>16711</v>
      </c>
      <c r="AC869" t="s">
        <v>16712</v>
      </c>
      <c r="AD869" t="s">
        <v>16713</v>
      </c>
      <c r="AE869" t="s">
        <v>16714</v>
      </c>
      <c r="AF869" t="s">
        <v>74</v>
      </c>
      <c r="AG869">
        <v>56</v>
      </c>
      <c r="AH869">
        <v>6</v>
      </c>
      <c r="AI869">
        <v>6</v>
      </c>
      <c r="AJ869">
        <v>2</v>
      </c>
      <c r="AK869">
        <v>20</v>
      </c>
      <c r="AL869" t="s">
        <v>6139</v>
      </c>
      <c r="AM869" t="s">
        <v>3353</v>
      </c>
      <c r="AN869" t="s">
        <v>6140</v>
      </c>
      <c r="AO869" t="s">
        <v>16715</v>
      </c>
      <c r="AP869" t="s">
        <v>16716</v>
      </c>
      <c r="AQ869" t="s">
        <v>74</v>
      </c>
      <c r="AR869" t="s">
        <v>16717</v>
      </c>
      <c r="AS869" t="s">
        <v>16718</v>
      </c>
      <c r="AT869" t="s">
        <v>14661</v>
      </c>
      <c r="AU869">
        <v>2018</v>
      </c>
      <c r="AV869">
        <v>97</v>
      </c>
      <c r="AW869" t="s">
        <v>74</v>
      </c>
      <c r="AX869" t="s">
        <v>74</v>
      </c>
      <c r="AY869" t="s">
        <v>74</v>
      </c>
      <c r="AZ869" t="s">
        <v>74</v>
      </c>
      <c r="BA869" t="s">
        <v>74</v>
      </c>
      <c r="BB869">
        <v>612</v>
      </c>
      <c r="BC869">
        <v>623</v>
      </c>
      <c r="BD869" t="s">
        <v>74</v>
      </c>
      <c r="BE869" t="s">
        <v>16719</v>
      </c>
      <c r="BF869" t="str">
        <f>HYPERLINK("http://dx.doi.org/10.1016/j.marpetgeo.2018.07.016","http://dx.doi.org/10.1016/j.marpetgeo.2018.07.016")</f>
        <v>http://dx.doi.org/10.1016/j.marpetgeo.2018.07.016</v>
      </c>
      <c r="BG869" t="s">
        <v>74</v>
      </c>
      <c r="BH869" t="s">
        <v>74</v>
      </c>
      <c r="BI869">
        <v>12</v>
      </c>
      <c r="BJ869" t="s">
        <v>884</v>
      </c>
      <c r="BK869" t="s">
        <v>101</v>
      </c>
      <c r="BL869" t="s">
        <v>528</v>
      </c>
      <c r="BM869" t="s">
        <v>16720</v>
      </c>
      <c r="BN869" t="s">
        <v>74</v>
      </c>
      <c r="BO869" t="s">
        <v>74</v>
      </c>
      <c r="BP869" t="s">
        <v>74</v>
      </c>
      <c r="BQ869" t="s">
        <v>74</v>
      </c>
      <c r="BR869" t="s">
        <v>104</v>
      </c>
      <c r="BS869" t="s">
        <v>16721</v>
      </c>
      <c r="BT869" t="str">
        <f>HYPERLINK("https%3A%2F%2Fwww.webofscience.com%2Fwos%2Fwoscc%2Ffull-record%2FWOS:000449128000040","View Full Record in Web of Science")</f>
        <v>View Full Record in Web of Science</v>
      </c>
    </row>
    <row r="870" spans="1:72" x14ac:dyDescent="0.15">
      <c r="A870" t="s">
        <v>72</v>
      </c>
      <c r="B870" t="s">
        <v>16722</v>
      </c>
      <c r="C870" t="s">
        <v>74</v>
      </c>
      <c r="D870" t="s">
        <v>74</v>
      </c>
      <c r="E870" t="s">
        <v>74</v>
      </c>
      <c r="F870" t="s">
        <v>16723</v>
      </c>
      <c r="G870" t="s">
        <v>74</v>
      </c>
      <c r="H870" t="s">
        <v>74</v>
      </c>
      <c r="I870" t="s">
        <v>16724</v>
      </c>
      <c r="J870" t="s">
        <v>16725</v>
      </c>
      <c r="K870" t="s">
        <v>74</v>
      </c>
      <c r="L870" t="s">
        <v>74</v>
      </c>
      <c r="M870" t="s">
        <v>78</v>
      </c>
      <c r="N870" t="s">
        <v>79</v>
      </c>
      <c r="O870" t="s">
        <v>74</v>
      </c>
      <c r="P870" t="s">
        <v>74</v>
      </c>
      <c r="Q870" t="s">
        <v>74</v>
      </c>
      <c r="R870" t="s">
        <v>74</v>
      </c>
      <c r="S870" t="s">
        <v>74</v>
      </c>
      <c r="T870" t="s">
        <v>16726</v>
      </c>
      <c r="U870" t="s">
        <v>16727</v>
      </c>
      <c r="V870" t="s">
        <v>16728</v>
      </c>
      <c r="W870" t="s">
        <v>16729</v>
      </c>
      <c r="X870" t="s">
        <v>16730</v>
      </c>
      <c r="Y870" t="s">
        <v>16731</v>
      </c>
      <c r="Z870" t="s">
        <v>16732</v>
      </c>
      <c r="AA870" t="s">
        <v>16733</v>
      </c>
      <c r="AB870" t="s">
        <v>16734</v>
      </c>
      <c r="AC870" t="s">
        <v>16735</v>
      </c>
      <c r="AD870" t="s">
        <v>16736</v>
      </c>
      <c r="AE870" t="s">
        <v>16737</v>
      </c>
      <c r="AF870" t="s">
        <v>74</v>
      </c>
      <c r="AG870">
        <v>76</v>
      </c>
      <c r="AH870">
        <v>22</v>
      </c>
      <c r="AI870">
        <v>29</v>
      </c>
      <c r="AJ870">
        <v>12</v>
      </c>
      <c r="AK870">
        <v>124</v>
      </c>
      <c r="AL870" t="s">
        <v>1079</v>
      </c>
      <c r="AM870" t="s">
        <v>4862</v>
      </c>
      <c r="AN870" t="s">
        <v>4863</v>
      </c>
      <c r="AO870" t="s">
        <v>16738</v>
      </c>
      <c r="AP870" t="s">
        <v>16739</v>
      </c>
      <c r="AQ870" t="s">
        <v>74</v>
      </c>
      <c r="AR870" t="s">
        <v>16725</v>
      </c>
      <c r="AS870" t="s">
        <v>16740</v>
      </c>
      <c r="AT870" t="s">
        <v>14661</v>
      </c>
      <c r="AU870">
        <v>2018</v>
      </c>
      <c r="AV870">
        <v>141</v>
      </c>
      <c r="AW870">
        <v>2</v>
      </c>
      <c r="AX870" t="s">
        <v>74</v>
      </c>
      <c r="AY870" t="s">
        <v>74</v>
      </c>
      <c r="AZ870" t="s">
        <v>74</v>
      </c>
      <c r="BA870" t="s">
        <v>74</v>
      </c>
      <c r="BB870">
        <v>229</v>
      </c>
      <c r="BC870">
        <v>247</v>
      </c>
      <c r="BD870" t="s">
        <v>74</v>
      </c>
      <c r="BE870" t="s">
        <v>16741</v>
      </c>
      <c r="BF870" t="str">
        <f>HYPERLINK("http://dx.doi.org/10.1007/s10533-018-0516-0","http://dx.doi.org/10.1007/s10533-018-0516-0")</f>
        <v>http://dx.doi.org/10.1007/s10533-018-0516-0</v>
      </c>
      <c r="BG870" t="s">
        <v>74</v>
      </c>
      <c r="BH870" t="s">
        <v>74</v>
      </c>
      <c r="BI870">
        <v>19</v>
      </c>
      <c r="BJ870" t="s">
        <v>9863</v>
      </c>
      <c r="BK870" t="s">
        <v>101</v>
      </c>
      <c r="BL870" t="s">
        <v>452</v>
      </c>
      <c r="BM870" t="s">
        <v>16742</v>
      </c>
      <c r="BN870" t="s">
        <v>74</v>
      </c>
      <c r="BO870" t="s">
        <v>74</v>
      </c>
      <c r="BP870" t="s">
        <v>74</v>
      </c>
      <c r="BQ870" t="s">
        <v>74</v>
      </c>
      <c r="BR870" t="s">
        <v>104</v>
      </c>
      <c r="BS870" t="s">
        <v>16743</v>
      </c>
      <c r="BT870" t="str">
        <f>HYPERLINK("https%3A%2F%2Fwww.webofscience.com%2Fwos%2Fwoscc%2Ffull-record%2FWOS:000449113100008","View Full Record in Web of Science")</f>
        <v>View Full Record in Web of Science</v>
      </c>
    </row>
    <row r="871" spans="1:72" x14ac:dyDescent="0.15">
      <c r="A871" t="s">
        <v>72</v>
      </c>
      <c r="B871" t="s">
        <v>16744</v>
      </c>
      <c r="C871" t="s">
        <v>74</v>
      </c>
      <c r="D871" t="s">
        <v>74</v>
      </c>
      <c r="E871" t="s">
        <v>74</v>
      </c>
      <c r="F871" t="s">
        <v>16745</v>
      </c>
      <c r="G871" t="s">
        <v>74</v>
      </c>
      <c r="H871" t="s">
        <v>74</v>
      </c>
      <c r="I871" t="s">
        <v>16746</v>
      </c>
      <c r="J871" t="s">
        <v>7937</v>
      </c>
      <c r="K871" t="s">
        <v>74</v>
      </c>
      <c r="L871" t="s">
        <v>74</v>
      </c>
      <c r="M871" t="s">
        <v>78</v>
      </c>
      <c r="N871" t="s">
        <v>79</v>
      </c>
      <c r="O871" t="s">
        <v>74</v>
      </c>
      <c r="P871" t="s">
        <v>74</v>
      </c>
      <c r="Q871" t="s">
        <v>74</v>
      </c>
      <c r="R871" t="s">
        <v>74</v>
      </c>
      <c r="S871" t="s">
        <v>74</v>
      </c>
      <c r="T871" t="s">
        <v>16747</v>
      </c>
      <c r="U871" t="s">
        <v>16748</v>
      </c>
      <c r="V871" t="s">
        <v>16749</v>
      </c>
      <c r="W871" t="s">
        <v>16750</v>
      </c>
      <c r="X871" t="s">
        <v>16751</v>
      </c>
      <c r="Y871" t="s">
        <v>16752</v>
      </c>
      <c r="Z871" t="s">
        <v>16753</v>
      </c>
      <c r="AA871" t="s">
        <v>16754</v>
      </c>
      <c r="AB871" t="s">
        <v>16755</v>
      </c>
      <c r="AC871" t="s">
        <v>16756</v>
      </c>
      <c r="AD871" t="s">
        <v>16757</v>
      </c>
      <c r="AE871" t="s">
        <v>16758</v>
      </c>
      <c r="AF871" t="s">
        <v>74</v>
      </c>
      <c r="AG871">
        <v>121</v>
      </c>
      <c r="AH871">
        <v>23</v>
      </c>
      <c r="AI871">
        <v>25</v>
      </c>
      <c r="AJ871">
        <v>2</v>
      </c>
      <c r="AK871">
        <v>31</v>
      </c>
      <c r="AL871" t="s">
        <v>7949</v>
      </c>
      <c r="AM871" t="s">
        <v>7950</v>
      </c>
      <c r="AN871" t="s">
        <v>7951</v>
      </c>
      <c r="AO871" t="s">
        <v>7952</v>
      </c>
      <c r="AP871" t="s">
        <v>74</v>
      </c>
      <c r="AQ871" t="s">
        <v>74</v>
      </c>
      <c r="AR871" t="s">
        <v>7953</v>
      </c>
      <c r="AS871" t="s">
        <v>7954</v>
      </c>
      <c r="AT871" t="s">
        <v>16131</v>
      </c>
      <c r="AU871">
        <v>2018</v>
      </c>
      <c r="AV871">
        <v>9</v>
      </c>
      <c r="AW871" t="s">
        <v>74</v>
      </c>
      <c r="AX871" t="s">
        <v>74</v>
      </c>
      <c r="AY871" t="s">
        <v>74</v>
      </c>
      <c r="AZ871" t="s">
        <v>74</v>
      </c>
      <c r="BA871" t="s">
        <v>74</v>
      </c>
      <c r="BB871" t="s">
        <v>74</v>
      </c>
      <c r="BC871" t="s">
        <v>74</v>
      </c>
      <c r="BD871">
        <v>1506</v>
      </c>
      <c r="BE871" t="s">
        <v>16759</v>
      </c>
      <c r="BF871" t="str">
        <f>HYPERLINK("http://dx.doi.org/10.3389/fphys.2018.01506","http://dx.doi.org/10.3389/fphys.2018.01506")</f>
        <v>http://dx.doi.org/10.3389/fphys.2018.01506</v>
      </c>
      <c r="BG871" t="s">
        <v>74</v>
      </c>
      <c r="BH871" t="s">
        <v>74</v>
      </c>
      <c r="BI871">
        <v>17</v>
      </c>
      <c r="BJ871" t="s">
        <v>7956</v>
      </c>
      <c r="BK871" t="s">
        <v>101</v>
      </c>
      <c r="BL871" t="s">
        <v>7956</v>
      </c>
      <c r="BM871" t="s">
        <v>16760</v>
      </c>
      <c r="BN871">
        <v>30443218</v>
      </c>
      <c r="BO871" t="s">
        <v>221</v>
      </c>
      <c r="BP871" t="s">
        <v>74</v>
      </c>
      <c r="BQ871" t="s">
        <v>74</v>
      </c>
      <c r="BR871" t="s">
        <v>104</v>
      </c>
      <c r="BS871" t="s">
        <v>16761</v>
      </c>
      <c r="BT871" t="str">
        <f>HYPERLINK("https%3A%2F%2Fwww.webofscience.com%2Fwos%2Fwoscc%2Ffull-record%2FWOS:000449014500001","View Full Record in Web of Science")</f>
        <v>View Full Record in Web of Science</v>
      </c>
    </row>
    <row r="872" spans="1:72" x14ac:dyDescent="0.15">
      <c r="A872" t="s">
        <v>72</v>
      </c>
      <c r="B872" t="s">
        <v>16762</v>
      </c>
      <c r="C872" t="s">
        <v>74</v>
      </c>
      <c r="D872" t="s">
        <v>74</v>
      </c>
      <c r="E872" t="s">
        <v>74</v>
      </c>
      <c r="F872" t="s">
        <v>16763</v>
      </c>
      <c r="G872" t="s">
        <v>74</v>
      </c>
      <c r="H872" t="s">
        <v>74</v>
      </c>
      <c r="I872" t="s">
        <v>16764</v>
      </c>
      <c r="J872" t="s">
        <v>11039</v>
      </c>
      <c r="K872" t="s">
        <v>74</v>
      </c>
      <c r="L872" t="s">
        <v>74</v>
      </c>
      <c r="M872" t="s">
        <v>78</v>
      </c>
      <c r="N872" t="s">
        <v>79</v>
      </c>
      <c r="O872" t="s">
        <v>74</v>
      </c>
      <c r="P872" t="s">
        <v>74</v>
      </c>
      <c r="Q872" t="s">
        <v>74</v>
      </c>
      <c r="R872" t="s">
        <v>74</v>
      </c>
      <c r="S872" t="s">
        <v>74</v>
      </c>
      <c r="T872" t="s">
        <v>74</v>
      </c>
      <c r="U872" t="s">
        <v>16765</v>
      </c>
      <c r="V872" t="s">
        <v>16766</v>
      </c>
      <c r="W872" t="s">
        <v>16767</v>
      </c>
      <c r="X872" t="s">
        <v>16768</v>
      </c>
      <c r="Y872" t="s">
        <v>16769</v>
      </c>
      <c r="Z872" t="s">
        <v>74</v>
      </c>
      <c r="AA872" t="s">
        <v>16770</v>
      </c>
      <c r="AB872" t="s">
        <v>16771</v>
      </c>
      <c r="AC872" t="s">
        <v>16772</v>
      </c>
      <c r="AD872" t="s">
        <v>16773</v>
      </c>
      <c r="AE872" t="s">
        <v>16774</v>
      </c>
      <c r="AF872" t="s">
        <v>74</v>
      </c>
      <c r="AG872">
        <v>24</v>
      </c>
      <c r="AH872">
        <v>29</v>
      </c>
      <c r="AI872">
        <v>30</v>
      </c>
      <c r="AJ872">
        <v>1</v>
      </c>
      <c r="AK872">
        <v>16</v>
      </c>
      <c r="AL872" t="s">
        <v>9484</v>
      </c>
      <c r="AM872" t="s">
        <v>9485</v>
      </c>
      <c r="AN872" t="s">
        <v>9486</v>
      </c>
      <c r="AO872" t="s">
        <v>11050</v>
      </c>
      <c r="AP872" t="s">
        <v>11051</v>
      </c>
      <c r="AQ872" t="s">
        <v>74</v>
      </c>
      <c r="AR872" t="s">
        <v>11039</v>
      </c>
      <c r="AS872" t="s">
        <v>528</v>
      </c>
      <c r="AT872" t="s">
        <v>14661</v>
      </c>
      <c r="AU872">
        <v>2018</v>
      </c>
      <c r="AV872">
        <v>46</v>
      </c>
      <c r="AW872">
        <v>11</v>
      </c>
      <c r="AX872" t="s">
        <v>74</v>
      </c>
      <c r="AY872" t="s">
        <v>74</v>
      </c>
      <c r="AZ872" t="s">
        <v>74</v>
      </c>
      <c r="BA872" t="s">
        <v>74</v>
      </c>
      <c r="BB872">
        <v>991</v>
      </c>
      <c r="BC872">
        <v>994</v>
      </c>
      <c r="BD872" t="s">
        <v>74</v>
      </c>
      <c r="BE872" t="s">
        <v>16775</v>
      </c>
      <c r="BF872" t="str">
        <f>HYPERLINK("http://dx.doi.org/10.1130/G45225.1","http://dx.doi.org/10.1130/G45225.1")</f>
        <v>http://dx.doi.org/10.1130/G45225.1</v>
      </c>
      <c r="BG872" t="s">
        <v>74</v>
      </c>
      <c r="BH872" t="s">
        <v>74</v>
      </c>
      <c r="BI872">
        <v>4</v>
      </c>
      <c r="BJ872" t="s">
        <v>528</v>
      </c>
      <c r="BK872" t="s">
        <v>101</v>
      </c>
      <c r="BL872" t="s">
        <v>528</v>
      </c>
      <c r="BM872" t="s">
        <v>16776</v>
      </c>
      <c r="BN872" t="s">
        <v>74</v>
      </c>
      <c r="BO872" t="s">
        <v>74</v>
      </c>
      <c r="BP872" t="s">
        <v>74</v>
      </c>
      <c r="BQ872" t="s">
        <v>74</v>
      </c>
      <c r="BR872" t="s">
        <v>104</v>
      </c>
      <c r="BS872" t="s">
        <v>16777</v>
      </c>
      <c r="BT872" t="str">
        <f>HYPERLINK("https%3A%2F%2Fwww.webofscience.com%2Fwos%2Fwoscc%2Ffull-record%2FWOS:000449047800016","View Full Record in Web of Science")</f>
        <v>View Full Record in Web of Science</v>
      </c>
    </row>
    <row r="873" spans="1:72" x14ac:dyDescent="0.15">
      <c r="A873" t="s">
        <v>72</v>
      </c>
      <c r="B873" t="s">
        <v>16778</v>
      </c>
      <c r="C873" t="s">
        <v>74</v>
      </c>
      <c r="D873" t="s">
        <v>74</v>
      </c>
      <c r="E873" t="s">
        <v>74</v>
      </c>
      <c r="F873" t="s">
        <v>16779</v>
      </c>
      <c r="G873" t="s">
        <v>74</v>
      </c>
      <c r="H873" t="s">
        <v>74</v>
      </c>
      <c r="I873" t="s">
        <v>16780</v>
      </c>
      <c r="J873" t="s">
        <v>5980</v>
      </c>
      <c r="K873" t="s">
        <v>74</v>
      </c>
      <c r="L873" t="s">
        <v>74</v>
      </c>
      <c r="M873" t="s">
        <v>78</v>
      </c>
      <c r="N873" t="s">
        <v>79</v>
      </c>
      <c r="O873" t="s">
        <v>74</v>
      </c>
      <c r="P873" t="s">
        <v>74</v>
      </c>
      <c r="Q873" t="s">
        <v>74</v>
      </c>
      <c r="R873" t="s">
        <v>74</v>
      </c>
      <c r="S873" t="s">
        <v>74</v>
      </c>
      <c r="T873" t="s">
        <v>16781</v>
      </c>
      <c r="U873" t="s">
        <v>16782</v>
      </c>
      <c r="V873" t="s">
        <v>16783</v>
      </c>
      <c r="W873" t="s">
        <v>16784</v>
      </c>
      <c r="X873" t="s">
        <v>16785</v>
      </c>
      <c r="Y873" t="s">
        <v>16786</v>
      </c>
      <c r="Z873" t="s">
        <v>16787</v>
      </c>
      <c r="AA873" t="s">
        <v>16788</v>
      </c>
      <c r="AB873" t="s">
        <v>16789</v>
      </c>
      <c r="AC873" t="s">
        <v>16790</v>
      </c>
      <c r="AD873" t="s">
        <v>16790</v>
      </c>
      <c r="AE873" t="s">
        <v>16791</v>
      </c>
      <c r="AF873" t="s">
        <v>74</v>
      </c>
      <c r="AG873">
        <v>63</v>
      </c>
      <c r="AH873">
        <v>4</v>
      </c>
      <c r="AI873">
        <v>5</v>
      </c>
      <c r="AJ873">
        <v>2</v>
      </c>
      <c r="AK873">
        <v>23</v>
      </c>
      <c r="AL873" t="s">
        <v>4136</v>
      </c>
      <c r="AM873" t="s">
        <v>4137</v>
      </c>
      <c r="AN873" t="s">
        <v>4138</v>
      </c>
      <c r="AO873" t="s">
        <v>5993</v>
      </c>
      <c r="AP873" t="s">
        <v>5994</v>
      </c>
      <c r="AQ873" t="s">
        <v>74</v>
      </c>
      <c r="AR873" t="s">
        <v>5995</v>
      </c>
      <c r="AS873" t="s">
        <v>5996</v>
      </c>
      <c r="AT873" t="s">
        <v>14661</v>
      </c>
      <c r="AU873">
        <v>2018</v>
      </c>
      <c r="AV873">
        <v>48</v>
      </c>
      <c r="AW873">
        <v>11</v>
      </c>
      <c r="AX873" t="s">
        <v>74</v>
      </c>
      <c r="AY873" t="s">
        <v>74</v>
      </c>
      <c r="AZ873" t="s">
        <v>74</v>
      </c>
      <c r="BA873" t="s">
        <v>74</v>
      </c>
      <c r="BB873">
        <v>2667</v>
      </c>
      <c r="BC873">
        <v>2688</v>
      </c>
      <c r="BD873" t="s">
        <v>74</v>
      </c>
      <c r="BE873" t="s">
        <v>16792</v>
      </c>
      <c r="BF873" t="str">
        <f>HYPERLINK("http://dx.doi.org/10.1175/JPO-D-18-0055.1","http://dx.doi.org/10.1175/JPO-D-18-0055.1")</f>
        <v>http://dx.doi.org/10.1175/JPO-D-18-0055.1</v>
      </c>
      <c r="BG873" t="s">
        <v>74</v>
      </c>
      <c r="BH873" t="s">
        <v>74</v>
      </c>
      <c r="BI873">
        <v>22</v>
      </c>
      <c r="BJ873" t="s">
        <v>773</v>
      </c>
      <c r="BK873" t="s">
        <v>101</v>
      </c>
      <c r="BL873" t="s">
        <v>773</v>
      </c>
      <c r="BM873" t="s">
        <v>16793</v>
      </c>
      <c r="BN873" t="s">
        <v>74</v>
      </c>
      <c r="BO873" t="s">
        <v>13895</v>
      </c>
      <c r="BP873" t="s">
        <v>74</v>
      </c>
      <c r="BQ873" t="s">
        <v>74</v>
      </c>
      <c r="BR873" t="s">
        <v>104</v>
      </c>
      <c r="BS873" t="s">
        <v>16794</v>
      </c>
      <c r="BT873" t="str">
        <f>HYPERLINK("https%3A%2F%2Fwww.webofscience.com%2Fwos%2Fwoscc%2Ffull-record%2FWOS:000449143500001","View Full Record in Web of Science")</f>
        <v>View Full Record in Web of Science</v>
      </c>
    </row>
    <row r="874" spans="1:72" x14ac:dyDescent="0.15">
      <c r="A874" t="s">
        <v>72</v>
      </c>
      <c r="B874" t="s">
        <v>16795</v>
      </c>
      <c r="C874" t="s">
        <v>74</v>
      </c>
      <c r="D874" t="s">
        <v>74</v>
      </c>
      <c r="E874" t="s">
        <v>74</v>
      </c>
      <c r="F874" t="s">
        <v>16796</v>
      </c>
      <c r="G874" t="s">
        <v>74</v>
      </c>
      <c r="H874" t="s">
        <v>74</v>
      </c>
      <c r="I874" t="s">
        <v>16797</v>
      </c>
      <c r="J874" t="s">
        <v>8034</v>
      </c>
      <c r="K874" t="s">
        <v>74</v>
      </c>
      <c r="L874" t="s">
        <v>74</v>
      </c>
      <c r="M874" t="s">
        <v>78</v>
      </c>
      <c r="N874" t="s">
        <v>79</v>
      </c>
      <c r="O874" t="s">
        <v>74</v>
      </c>
      <c r="P874" t="s">
        <v>74</v>
      </c>
      <c r="Q874" t="s">
        <v>74</v>
      </c>
      <c r="R874" t="s">
        <v>74</v>
      </c>
      <c r="S874" t="s">
        <v>74</v>
      </c>
      <c r="T874" t="s">
        <v>74</v>
      </c>
      <c r="U874" t="s">
        <v>16798</v>
      </c>
      <c r="V874" t="s">
        <v>16799</v>
      </c>
      <c r="W874" t="s">
        <v>16800</v>
      </c>
      <c r="X874" t="s">
        <v>16801</v>
      </c>
      <c r="Y874" t="s">
        <v>16802</v>
      </c>
      <c r="Z874" t="s">
        <v>16803</v>
      </c>
      <c r="AA874" t="s">
        <v>16804</v>
      </c>
      <c r="AB874" t="s">
        <v>16805</v>
      </c>
      <c r="AC874" t="s">
        <v>16806</v>
      </c>
      <c r="AD874" t="s">
        <v>16807</v>
      </c>
      <c r="AE874" t="s">
        <v>16808</v>
      </c>
      <c r="AF874" t="s">
        <v>74</v>
      </c>
      <c r="AG874">
        <v>39</v>
      </c>
      <c r="AH874">
        <v>23</v>
      </c>
      <c r="AI874">
        <v>25</v>
      </c>
      <c r="AJ874">
        <v>2</v>
      </c>
      <c r="AK874">
        <v>23</v>
      </c>
      <c r="AL874" t="s">
        <v>6164</v>
      </c>
      <c r="AM874" t="s">
        <v>3008</v>
      </c>
      <c r="AN874" t="s">
        <v>6165</v>
      </c>
      <c r="AO874" t="s">
        <v>8046</v>
      </c>
      <c r="AP874" t="s">
        <v>74</v>
      </c>
      <c r="AQ874" t="s">
        <v>74</v>
      </c>
      <c r="AR874" t="s">
        <v>8047</v>
      </c>
      <c r="AS874" t="s">
        <v>8048</v>
      </c>
      <c r="AT874" t="s">
        <v>16131</v>
      </c>
      <c r="AU874">
        <v>2018</v>
      </c>
      <c r="AV874">
        <v>8</v>
      </c>
      <c r="AW874" t="s">
        <v>74</v>
      </c>
      <c r="AX874" t="s">
        <v>74</v>
      </c>
      <c r="AY874" t="s">
        <v>74</v>
      </c>
      <c r="AZ874" t="s">
        <v>74</v>
      </c>
      <c r="BA874" t="s">
        <v>74</v>
      </c>
      <c r="BB874" t="s">
        <v>74</v>
      </c>
      <c r="BC874" t="s">
        <v>74</v>
      </c>
      <c r="BD874">
        <v>16185</v>
      </c>
      <c r="BE874" t="s">
        <v>16809</v>
      </c>
      <c r="BF874" t="str">
        <f>HYPERLINK("http://dx.doi.org/10.1038/s41598-018-33450-7","http://dx.doi.org/10.1038/s41598-018-33450-7")</f>
        <v>http://dx.doi.org/10.1038/s41598-018-33450-7</v>
      </c>
      <c r="BG874" t="s">
        <v>74</v>
      </c>
      <c r="BH874" t="s">
        <v>74</v>
      </c>
      <c r="BI874">
        <v>12</v>
      </c>
      <c r="BJ874" t="s">
        <v>855</v>
      </c>
      <c r="BK874" t="s">
        <v>101</v>
      </c>
      <c r="BL874" t="s">
        <v>856</v>
      </c>
      <c r="BM874" t="s">
        <v>16810</v>
      </c>
      <c r="BN874">
        <v>30385850</v>
      </c>
      <c r="BO874" t="s">
        <v>193</v>
      </c>
      <c r="BP874" t="s">
        <v>74</v>
      </c>
      <c r="BQ874" t="s">
        <v>74</v>
      </c>
      <c r="BR874" t="s">
        <v>104</v>
      </c>
      <c r="BS874" t="s">
        <v>16811</v>
      </c>
      <c r="BT874" t="str">
        <f>HYPERLINK("https%3A%2F%2Fwww.webofscience.com%2Fwos%2Fwoscc%2Ffull-record%2FWOS:000448950500037","View Full Record in Web of Science")</f>
        <v>View Full Record in Web of Science</v>
      </c>
    </row>
    <row r="875" spans="1:72" x14ac:dyDescent="0.15">
      <c r="A875" t="s">
        <v>72</v>
      </c>
      <c r="B875" t="s">
        <v>16812</v>
      </c>
      <c r="C875" t="s">
        <v>74</v>
      </c>
      <c r="D875" t="s">
        <v>74</v>
      </c>
      <c r="E875" t="s">
        <v>74</v>
      </c>
      <c r="F875" t="s">
        <v>16813</v>
      </c>
      <c r="G875" t="s">
        <v>74</v>
      </c>
      <c r="H875" t="s">
        <v>74</v>
      </c>
      <c r="I875" t="s">
        <v>16814</v>
      </c>
      <c r="J875" t="s">
        <v>11360</v>
      </c>
      <c r="K875" t="s">
        <v>74</v>
      </c>
      <c r="L875" t="s">
        <v>74</v>
      </c>
      <c r="M875" t="s">
        <v>78</v>
      </c>
      <c r="N875" t="s">
        <v>5330</v>
      </c>
      <c r="O875" t="s">
        <v>16815</v>
      </c>
      <c r="P875" t="s">
        <v>16816</v>
      </c>
      <c r="Q875" t="s">
        <v>16817</v>
      </c>
      <c r="R875" t="s">
        <v>74</v>
      </c>
      <c r="S875" t="s">
        <v>74</v>
      </c>
      <c r="T875" t="s">
        <v>16818</v>
      </c>
      <c r="U875" t="s">
        <v>74</v>
      </c>
      <c r="V875" t="s">
        <v>16819</v>
      </c>
      <c r="W875" t="s">
        <v>16820</v>
      </c>
      <c r="X875" t="s">
        <v>16821</v>
      </c>
      <c r="Y875" t="s">
        <v>16822</v>
      </c>
      <c r="Z875" t="s">
        <v>16823</v>
      </c>
      <c r="AA875" t="s">
        <v>16824</v>
      </c>
      <c r="AB875" t="s">
        <v>16825</v>
      </c>
      <c r="AC875" t="s">
        <v>16826</v>
      </c>
      <c r="AD875" t="s">
        <v>16827</v>
      </c>
      <c r="AE875" t="s">
        <v>16828</v>
      </c>
      <c r="AF875" t="s">
        <v>74</v>
      </c>
      <c r="AG875">
        <v>11</v>
      </c>
      <c r="AH875">
        <v>3</v>
      </c>
      <c r="AI875">
        <v>3</v>
      </c>
      <c r="AJ875">
        <v>0</v>
      </c>
      <c r="AK875">
        <v>9</v>
      </c>
      <c r="AL875" t="s">
        <v>9389</v>
      </c>
      <c r="AM875" t="s">
        <v>1080</v>
      </c>
      <c r="AN875" t="s">
        <v>1081</v>
      </c>
      <c r="AO875" t="s">
        <v>11372</v>
      </c>
      <c r="AP875" t="s">
        <v>11373</v>
      </c>
      <c r="AQ875" t="s">
        <v>74</v>
      </c>
      <c r="AR875" t="s">
        <v>11374</v>
      </c>
      <c r="AS875" t="s">
        <v>11375</v>
      </c>
      <c r="AT875" t="s">
        <v>14661</v>
      </c>
      <c r="AU875">
        <v>2018</v>
      </c>
      <c r="AV875">
        <v>193</v>
      </c>
      <c r="AW875" t="s">
        <v>16414</v>
      </c>
      <c r="AX875">
        <v>1</v>
      </c>
      <c r="AY875" t="s">
        <v>74</v>
      </c>
      <c r="AZ875" t="s">
        <v>4266</v>
      </c>
      <c r="BA875" t="s">
        <v>74</v>
      </c>
      <c r="BB875">
        <v>128</v>
      </c>
      <c r="BC875">
        <v>133</v>
      </c>
      <c r="BD875" t="s">
        <v>74</v>
      </c>
      <c r="BE875" t="s">
        <v>16829</v>
      </c>
      <c r="BF875" t="str">
        <f>HYPERLINK("http://dx.doi.org/10.1007/s10909-018-1990-4","http://dx.doi.org/10.1007/s10909-018-1990-4")</f>
        <v>http://dx.doi.org/10.1007/s10909-018-1990-4</v>
      </c>
      <c r="BG875" t="s">
        <v>74</v>
      </c>
      <c r="BH875" t="s">
        <v>74</v>
      </c>
      <c r="BI875">
        <v>6</v>
      </c>
      <c r="BJ875" t="s">
        <v>11378</v>
      </c>
      <c r="BK875" t="s">
        <v>5354</v>
      </c>
      <c r="BL875" t="s">
        <v>2449</v>
      </c>
      <c r="BM875" t="s">
        <v>16830</v>
      </c>
      <c r="BN875" t="s">
        <v>74</v>
      </c>
      <c r="BO875" t="s">
        <v>74</v>
      </c>
      <c r="BP875" t="s">
        <v>74</v>
      </c>
      <c r="BQ875" t="s">
        <v>74</v>
      </c>
      <c r="BR875" t="s">
        <v>104</v>
      </c>
      <c r="BS875" t="s">
        <v>16831</v>
      </c>
      <c r="BT875" t="str">
        <f>HYPERLINK("https%3A%2F%2Fwww.webofscience.com%2Fwos%2Fwoscc%2Ffull-record%2FWOS:000447975800007","View Full Record in Web of Science")</f>
        <v>View Full Record in Web of Science</v>
      </c>
    </row>
    <row r="876" spans="1:72" x14ac:dyDescent="0.15">
      <c r="A876" t="s">
        <v>72</v>
      </c>
      <c r="B876" t="s">
        <v>16832</v>
      </c>
      <c r="C876" t="s">
        <v>74</v>
      </c>
      <c r="D876" t="s">
        <v>74</v>
      </c>
      <c r="E876" t="s">
        <v>74</v>
      </c>
      <c r="F876" t="s">
        <v>16833</v>
      </c>
      <c r="G876" t="s">
        <v>74</v>
      </c>
      <c r="H876" t="s">
        <v>74</v>
      </c>
      <c r="I876" t="s">
        <v>16834</v>
      </c>
      <c r="J876" t="s">
        <v>16835</v>
      </c>
      <c r="K876" t="s">
        <v>74</v>
      </c>
      <c r="L876" t="s">
        <v>74</v>
      </c>
      <c r="M876" t="s">
        <v>78</v>
      </c>
      <c r="N876" t="s">
        <v>79</v>
      </c>
      <c r="O876" t="s">
        <v>74</v>
      </c>
      <c r="P876" t="s">
        <v>74</v>
      </c>
      <c r="Q876" t="s">
        <v>74</v>
      </c>
      <c r="R876" t="s">
        <v>74</v>
      </c>
      <c r="S876" t="s">
        <v>74</v>
      </c>
      <c r="T876" t="s">
        <v>16836</v>
      </c>
      <c r="U876" t="s">
        <v>16837</v>
      </c>
      <c r="V876" t="s">
        <v>16838</v>
      </c>
      <c r="W876" t="s">
        <v>16839</v>
      </c>
      <c r="X876" t="s">
        <v>16840</v>
      </c>
      <c r="Y876" t="s">
        <v>16841</v>
      </c>
      <c r="Z876" t="s">
        <v>16842</v>
      </c>
      <c r="AA876" t="s">
        <v>16843</v>
      </c>
      <c r="AB876" t="s">
        <v>16844</v>
      </c>
      <c r="AC876" t="s">
        <v>16845</v>
      </c>
      <c r="AD876" t="s">
        <v>16846</v>
      </c>
      <c r="AE876" t="s">
        <v>16847</v>
      </c>
      <c r="AF876" t="s">
        <v>74</v>
      </c>
      <c r="AG876">
        <v>48</v>
      </c>
      <c r="AH876">
        <v>52</v>
      </c>
      <c r="AI876">
        <v>53</v>
      </c>
      <c r="AJ876">
        <v>1</v>
      </c>
      <c r="AK876">
        <v>17</v>
      </c>
      <c r="AL876" t="s">
        <v>3670</v>
      </c>
      <c r="AM876" t="s">
        <v>3671</v>
      </c>
      <c r="AN876" t="s">
        <v>3672</v>
      </c>
      <c r="AO876" t="s">
        <v>16848</v>
      </c>
      <c r="AP876" t="s">
        <v>16849</v>
      </c>
      <c r="AQ876" t="s">
        <v>74</v>
      </c>
      <c r="AR876" t="s">
        <v>16850</v>
      </c>
      <c r="AS876" t="s">
        <v>16851</v>
      </c>
      <c r="AT876" t="s">
        <v>14661</v>
      </c>
      <c r="AU876">
        <v>2018</v>
      </c>
      <c r="AV876">
        <v>19</v>
      </c>
      <c r="AW876">
        <v>6</v>
      </c>
      <c r="AX876" t="s">
        <v>74</v>
      </c>
      <c r="AY876" t="s">
        <v>74</v>
      </c>
      <c r="AZ876" t="s">
        <v>74</v>
      </c>
      <c r="BA876" t="s">
        <v>74</v>
      </c>
      <c r="BB876">
        <v>1031</v>
      </c>
      <c r="BC876">
        <v>1042</v>
      </c>
      <c r="BD876" t="s">
        <v>74</v>
      </c>
      <c r="BE876" t="s">
        <v>16852</v>
      </c>
      <c r="BF876" t="str">
        <f>HYPERLINK("http://dx.doi.org/10.1111/faf.12310","http://dx.doi.org/10.1111/faf.12310")</f>
        <v>http://dx.doi.org/10.1111/faf.12310</v>
      </c>
      <c r="BG876" t="s">
        <v>74</v>
      </c>
      <c r="BH876" t="s">
        <v>74</v>
      </c>
      <c r="BI876">
        <v>12</v>
      </c>
      <c r="BJ876" t="s">
        <v>625</v>
      </c>
      <c r="BK876" t="s">
        <v>101</v>
      </c>
      <c r="BL876" t="s">
        <v>625</v>
      </c>
      <c r="BM876" t="s">
        <v>16853</v>
      </c>
      <c r="BN876" t="s">
        <v>74</v>
      </c>
      <c r="BO876" t="s">
        <v>16854</v>
      </c>
      <c r="BP876" t="s">
        <v>74</v>
      </c>
      <c r="BQ876" t="s">
        <v>74</v>
      </c>
      <c r="BR876" t="s">
        <v>104</v>
      </c>
      <c r="BS876" t="s">
        <v>16855</v>
      </c>
      <c r="BT876" t="str">
        <f>HYPERLINK("https%3A%2F%2Fwww.webofscience.com%2Fwos%2Fwoscc%2Ffull-record%2FWOS:000448273100008","View Full Record in Web of Science")</f>
        <v>View Full Record in Web of Science</v>
      </c>
    </row>
    <row r="877" spans="1:72" x14ac:dyDescent="0.15">
      <c r="A877" t="s">
        <v>72</v>
      </c>
      <c r="B877" t="s">
        <v>16856</v>
      </c>
      <c r="C877" t="s">
        <v>74</v>
      </c>
      <c r="D877" t="s">
        <v>74</v>
      </c>
      <c r="E877" t="s">
        <v>74</v>
      </c>
      <c r="F877" t="s">
        <v>16857</v>
      </c>
      <c r="G877" t="s">
        <v>74</v>
      </c>
      <c r="H877" t="s">
        <v>74</v>
      </c>
      <c r="I877" t="s">
        <v>16858</v>
      </c>
      <c r="J877" t="s">
        <v>16859</v>
      </c>
      <c r="K877" t="s">
        <v>74</v>
      </c>
      <c r="L877" t="s">
        <v>74</v>
      </c>
      <c r="M877" t="s">
        <v>78</v>
      </c>
      <c r="N877" t="s">
        <v>4937</v>
      </c>
      <c r="O877" t="s">
        <v>74</v>
      </c>
      <c r="P877" t="s">
        <v>74</v>
      </c>
      <c r="Q877" t="s">
        <v>74</v>
      </c>
      <c r="R877" t="s">
        <v>74</v>
      </c>
      <c r="S877" t="s">
        <v>74</v>
      </c>
      <c r="T877" t="s">
        <v>74</v>
      </c>
      <c r="U877" t="s">
        <v>74</v>
      </c>
      <c r="V877" t="s">
        <v>74</v>
      </c>
      <c r="W877" t="s">
        <v>16860</v>
      </c>
      <c r="X877" t="s">
        <v>16861</v>
      </c>
      <c r="Y877" t="s">
        <v>16862</v>
      </c>
      <c r="Z877" t="s">
        <v>16863</v>
      </c>
      <c r="AA877" t="s">
        <v>16864</v>
      </c>
      <c r="AB877" t="s">
        <v>16865</v>
      </c>
      <c r="AC877" t="s">
        <v>74</v>
      </c>
      <c r="AD877" t="s">
        <v>74</v>
      </c>
      <c r="AE877" t="s">
        <v>74</v>
      </c>
      <c r="AF877" t="s">
        <v>74</v>
      </c>
      <c r="AG877">
        <v>9</v>
      </c>
      <c r="AH877">
        <v>0</v>
      </c>
      <c r="AI877">
        <v>0</v>
      </c>
      <c r="AJ877">
        <v>0</v>
      </c>
      <c r="AK877">
        <v>10</v>
      </c>
      <c r="AL877" t="s">
        <v>6164</v>
      </c>
      <c r="AM877" t="s">
        <v>1080</v>
      </c>
      <c r="AN877" t="s">
        <v>16866</v>
      </c>
      <c r="AO877" t="s">
        <v>16867</v>
      </c>
      <c r="AP877" t="s">
        <v>16868</v>
      </c>
      <c r="AQ877" t="s">
        <v>74</v>
      </c>
      <c r="AR877" t="s">
        <v>16869</v>
      </c>
      <c r="AS877" t="s">
        <v>16870</v>
      </c>
      <c r="AT877" t="s">
        <v>14661</v>
      </c>
      <c r="AU877">
        <v>2018</v>
      </c>
      <c r="AV877">
        <v>11</v>
      </c>
      <c r="AW877">
        <v>11</v>
      </c>
      <c r="AX877" t="s">
        <v>74</v>
      </c>
      <c r="AY877" t="s">
        <v>74</v>
      </c>
      <c r="AZ877" t="s">
        <v>74</v>
      </c>
      <c r="BA877" t="s">
        <v>74</v>
      </c>
      <c r="BB877">
        <v>803</v>
      </c>
      <c r="BC877">
        <v>804</v>
      </c>
      <c r="BD877" t="s">
        <v>74</v>
      </c>
      <c r="BE877" t="s">
        <v>16871</v>
      </c>
      <c r="BF877" t="str">
        <f>HYPERLINK("http://dx.doi.org/10.1038/s41561-018-0239-9","http://dx.doi.org/10.1038/s41561-018-0239-9")</f>
        <v>http://dx.doi.org/10.1038/s41561-018-0239-9</v>
      </c>
      <c r="BG877" t="s">
        <v>74</v>
      </c>
      <c r="BH877" t="s">
        <v>74</v>
      </c>
      <c r="BI877">
        <v>3</v>
      </c>
      <c r="BJ877" t="s">
        <v>884</v>
      </c>
      <c r="BK877" t="s">
        <v>101</v>
      </c>
      <c r="BL877" t="s">
        <v>528</v>
      </c>
      <c r="BM877" t="s">
        <v>16872</v>
      </c>
      <c r="BN877" t="s">
        <v>74</v>
      </c>
      <c r="BO877" t="s">
        <v>74</v>
      </c>
      <c r="BP877" t="s">
        <v>74</v>
      </c>
      <c r="BQ877" t="s">
        <v>74</v>
      </c>
      <c r="BR877" t="s">
        <v>104</v>
      </c>
      <c r="BS877" t="s">
        <v>16873</v>
      </c>
      <c r="BT877" t="str">
        <f>HYPERLINK("https%3A%2F%2Fwww.webofscience.com%2Fwos%2Fwoscc%2Ffull-record%2FWOS:000448672100003","View Full Record in Web of Science")</f>
        <v>View Full Record in Web of Science</v>
      </c>
    </row>
    <row r="878" spans="1:72" x14ac:dyDescent="0.15">
      <c r="A878" t="s">
        <v>72</v>
      </c>
      <c r="B878" t="s">
        <v>16874</v>
      </c>
      <c r="C878" t="s">
        <v>74</v>
      </c>
      <c r="D878" t="s">
        <v>74</v>
      </c>
      <c r="E878" t="s">
        <v>74</v>
      </c>
      <c r="F878" t="s">
        <v>16875</v>
      </c>
      <c r="G878" t="s">
        <v>74</v>
      </c>
      <c r="H878" t="s">
        <v>74</v>
      </c>
      <c r="I878" t="s">
        <v>16876</v>
      </c>
      <c r="J878" t="s">
        <v>5714</v>
      </c>
      <c r="K878" t="s">
        <v>74</v>
      </c>
      <c r="L878" t="s">
        <v>74</v>
      </c>
      <c r="M878" t="s">
        <v>78</v>
      </c>
      <c r="N878" t="s">
        <v>79</v>
      </c>
      <c r="O878" t="s">
        <v>74</v>
      </c>
      <c r="P878" t="s">
        <v>74</v>
      </c>
      <c r="Q878" t="s">
        <v>74</v>
      </c>
      <c r="R878" t="s">
        <v>74</v>
      </c>
      <c r="S878" t="s">
        <v>74</v>
      </c>
      <c r="T878" t="s">
        <v>74</v>
      </c>
      <c r="U878" t="s">
        <v>16877</v>
      </c>
      <c r="V878" t="s">
        <v>16878</v>
      </c>
      <c r="W878" t="s">
        <v>16879</v>
      </c>
      <c r="X878" t="s">
        <v>16880</v>
      </c>
      <c r="Y878" t="s">
        <v>16881</v>
      </c>
      <c r="Z878" t="s">
        <v>16882</v>
      </c>
      <c r="AA878" t="s">
        <v>16883</v>
      </c>
      <c r="AB878" t="s">
        <v>16884</v>
      </c>
      <c r="AC878" t="s">
        <v>16885</v>
      </c>
      <c r="AD878" t="s">
        <v>16886</v>
      </c>
      <c r="AE878" t="s">
        <v>16887</v>
      </c>
      <c r="AF878" t="s">
        <v>74</v>
      </c>
      <c r="AG878">
        <v>88</v>
      </c>
      <c r="AH878">
        <v>13</v>
      </c>
      <c r="AI878">
        <v>16</v>
      </c>
      <c r="AJ878">
        <v>0</v>
      </c>
      <c r="AK878">
        <v>9</v>
      </c>
      <c r="AL878" t="s">
        <v>3352</v>
      </c>
      <c r="AM878" t="s">
        <v>3353</v>
      </c>
      <c r="AN878" t="s">
        <v>3354</v>
      </c>
      <c r="AO878" t="s">
        <v>5727</v>
      </c>
      <c r="AP878" t="s">
        <v>74</v>
      </c>
      <c r="AQ878" t="s">
        <v>74</v>
      </c>
      <c r="AR878" t="s">
        <v>5728</v>
      </c>
      <c r="AS878" t="s">
        <v>5729</v>
      </c>
      <c r="AT878" t="s">
        <v>16131</v>
      </c>
      <c r="AU878">
        <v>2018</v>
      </c>
      <c r="AV878">
        <v>199</v>
      </c>
      <c r="AW878" t="s">
        <v>74</v>
      </c>
      <c r="AX878" t="s">
        <v>74</v>
      </c>
      <c r="AY878" t="s">
        <v>74</v>
      </c>
      <c r="AZ878" t="s">
        <v>74</v>
      </c>
      <c r="BA878" t="s">
        <v>74</v>
      </c>
      <c r="BB878">
        <v>49</v>
      </c>
      <c r="BC878">
        <v>59</v>
      </c>
      <c r="BD878" t="s">
        <v>74</v>
      </c>
      <c r="BE878" t="s">
        <v>16888</v>
      </c>
      <c r="BF878" t="str">
        <f>HYPERLINK("http://dx.doi.org/10.1016/j.quascirev.2018.09.017","http://dx.doi.org/10.1016/j.quascirev.2018.09.017")</f>
        <v>http://dx.doi.org/10.1016/j.quascirev.2018.09.017</v>
      </c>
      <c r="BG878" t="s">
        <v>74</v>
      </c>
      <c r="BH878" t="s">
        <v>74</v>
      </c>
      <c r="BI878">
        <v>11</v>
      </c>
      <c r="BJ878" t="s">
        <v>1480</v>
      </c>
      <c r="BK878" t="s">
        <v>101</v>
      </c>
      <c r="BL878" t="s">
        <v>1481</v>
      </c>
      <c r="BM878" t="s">
        <v>16889</v>
      </c>
      <c r="BN878" t="s">
        <v>74</v>
      </c>
      <c r="BO878" t="s">
        <v>16890</v>
      </c>
      <c r="BP878" t="s">
        <v>74</v>
      </c>
      <c r="BQ878" t="s">
        <v>74</v>
      </c>
      <c r="BR878" t="s">
        <v>104</v>
      </c>
      <c r="BS878" t="s">
        <v>16891</v>
      </c>
      <c r="BT878" t="str">
        <f>HYPERLINK("https%3A%2F%2Fwww.webofscience.com%2Fwos%2Fwoscc%2Ffull-record%2FWOS:000448493900005","View Full Record in Web of Science")</f>
        <v>View Full Record in Web of Science</v>
      </c>
    </row>
    <row r="879" spans="1:72" x14ac:dyDescent="0.15">
      <c r="A879" t="s">
        <v>72</v>
      </c>
      <c r="B879" t="s">
        <v>16892</v>
      </c>
      <c r="C879" t="s">
        <v>74</v>
      </c>
      <c r="D879" t="s">
        <v>74</v>
      </c>
      <c r="E879" t="s">
        <v>74</v>
      </c>
      <c r="F879" t="s">
        <v>16893</v>
      </c>
      <c r="G879" t="s">
        <v>74</v>
      </c>
      <c r="H879" t="s">
        <v>74</v>
      </c>
      <c r="I879" t="s">
        <v>16894</v>
      </c>
      <c r="J879" t="s">
        <v>7348</v>
      </c>
      <c r="K879" t="s">
        <v>74</v>
      </c>
      <c r="L879" t="s">
        <v>74</v>
      </c>
      <c r="M879" t="s">
        <v>78</v>
      </c>
      <c r="N879" t="s">
        <v>79</v>
      </c>
      <c r="O879" t="s">
        <v>74</v>
      </c>
      <c r="P879" t="s">
        <v>74</v>
      </c>
      <c r="Q879" t="s">
        <v>74</v>
      </c>
      <c r="R879" t="s">
        <v>74</v>
      </c>
      <c r="S879" t="s">
        <v>74</v>
      </c>
      <c r="T879" t="s">
        <v>16895</v>
      </c>
      <c r="U879" t="s">
        <v>16896</v>
      </c>
      <c r="V879" t="s">
        <v>16897</v>
      </c>
      <c r="W879" t="s">
        <v>16898</v>
      </c>
      <c r="X879" t="s">
        <v>16899</v>
      </c>
      <c r="Y879" t="s">
        <v>16900</v>
      </c>
      <c r="Z879" t="s">
        <v>16901</v>
      </c>
      <c r="AA879" t="s">
        <v>16902</v>
      </c>
      <c r="AB879" t="s">
        <v>16903</v>
      </c>
      <c r="AC879" t="s">
        <v>74</v>
      </c>
      <c r="AD879" t="s">
        <v>74</v>
      </c>
      <c r="AE879" t="s">
        <v>74</v>
      </c>
      <c r="AF879" t="s">
        <v>74</v>
      </c>
      <c r="AG879">
        <v>47</v>
      </c>
      <c r="AH879">
        <v>14</v>
      </c>
      <c r="AI879">
        <v>14</v>
      </c>
      <c r="AJ879">
        <v>3</v>
      </c>
      <c r="AK879">
        <v>25</v>
      </c>
      <c r="AL879" t="s">
        <v>3352</v>
      </c>
      <c r="AM879" t="s">
        <v>3353</v>
      </c>
      <c r="AN879" t="s">
        <v>3354</v>
      </c>
      <c r="AO879" t="s">
        <v>7360</v>
      </c>
      <c r="AP879" t="s">
        <v>7361</v>
      </c>
      <c r="AQ879" t="s">
        <v>74</v>
      </c>
      <c r="AR879" t="s">
        <v>7362</v>
      </c>
      <c r="AS879" t="s">
        <v>7363</v>
      </c>
      <c r="AT879" t="s">
        <v>14661</v>
      </c>
      <c r="AU879">
        <v>2018</v>
      </c>
      <c r="AV879">
        <v>192</v>
      </c>
      <c r="AW879" t="s">
        <v>74</v>
      </c>
      <c r="AX879" t="s">
        <v>74</v>
      </c>
      <c r="AY879" t="s">
        <v>74</v>
      </c>
      <c r="AZ879" t="s">
        <v>74</v>
      </c>
      <c r="BA879" t="s">
        <v>74</v>
      </c>
      <c r="BB879">
        <v>173</v>
      </c>
      <c r="BC879">
        <v>181</v>
      </c>
      <c r="BD879" t="s">
        <v>74</v>
      </c>
      <c r="BE879" t="s">
        <v>16904</v>
      </c>
      <c r="BF879" t="str">
        <f>HYPERLINK("http://dx.doi.org/10.1016/j.atmosenv.2018.07.046","http://dx.doi.org/10.1016/j.atmosenv.2018.07.046")</f>
        <v>http://dx.doi.org/10.1016/j.atmosenv.2018.07.046</v>
      </c>
      <c r="BG879" t="s">
        <v>74</v>
      </c>
      <c r="BH879" t="s">
        <v>74</v>
      </c>
      <c r="BI879">
        <v>9</v>
      </c>
      <c r="BJ879" t="s">
        <v>2635</v>
      </c>
      <c r="BK879" t="s">
        <v>101</v>
      </c>
      <c r="BL879" t="s">
        <v>2636</v>
      </c>
      <c r="BM879" t="s">
        <v>16905</v>
      </c>
      <c r="BN879" t="s">
        <v>74</v>
      </c>
      <c r="BO879" t="s">
        <v>74</v>
      </c>
      <c r="BP879" t="s">
        <v>74</v>
      </c>
      <c r="BQ879" t="s">
        <v>74</v>
      </c>
      <c r="BR879" t="s">
        <v>104</v>
      </c>
      <c r="BS879" t="s">
        <v>16906</v>
      </c>
      <c r="BT879" t="str">
        <f>HYPERLINK("https%3A%2F%2Fwww.webofscience.com%2Fwos%2Fwoscc%2Ffull-record%2FWOS:000447819900016","View Full Record in Web of Science")</f>
        <v>View Full Record in Web of Science</v>
      </c>
    </row>
    <row r="880" spans="1:72" x14ac:dyDescent="0.15">
      <c r="A880" t="s">
        <v>72</v>
      </c>
      <c r="B880" t="s">
        <v>16907</v>
      </c>
      <c r="C880" t="s">
        <v>74</v>
      </c>
      <c r="D880" t="s">
        <v>74</v>
      </c>
      <c r="E880" t="s">
        <v>74</v>
      </c>
      <c r="F880" t="s">
        <v>16908</v>
      </c>
      <c r="G880" t="s">
        <v>74</v>
      </c>
      <c r="H880" t="s">
        <v>74</v>
      </c>
      <c r="I880" t="s">
        <v>16909</v>
      </c>
      <c r="J880" t="s">
        <v>15506</v>
      </c>
      <c r="K880" t="s">
        <v>74</v>
      </c>
      <c r="L880" t="s">
        <v>74</v>
      </c>
      <c r="M880" t="s">
        <v>78</v>
      </c>
      <c r="N880" t="s">
        <v>79</v>
      </c>
      <c r="O880" t="s">
        <v>74</v>
      </c>
      <c r="P880" t="s">
        <v>74</v>
      </c>
      <c r="Q880" t="s">
        <v>74</v>
      </c>
      <c r="R880" t="s">
        <v>74</v>
      </c>
      <c r="S880" t="s">
        <v>74</v>
      </c>
      <c r="T880" t="s">
        <v>16910</v>
      </c>
      <c r="U880" t="s">
        <v>16911</v>
      </c>
      <c r="V880" t="s">
        <v>16912</v>
      </c>
      <c r="W880" t="s">
        <v>16913</v>
      </c>
      <c r="X880" t="s">
        <v>4947</v>
      </c>
      <c r="Y880" t="s">
        <v>16914</v>
      </c>
      <c r="Z880" t="s">
        <v>7479</v>
      </c>
      <c r="AA880" t="s">
        <v>16915</v>
      </c>
      <c r="AB880" t="s">
        <v>16916</v>
      </c>
      <c r="AC880" t="s">
        <v>16917</v>
      </c>
      <c r="AD880" t="s">
        <v>16918</v>
      </c>
      <c r="AE880" t="s">
        <v>16919</v>
      </c>
      <c r="AF880" t="s">
        <v>74</v>
      </c>
      <c r="AG880">
        <v>100</v>
      </c>
      <c r="AH880">
        <v>43</v>
      </c>
      <c r="AI880">
        <v>47</v>
      </c>
      <c r="AJ880">
        <v>5</v>
      </c>
      <c r="AK880">
        <v>52</v>
      </c>
      <c r="AL880" t="s">
        <v>3670</v>
      </c>
      <c r="AM880" t="s">
        <v>3671</v>
      </c>
      <c r="AN880" t="s">
        <v>3672</v>
      </c>
      <c r="AO880" t="s">
        <v>15519</v>
      </c>
      <c r="AP880" t="s">
        <v>15520</v>
      </c>
      <c r="AQ880" t="s">
        <v>74</v>
      </c>
      <c r="AR880" t="s">
        <v>15521</v>
      </c>
      <c r="AS880" t="s">
        <v>15522</v>
      </c>
      <c r="AT880" t="s">
        <v>14661</v>
      </c>
      <c r="AU880">
        <v>2018</v>
      </c>
      <c r="AV880">
        <v>24</v>
      </c>
      <c r="AW880">
        <v>11</v>
      </c>
      <c r="AX880" t="s">
        <v>74</v>
      </c>
      <c r="AY880" t="s">
        <v>74</v>
      </c>
      <c r="AZ880" t="s">
        <v>74</v>
      </c>
      <c r="BA880" t="s">
        <v>74</v>
      </c>
      <c r="BB880">
        <v>5440</v>
      </c>
      <c r="BC880">
        <v>5453</v>
      </c>
      <c r="BD880" t="s">
        <v>74</v>
      </c>
      <c r="BE880" t="s">
        <v>16920</v>
      </c>
      <c r="BF880" t="str">
        <f>HYPERLINK("http://dx.doi.org/10.1111/gcb.14398","http://dx.doi.org/10.1111/gcb.14398")</f>
        <v>http://dx.doi.org/10.1111/gcb.14398</v>
      </c>
      <c r="BG880" t="s">
        <v>74</v>
      </c>
      <c r="BH880" t="s">
        <v>74</v>
      </c>
      <c r="BI880">
        <v>14</v>
      </c>
      <c r="BJ880" t="s">
        <v>6570</v>
      </c>
      <c r="BK880" t="s">
        <v>101</v>
      </c>
      <c r="BL880" t="s">
        <v>102</v>
      </c>
      <c r="BM880" t="s">
        <v>15524</v>
      </c>
      <c r="BN880">
        <v>30003633</v>
      </c>
      <c r="BO880" t="s">
        <v>16615</v>
      </c>
      <c r="BP880" t="s">
        <v>74</v>
      </c>
      <c r="BQ880" t="s">
        <v>74</v>
      </c>
      <c r="BR880" t="s">
        <v>104</v>
      </c>
      <c r="BS880" t="s">
        <v>16921</v>
      </c>
      <c r="BT880" t="str">
        <f>HYPERLINK("https%3A%2F%2Fwww.webofscience.com%2Fwos%2Fwoscc%2Ffull-record%2FWOS:000447760300034","View Full Record in Web of Science")</f>
        <v>View Full Record in Web of Science</v>
      </c>
    </row>
    <row r="881" spans="1:72" x14ac:dyDescent="0.15">
      <c r="A881" t="s">
        <v>72</v>
      </c>
      <c r="B881" t="s">
        <v>16922</v>
      </c>
      <c r="C881" t="s">
        <v>74</v>
      </c>
      <c r="D881" t="s">
        <v>74</v>
      </c>
      <c r="E881" t="s">
        <v>74</v>
      </c>
      <c r="F881" t="s">
        <v>16923</v>
      </c>
      <c r="G881" t="s">
        <v>74</v>
      </c>
      <c r="H881" t="s">
        <v>74</v>
      </c>
      <c r="I881" t="s">
        <v>16924</v>
      </c>
      <c r="J881" t="s">
        <v>7392</v>
      </c>
      <c r="K881" t="s">
        <v>74</v>
      </c>
      <c r="L881" t="s">
        <v>74</v>
      </c>
      <c r="M881" t="s">
        <v>78</v>
      </c>
      <c r="N881" t="s">
        <v>79</v>
      </c>
      <c r="O881" t="s">
        <v>74</v>
      </c>
      <c r="P881" t="s">
        <v>74</v>
      </c>
      <c r="Q881" t="s">
        <v>74</v>
      </c>
      <c r="R881" t="s">
        <v>74</v>
      </c>
      <c r="S881" t="s">
        <v>74</v>
      </c>
      <c r="T881" t="s">
        <v>16925</v>
      </c>
      <c r="U881" t="s">
        <v>16926</v>
      </c>
      <c r="V881" t="s">
        <v>16927</v>
      </c>
      <c r="W881" t="s">
        <v>16928</v>
      </c>
      <c r="X881" t="s">
        <v>16929</v>
      </c>
      <c r="Y881" t="s">
        <v>16930</v>
      </c>
      <c r="Z881" t="s">
        <v>16931</v>
      </c>
      <c r="AA881" t="s">
        <v>16932</v>
      </c>
      <c r="AB881" t="s">
        <v>16933</v>
      </c>
      <c r="AC881" t="s">
        <v>16934</v>
      </c>
      <c r="AD881" t="s">
        <v>9677</v>
      </c>
      <c r="AE881" t="s">
        <v>16935</v>
      </c>
      <c r="AF881" t="s">
        <v>74</v>
      </c>
      <c r="AG881">
        <v>79</v>
      </c>
      <c r="AH881">
        <v>20</v>
      </c>
      <c r="AI881">
        <v>23</v>
      </c>
      <c r="AJ881">
        <v>0</v>
      </c>
      <c r="AK881">
        <v>12</v>
      </c>
      <c r="AL881" t="s">
        <v>2519</v>
      </c>
      <c r="AM881" t="s">
        <v>2520</v>
      </c>
      <c r="AN881" t="s">
        <v>3313</v>
      </c>
      <c r="AO881" t="s">
        <v>7405</v>
      </c>
      <c r="AP881" t="s">
        <v>7406</v>
      </c>
      <c r="AQ881" t="s">
        <v>74</v>
      </c>
      <c r="AR881" t="s">
        <v>7407</v>
      </c>
      <c r="AS881" t="s">
        <v>7408</v>
      </c>
      <c r="AT881" t="s">
        <v>16131</v>
      </c>
      <c r="AU881">
        <v>2018</v>
      </c>
      <c r="AV881">
        <v>501</v>
      </c>
      <c r="AW881" t="s">
        <v>74</v>
      </c>
      <c r="AX881" t="s">
        <v>74</v>
      </c>
      <c r="AY881" t="s">
        <v>74</v>
      </c>
      <c r="AZ881" t="s">
        <v>74</v>
      </c>
      <c r="BA881" t="s">
        <v>74</v>
      </c>
      <c r="BB881">
        <v>56</v>
      </c>
      <c r="BC881">
        <v>66</v>
      </c>
      <c r="BD881" t="s">
        <v>74</v>
      </c>
      <c r="BE881" t="s">
        <v>16936</v>
      </c>
      <c r="BF881" t="str">
        <f>HYPERLINK("http://dx.doi.org/10.1016/j.epsl.2018.08.018","http://dx.doi.org/10.1016/j.epsl.2018.08.018")</f>
        <v>http://dx.doi.org/10.1016/j.epsl.2018.08.018</v>
      </c>
      <c r="BG881" t="s">
        <v>74</v>
      </c>
      <c r="BH881" t="s">
        <v>74</v>
      </c>
      <c r="BI881">
        <v>11</v>
      </c>
      <c r="BJ881" t="s">
        <v>746</v>
      </c>
      <c r="BK881" t="s">
        <v>101</v>
      </c>
      <c r="BL881" t="s">
        <v>746</v>
      </c>
      <c r="BM881" t="s">
        <v>16937</v>
      </c>
      <c r="BN881" t="s">
        <v>74</v>
      </c>
      <c r="BO881" t="s">
        <v>5627</v>
      </c>
      <c r="BP881" t="s">
        <v>74</v>
      </c>
      <c r="BQ881" t="s">
        <v>74</v>
      </c>
      <c r="BR881" t="s">
        <v>104</v>
      </c>
      <c r="BS881" t="s">
        <v>16938</v>
      </c>
      <c r="BT881" t="str">
        <f>HYPERLINK("https%3A%2F%2Fwww.webofscience.com%2Fwos%2Fwoscc%2Ffull-record%2FWOS:000447105000006","View Full Record in Web of Science")</f>
        <v>View Full Record in Web of Science</v>
      </c>
    </row>
    <row r="882" spans="1:72" x14ac:dyDescent="0.15">
      <c r="A882" t="s">
        <v>72</v>
      </c>
      <c r="B882" t="s">
        <v>16939</v>
      </c>
      <c r="C882" t="s">
        <v>74</v>
      </c>
      <c r="D882" t="s">
        <v>74</v>
      </c>
      <c r="E882" t="s">
        <v>74</v>
      </c>
      <c r="F882" t="s">
        <v>16940</v>
      </c>
      <c r="G882" t="s">
        <v>74</v>
      </c>
      <c r="H882" t="s">
        <v>74</v>
      </c>
      <c r="I882" t="s">
        <v>16941</v>
      </c>
      <c r="J882" t="s">
        <v>16942</v>
      </c>
      <c r="K882" t="s">
        <v>74</v>
      </c>
      <c r="L882" t="s">
        <v>74</v>
      </c>
      <c r="M882" t="s">
        <v>78</v>
      </c>
      <c r="N882" t="s">
        <v>79</v>
      </c>
      <c r="O882" t="s">
        <v>74</v>
      </c>
      <c r="P882" t="s">
        <v>74</v>
      </c>
      <c r="Q882" t="s">
        <v>74</v>
      </c>
      <c r="R882" t="s">
        <v>74</v>
      </c>
      <c r="S882" t="s">
        <v>74</v>
      </c>
      <c r="T882" t="s">
        <v>16943</v>
      </c>
      <c r="U882" t="s">
        <v>16944</v>
      </c>
      <c r="V882" t="s">
        <v>16945</v>
      </c>
      <c r="W882" t="s">
        <v>16946</v>
      </c>
      <c r="X882" t="s">
        <v>16947</v>
      </c>
      <c r="Y882" t="s">
        <v>16948</v>
      </c>
      <c r="Z882" t="s">
        <v>16949</v>
      </c>
      <c r="AA882" t="s">
        <v>16950</v>
      </c>
      <c r="AB882" t="s">
        <v>16951</v>
      </c>
      <c r="AC882" t="s">
        <v>16952</v>
      </c>
      <c r="AD882" t="s">
        <v>16953</v>
      </c>
      <c r="AE882" t="s">
        <v>16954</v>
      </c>
      <c r="AF882" t="s">
        <v>74</v>
      </c>
      <c r="AG882">
        <v>95</v>
      </c>
      <c r="AH882">
        <v>9</v>
      </c>
      <c r="AI882">
        <v>10</v>
      </c>
      <c r="AJ882">
        <v>0</v>
      </c>
      <c r="AK882">
        <v>8</v>
      </c>
      <c r="AL882" t="s">
        <v>4632</v>
      </c>
      <c r="AM882" t="s">
        <v>4633</v>
      </c>
      <c r="AN882" t="s">
        <v>4634</v>
      </c>
      <c r="AO882" t="s">
        <v>16955</v>
      </c>
      <c r="AP882" t="s">
        <v>16956</v>
      </c>
      <c r="AQ882" t="s">
        <v>74</v>
      </c>
      <c r="AR882" t="s">
        <v>16957</v>
      </c>
      <c r="AS882" t="s">
        <v>16958</v>
      </c>
      <c r="AT882" t="s">
        <v>14661</v>
      </c>
      <c r="AU882">
        <v>2018</v>
      </c>
      <c r="AV882">
        <v>15</v>
      </c>
      <c r="AW882">
        <v>7</v>
      </c>
      <c r="AX882" t="s">
        <v>74</v>
      </c>
      <c r="AY882" t="s">
        <v>74</v>
      </c>
      <c r="AZ882" t="s">
        <v>74</v>
      </c>
      <c r="BA882" t="s">
        <v>74</v>
      </c>
      <c r="BB882">
        <v>424</v>
      </c>
      <c r="BC882">
        <v>435</v>
      </c>
      <c r="BD882" t="s">
        <v>74</v>
      </c>
      <c r="BE882" t="s">
        <v>16959</v>
      </c>
      <c r="BF882" t="str">
        <f>HYPERLINK("http://dx.doi.org/10.1071/EN18130","http://dx.doi.org/10.1071/EN18130")</f>
        <v>http://dx.doi.org/10.1071/EN18130</v>
      </c>
      <c r="BG882" t="s">
        <v>74</v>
      </c>
      <c r="BH882" t="s">
        <v>74</v>
      </c>
      <c r="BI882">
        <v>12</v>
      </c>
      <c r="BJ882" t="s">
        <v>16960</v>
      </c>
      <c r="BK882" t="s">
        <v>101</v>
      </c>
      <c r="BL882" t="s">
        <v>16961</v>
      </c>
      <c r="BM882" t="s">
        <v>16962</v>
      </c>
      <c r="BN882" t="s">
        <v>74</v>
      </c>
      <c r="BO882" t="s">
        <v>74</v>
      </c>
      <c r="BP882" t="s">
        <v>74</v>
      </c>
      <c r="BQ882" t="s">
        <v>74</v>
      </c>
      <c r="BR882" t="s">
        <v>104</v>
      </c>
      <c r="BS882" t="s">
        <v>16963</v>
      </c>
      <c r="BT882" t="str">
        <f>HYPERLINK("https%3A%2F%2Fwww.webofscience.com%2Fwos%2Fwoscc%2Ffull-record%2FWOS:000450680900004","View Full Record in Web of Science")</f>
        <v>View Full Record in Web of Science</v>
      </c>
    </row>
    <row r="883" spans="1:72" x14ac:dyDescent="0.15">
      <c r="A883" t="s">
        <v>72</v>
      </c>
      <c r="B883" t="s">
        <v>16964</v>
      </c>
      <c r="C883" t="s">
        <v>74</v>
      </c>
      <c r="D883" t="s">
        <v>74</v>
      </c>
      <c r="E883" t="s">
        <v>74</v>
      </c>
      <c r="F883" t="s">
        <v>16965</v>
      </c>
      <c r="G883" t="s">
        <v>74</v>
      </c>
      <c r="H883" t="s">
        <v>74</v>
      </c>
      <c r="I883" t="s">
        <v>16966</v>
      </c>
      <c r="J883" t="s">
        <v>5224</v>
      </c>
      <c r="K883" t="s">
        <v>74</v>
      </c>
      <c r="L883" t="s">
        <v>74</v>
      </c>
      <c r="M883" t="s">
        <v>78</v>
      </c>
      <c r="N883" t="s">
        <v>79</v>
      </c>
      <c r="O883" t="s">
        <v>74</v>
      </c>
      <c r="P883" t="s">
        <v>74</v>
      </c>
      <c r="Q883" t="s">
        <v>74</v>
      </c>
      <c r="R883" t="s">
        <v>74</v>
      </c>
      <c r="S883" t="s">
        <v>74</v>
      </c>
      <c r="T883" t="s">
        <v>16967</v>
      </c>
      <c r="U883" t="s">
        <v>16968</v>
      </c>
      <c r="V883" t="s">
        <v>16969</v>
      </c>
      <c r="W883" t="s">
        <v>16970</v>
      </c>
      <c r="X883" t="s">
        <v>16971</v>
      </c>
      <c r="Y883" t="s">
        <v>16972</v>
      </c>
      <c r="Z883" t="s">
        <v>16973</v>
      </c>
      <c r="AA883" t="s">
        <v>16974</v>
      </c>
      <c r="AB883" t="s">
        <v>16975</v>
      </c>
      <c r="AC883" t="s">
        <v>16976</v>
      </c>
      <c r="AD883" t="s">
        <v>16977</v>
      </c>
      <c r="AE883" t="s">
        <v>16978</v>
      </c>
      <c r="AF883" t="s">
        <v>74</v>
      </c>
      <c r="AG883">
        <v>47</v>
      </c>
      <c r="AH883">
        <v>26</v>
      </c>
      <c r="AI883">
        <v>28</v>
      </c>
      <c r="AJ883">
        <v>4</v>
      </c>
      <c r="AK883">
        <v>63</v>
      </c>
      <c r="AL883" t="s">
        <v>5236</v>
      </c>
      <c r="AM883" t="s">
        <v>5125</v>
      </c>
      <c r="AN883" t="s">
        <v>16979</v>
      </c>
      <c r="AO883" t="s">
        <v>5238</v>
      </c>
      <c r="AP883" t="s">
        <v>5239</v>
      </c>
      <c r="AQ883" t="s">
        <v>74</v>
      </c>
      <c r="AR883" t="s">
        <v>5224</v>
      </c>
      <c r="AS883" t="s">
        <v>5240</v>
      </c>
      <c r="AT883" t="s">
        <v>14661</v>
      </c>
      <c r="AU883">
        <v>2018</v>
      </c>
      <c r="AV883">
        <v>22</v>
      </c>
      <c r="AW883">
        <v>6</v>
      </c>
      <c r="AX883" t="s">
        <v>74</v>
      </c>
      <c r="AY883" t="s">
        <v>74</v>
      </c>
      <c r="AZ883" t="s">
        <v>74</v>
      </c>
      <c r="BA883" t="s">
        <v>74</v>
      </c>
      <c r="BB883">
        <v>917</v>
      </c>
      <c r="BC883">
        <v>929</v>
      </c>
      <c r="BD883" t="s">
        <v>74</v>
      </c>
      <c r="BE883" t="s">
        <v>16980</v>
      </c>
      <c r="BF883" t="str">
        <f>HYPERLINK("http://dx.doi.org/10.1007/s00792-018-1048-1","http://dx.doi.org/10.1007/s00792-018-1048-1")</f>
        <v>http://dx.doi.org/10.1007/s00792-018-1048-1</v>
      </c>
      <c r="BG883" t="s">
        <v>74</v>
      </c>
      <c r="BH883" t="s">
        <v>74</v>
      </c>
      <c r="BI883">
        <v>13</v>
      </c>
      <c r="BJ883" t="s">
        <v>5242</v>
      </c>
      <c r="BK883" t="s">
        <v>101</v>
      </c>
      <c r="BL883" t="s">
        <v>5242</v>
      </c>
      <c r="BM883" t="s">
        <v>16981</v>
      </c>
      <c r="BN883">
        <v>30109444</v>
      </c>
      <c r="BO883" t="s">
        <v>4426</v>
      </c>
      <c r="BP883" t="s">
        <v>74</v>
      </c>
      <c r="BQ883" t="s">
        <v>74</v>
      </c>
      <c r="BR883" t="s">
        <v>104</v>
      </c>
      <c r="BS883" t="s">
        <v>16982</v>
      </c>
      <c r="BT883" t="str">
        <f>HYPERLINK("https%3A%2F%2Fwww.webofscience.com%2Fwos%2Fwoscc%2Ffull-record%2FWOS:000446713100009","View Full Record in Web of Science")</f>
        <v>View Full Record in Web of Science</v>
      </c>
    </row>
    <row r="884" spans="1:72" x14ac:dyDescent="0.15">
      <c r="A884" t="s">
        <v>72</v>
      </c>
      <c r="B884" t="s">
        <v>16983</v>
      </c>
      <c r="C884" t="s">
        <v>74</v>
      </c>
      <c r="D884" t="s">
        <v>74</v>
      </c>
      <c r="E884" t="s">
        <v>74</v>
      </c>
      <c r="F884" t="s">
        <v>16984</v>
      </c>
      <c r="G884" t="s">
        <v>74</v>
      </c>
      <c r="H884" t="s">
        <v>74</v>
      </c>
      <c r="I884" t="s">
        <v>16985</v>
      </c>
      <c r="J884" t="s">
        <v>8055</v>
      </c>
      <c r="K884" t="s">
        <v>74</v>
      </c>
      <c r="L884" t="s">
        <v>74</v>
      </c>
      <c r="M884" t="s">
        <v>78</v>
      </c>
      <c r="N884" t="s">
        <v>79</v>
      </c>
      <c r="O884" t="s">
        <v>74</v>
      </c>
      <c r="P884" t="s">
        <v>74</v>
      </c>
      <c r="Q884" t="s">
        <v>74</v>
      </c>
      <c r="R884" t="s">
        <v>74</v>
      </c>
      <c r="S884" t="s">
        <v>74</v>
      </c>
      <c r="T884" t="s">
        <v>16986</v>
      </c>
      <c r="U884" t="s">
        <v>16987</v>
      </c>
      <c r="V884" t="s">
        <v>16988</v>
      </c>
      <c r="W884" t="s">
        <v>16989</v>
      </c>
      <c r="X884" t="s">
        <v>16990</v>
      </c>
      <c r="Y884" t="s">
        <v>16991</v>
      </c>
      <c r="Z884" t="s">
        <v>16992</v>
      </c>
      <c r="AA884" t="s">
        <v>16993</v>
      </c>
      <c r="AB884" t="s">
        <v>16994</v>
      </c>
      <c r="AC884" t="s">
        <v>16995</v>
      </c>
      <c r="AD884" t="s">
        <v>16996</v>
      </c>
      <c r="AE884" t="s">
        <v>16997</v>
      </c>
      <c r="AF884" t="s">
        <v>74</v>
      </c>
      <c r="AG884">
        <v>68</v>
      </c>
      <c r="AH884">
        <v>35</v>
      </c>
      <c r="AI884">
        <v>39</v>
      </c>
      <c r="AJ884">
        <v>2</v>
      </c>
      <c r="AK884">
        <v>26</v>
      </c>
      <c r="AL884" t="s">
        <v>7949</v>
      </c>
      <c r="AM884" t="s">
        <v>7950</v>
      </c>
      <c r="AN884" t="s">
        <v>7951</v>
      </c>
      <c r="AO884" t="s">
        <v>74</v>
      </c>
      <c r="AP884" t="s">
        <v>8066</v>
      </c>
      <c r="AQ884" t="s">
        <v>74</v>
      </c>
      <c r="AR884" t="s">
        <v>8067</v>
      </c>
      <c r="AS884" t="s">
        <v>8068</v>
      </c>
      <c r="AT884" t="s">
        <v>16131</v>
      </c>
      <c r="AU884">
        <v>2018</v>
      </c>
      <c r="AV884">
        <v>9</v>
      </c>
      <c r="AW884" t="s">
        <v>74</v>
      </c>
      <c r="AX884" t="s">
        <v>74</v>
      </c>
      <c r="AY884" t="s">
        <v>74</v>
      </c>
      <c r="AZ884" t="s">
        <v>74</v>
      </c>
      <c r="BA884" t="s">
        <v>74</v>
      </c>
      <c r="BB884" t="s">
        <v>74</v>
      </c>
      <c r="BC884" t="s">
        <v>74</v>
      </c>
      <c r="BD884">
        <v>2619</v>
      </c>
      <c r="BE884" t="s">
        <v>16998</v>
      </c>
      <c r="BF884" t="str">
        <f>HYPERLINK("http://dx.doi.org/10.3389/fmicb.2018.02619","http://dx.doi.org/10.3389/fmicb.2018.02619")</f>
        <v>http://dx.doi.org/10.3389/fmicb.2018.02619</v>
      </c>
      <c r="BG884" t="s">
        <v>74</v>
      </c>
      <c r="BH884" t="s">
        <v>74</v>
      </c>
      <c r="BI884">
        <v>12</v>
      </c>
      <c r="BJ884" t="s">
        <v>4119</v>
      </c>
      <c r="BK884" t="s">
        <v>101</v>
      </c>
      <c r="BL884" t="s">
        <v>4119</v>
      </c>
      <c r="BM884" t="s">
        <v>16999</v>
      </c>
      <c r="BN884">
        <v>30450087</v>
      </c>
      <c r="BO884" t="s">
        <v>221</v>
      </c>
      <c r="BP884" t="s">
        <v>74</v>
      </c>
      <c r="BQ884" t="s">
        <v>74</v>
      </c>
      <c r="BR884" t="s">
        <v>104</v>
      </c>
      <c r="BS884" t="s">
        <v>17000</v>
      </c>
      <c r="BT884" t="str">
        <f>HYPERLINK("https%3A%2F%2Fwww.webofscience.com%2Fwos%2Fwoscc%2Ffull-record%2FWOS:000448984200001","View Full Record in Web of Science")</f>
        <v>View Full Record in Web of Science</v>
      </c>
    </row>
    <row r="885" spans="1:72" x14ac:dyDescent="0.15">
      <c r="A885" t="s">
        <v>72</v>
      </c>
      <c r="B885" t="s">
        <v>17001</v>
      </c>
      <c r="C885" t="s">
        <v>74</v>
      </c>
      <c r="D885" t="s">
        <v>74</v>
      </c>
      <c r="E885" t="s">
        <v>74</v>
      </c>
      <c r="F885" t="s">
        <v>17002</v>
      </c>
      <c r="G885" t="s">
        <v>74</v>
      </c>
      <c r="H885" t="s">
        <v>74</v>
      </c>
      <c r="I885" t="s">
        <v>17003</v>
      </c>
      <c r="J885" t="s">
        <v>3742</v>
      </c>
      <c r="K885" t="s">
        <v>74</v>
      </c>
      <c r="L885" t="s">
        <v>74</v>
      </c>
      <c r="M885" t="s">
        <v>78</v>
      </c>
      <c r="N885" t="s">
        <v>79</v>
      </c>
      <c r="O885" t="s">
        <v>74</v>
      </c>
      <c r="P885" t="s">
        <v>74</v>
      </c>
      <c r="Q885" t="s">
        <v>74</v>
      </c>
      <c r="R885" t="s">
        <v>74</v>
      </c>
      <c r="S885" t="s">
        <v>74</v>
      </c>
      <c r="T885" t="s">
        <v>17004</v>
      </c>
      <c r="U885" t="s">
        <v>17005</v>
      </c>
      <c r="V885" t="s">
        <v>17006</v>
      </c>
      <c r="W885" t="s">
        <v>17007</v>
      </c>
      <c r="X885" t="s">
        <v>17008</v>
      </c>
      <c r="Y885" t="s">
        <v>17009</v>
      </c>
      <c r="Z885" t="s">
        <v>17010</v>
      </c>
      <c r="AA885" t="s">
        <v>17011</v>
      </c>
      <c r="AB885" t="s">
        <v>17012</v>
      </c>
      <c r="AC885" t="s">
        <v>17013</v>
      </c>
      <c r="AD885" t="s">
        <v>17014</v>
      </c>
      <c r="AE885" t="s">
        <v>17015</v>
      </c>
      <c r="AF885" t="s">
        <v>74</v>
      </c>
      <c r="AG885">
        <v>53</v>
      </c>
      <c r="AH885">
        <v>8</v>
      </c>
      <c r="AI885">
        <v>8</v>
      </c>
      <c r="AJ885">
        <v>1</v>
      </c>
      <c r="AK885">
        <v>22</v>
      </c>
      <c r="AL885" t="s">
        <v>3729</v>
      </c>
      <c r="AM885" t="s">
        <v>3353</v>
      </c>
      <c r="AN885" t="s">
        <v>3730</v>
      </c>
      <c r="AO885" t="s">
        <v>3754</v>
      </c>
      <c r="AP885" t="s">
        <v>3755</v>
      </c>
      <c r="AQ885" t="s">
        <v>74</v>
      </c>
      <c r="AR885" t="s">
        <v>3756</v>
      </c>
      <c r="AS885" t="s">
        <v>3757</v>
      </c>
      <c r="AT885" t="s">
        <v>14880</v>
      </c>
      <c r="AU885">
        <v>2018</v>
      </c>
      <c r="AV885">
        <v>75</v>
      </c>
      <c r="AW885">
        <v>6</v>
      </c>
      <c r="AX885" t="s">
        <v>74</v>
      </c>
      <c r="AY885" t="s">
        <v>74</v>
      </c>
      <c r="AZ885" t="s">
        <v>74</v>
      </c>
      <c r="BA885" t="s">
        <v>74</v>
      </c>
      <c r="BB885">
        <v>1940</v>
      </c>
      <c r="BC885">
        <v>1948</v>
      </c>
      <c r="BD885" t="s">
        <v>74</v>
      </c>
      <c r="BE885" t="s">
        <v>17016</v>
      </c>
      <c r="BF885" t="str">
        <f>HYPERLINK("http://dx.doi.org/10.1093/icesjms/fsy061","http://dx.doi.org/10.1093/icesjms/fsy061")</f>
        <v>http://dx.doi.org/10.1093/icesjms/fsy061</v>
      </c>
      <c r="BG885" t="s">
        <v>74</v>
      </c>
      <c r="BH885" t="s">
        <v>74</v>
      </c>
      <c r="BI885">
        <v>9</v>
      </c>
      <c r="BJ885" t="s">
        <v>3759</v>
      </c>
      <c r="BK885" t="s">
        <v>101</v>
      </c>
      <c r="BL885" t="s">
        <v>3759</v>
      </c>
      <c r="BM885" t="s">
        <v>15607</v>
      </c>
      <c r="BN885" t="s">
        <v>74</v>
      </c>
      <c r="BO885" t="s">
        <v>74</v>
      </c>
      <c r="BP885" t="s">
        <v>74</v>
      </c>
      <c r="BQ885" t="s">
        <v>74</v>
      </c>
      <c r="BR885" t="s">
        <v>104</v>
      </c>
      <c r="BS885" t="s">
        <v>17017</v>
      </c>
      <c r="BT885" t="str">
        <f>HYPERLINK("https%3A%2F%2Fwww.webofscience.com%2Fwos%2Fwoscc%2Ffull-record%2FWOS:000452130300009","View Full Record in Web of Science")</f>
        <v>View Full Record in Web of Science</v>
      </c>
    </row>
    <row r="886" spans="1:72" x14ac:dyDescent="0.15">
      <c r="A886" t="s">
        <v>72</v>
      </c>
      <c r="B886" t="s">
        <v>17018</v>
      </c>
      <c r="C886" t="s">
        <v>74</v>
      </c>
      <c r="D886" t="s">
        <v>74</v>
      </c>
      <c r="E886" t="s">
        <v>74</v>
      </c>
      <c r="F886" t="s">
        <v>17019</v>
      </c>
      <c r="G886" t="s">
        <v>74</v>
      </c>
      <c r="H886" t="s">
        <v>74</v>
      </c>
      <c r="I886" t="s">
        <v>17020</v>
      </c>
      <c r="J886" t="s">
        <v>4475</v>
      </c>
      <c r="K886" t="s">
        <v>74</v>
      </c>
      <c r="L886" t="s">
        <v>74</v>
      </c>
      <c r="M886" t="s">
        <v>78</v>
      </c>
      <c r="N886" t="s">
        <v>79</v>
      </c>
      <c r="O886" t="s">
        <v>74</v>
      </c>
      <c r="P886" t="s">
        <v>74</v>
      </c>
      <c r="Q886" t="s">
        <v>74</v>
      </c>
      <c r="R886" t="s">
        <v>74</v>
      </c>
      <c r="S886" t="s">
        <v>74</v>
      </c>
      <c r="T886" t="s">
        <v>17021</v>
      </c>
      <c r="U886" t="s">
        <v>17022</v>
      </c>
      <c r="V886" t="s">
        <v>17023</v>
      </c>
      <c r="W886" t="s">
        <v>17024</v>
      </c>
      <c r="X886" t="s">
        <v>17025</v>
      </c>
      <c r="Y886" t="s">
        <v>17026</v>
      </c>
      <c r="Z886" t="s">
        <v>17027</v>
      </c>
      <c r="AA886" t="s">
        <v>17028</v>
      </c>
      <c r="AB886" t="s">
        <v>17029</v>
      </c>
      <c r="AC886" t="s">
        <v>17030</v>
      </c>
      <c r="AD886" t="s">
        <v>17031</v>
      </c>
      <c r="AE886" t="s">
        <v>17032</v>
      </c>
      <c r="AF886" t="s">
        <v>74</v>
      </c>
      <c r="AG886">
        <v>78</v>
      </c>
      <c r="AH886">
        <v>127</v>
      </c>
      <c r="AI886">
        <v>130</v>
      </c>
      <c r="AJ886">
        <v>2</v>
      </c>
      <c r="AK886">
        <v>19</v>
      </c>
      <c r="AL886" t="s">
        <v>4034</v>
      </c>
      <c r="AM886" t="s">
        <v>4035</v>
      </c>
      <c r="AN886" t="s">
        <v>4036</v>
      </c>
      <c r="AO886" t="s">
        <v>74</v>
      </c>
      <c r="AP886" t="s">
        <v>4487</v>
      </c>
      <c r="AQ886" t="s">
        <v>74</v>
      </c>
      <c r="AR886" t="s">
        <v>4488</v>
      </c>
      <c r="AS886" t="s">
        <v>4489</v>
      </c>
      <c r="AT886" t="s">
        <v>14661</v>
      </c>
      <c r="AU886">
        <v>2018</v>
      </c>
      <c r="AV886">
        <v>10</v>
      </c>
      <c r="AW886">
        <v>11</v>
      </c>
      <c r="AX886" t="s">
        <v>74</v>
      </c>
      <c r="AY886" t="s">
        <v>74</v>
      </c>
      <c r="AZ886" t="s">
        <v>74</v>
      </c>
      <c r="BA886" t="s">
        <v>74</v>
      </c>
      <c r="BB886">
        <v>2865</v>
      </c>
      <c r="BC886">
        <v>2888</v>
      </c>
      <c r="BD886" t="s">
        <v>74</v>
      </c>
      <c r="BE886" t="s">
        <v>17033</v>
      </c>
      <c r="BF886" t="str">
        <f>HYPERLINK("http://dx.doi.org/10.1029/2018MS001370","http://dx.doi.org/10.1029/2018MS001370")</f>
        <v>http://dx.doi.org/10.1029/2018MS001370</v>
      </c>
      <c r="BG886" t="s">
        <v>74</v>
      </c>
      <c r="BH886" t="s">
        <v>74</v>
      </c>
      <c r="BI886">
        <v>24</v>
      </c>
      <c r="BJ886" t="s">
        <v>3037</v>
      </c>
      <c r="BK886" t="s">
        <v>101</v>
      </c>
      <c r="BL886" t="s">
        <v>3037</v>
      </c>
      <c r="BM886" t="s">
        <v>17034</v>
      </c>
      <c r="BN886">
        <v>30774751</v>
      </c>
      <c r="BO886" t="s">
        <v>8155</v>
      </c>
      <c r="BP886" t="s">
        <v>74</v>
      </c>
      <c r="BQ886" t="s">
        <v>74</v>
      </c>
      <c r="BR886" t="s">
        <v>104</v>
      </c>
      <c r="BS886" t="s">
        <v>17035</v>
      </c>
      <c r="BT886" t="str">
        <f>HYPERLINK("https%3A%2F%2Fwww.webofscience.com%2Fwos%2Fwoscc%2Ffull-record%2FWOS:000452864500011","View Full Record in Web of Science")</f>
        <v>View Full Record in Web of Science</v>
      </c>
    </row>
    <row r="887" spans="1:72" x14ac:dyDescent="0.15">
      <c r="A887" t="s">
        <v>72</v>
      </c>
      <c r="B887" t="s">
        <v>17036</v>
      </c>
      <c r="C887" t="s">
        <v>74</v>
      </c>
      <c r="D887" t="s">
        <v>74</v>
      </c>
      <c r="E887" t="s">
        <v>74</v>
      </c>
      <c r="F887" t="s">
        <v>17037</v>
      </c>
      <c r="G887" t="s">
        <v>74</v>
      </c>
      <c r="H887" t="s">
        <v>74</v>
      </c>
      <c r="I887" t="s">
        <v>17038</v>
      </c>
      <c r="J887" t="s">
        <v>3799</v>
      </c>
      <c r="K887" t="s">
        <v>74</v>
      </c>
      <c r="L887" t="s">
        <v>74</v>
      </c>
      <c r="M887" t="s">
        <v>78</v>
      </c>
      <c r="N887" t="s">
        <v>12249</v>
      </c>
      <c r="O887" t="s">
        <v>74</v>
      </c>
      <c r="P887" t="s">
        <v>74</v>
      </c>
      <c r="Q887" t="s">
        <v>74</v>
      </c>
      <c r="R887" t="s">
        <v>74</v>
      </c>
      <c r="S887" t="s">
        <v>74</v>
      </c>
      <c r="T887" t="s">
        <v>17039</v>
      </c>
      <c r="U887" t="s">
        <v>17040</v>
      </c>
      <c r="V887" t="s">
        <v>17041</v>
      </c>
      <c r="W887" t="s">
        <v>17042</v>
      </c>
      <c r="X887" t="s">
        <v>17043</v>
      </c>
      <c r="Y887" t="s">
        <v>17044</v>
      </c>
      <c r="Z887" t="s">
        <v>17045</v>
      </c>
      <c r="AA887" t="s">
        <v>17046</v>
      </c>
      <c r="AB887" t="s">
        <v>74</v>
      </c>
      <c r="AC887" t="s">
        <v>17047</v>
      </c>
      <c r="AD887" t="s">
        <v>17047</v>
      </c>
      <c r="AE887" t="s">
        <v>17048</v>
      </c>
      <c r="AF887" t="s">
        <v>74</v>
      </c>
      <c r="AG887">
        <v>35</v>
      </c>
      <c r="AH887">
        <v>2</v>
      </c>
      <c r="AI887">
        <v>2</v>
      </c>
      <c r="AJ887">
        <v>0</v>
      </c>
      <c r="AK887">
        <v>15</v>
      </c>
      <c r="AL887" t="s">
        <v>3729</v>
      </c>
      <c r="AM887" t="s">
        <v>3353</v>
      </c>
      <c r="AN887" t="s">
        <v>3730</v>
      </c>
      <c r="AO887" t="s">
        <v>3803</v>
      </c>
      <c r="AP887" t="s">
        <v>3804</v>
      </c>
      <c r="AQ887" t="s">
        <v>74</v>
      </c>
      <c r="AR887" t="s">
        <v>3805</v>
      </c>
      <c r="AS887" t="s">
        <v>3806</v>
      </c>
      <c r="AT887" t="s">
        <v>14661</v>
      </c>
      <c r="AU887">
        <v>2018</v>
      </c>
      <c r="AV887">
        <v>38</v>
      </c>
      <c r="AW887">
        <v>6</v>
      </c>
      <c r="AX887" t="s">
        <v>74</v>
      </c>
      <c r="AY887" t="s">
        <v>74</v>
      </c>
      <c r="AZ887" t="s">
        <v>74</v>
      </c>
      <c r="BA887" t="s">
        <v>74</v>
      </c>
      <c r="BB887">
        <v>651</v>
      </c>
      <c r="BC887">
        <v>655</v>
      </c>
      <c r="BD887" t="s">
        <v>74</v>
      </c>
      <c r="BE887" t="s">
        <v>17049</v>
      </c>
      <c r="BF887" t="str">
        <f>HYPERLINK("http://dx.doi.org/10.1093/jcbiol/ruy075","http://dx.doi.org/10.1093/jcbiol/ruy075")</f>
        <v>http://dx.doi.org/10.1093/jcbiol/ruy075</v>
      </c>
      <c r="BG887" t="s">
        <v>74</v>
      </c>
      <c r="BH887" t="s">
        <v>74</v>
      </c>
      <c r="BI887">
        <v>5</v>
      </c>
      <c r="BJ887" t="s">
        <v>3808</v>
      </c>
      <c r="BK887" t="s">
        <v>101</v>
      </c>
      <c r="BL887" t="s">
        <v>3808</v>
      </c>
      <c r="BM887" t="s">
        <v>14695</v>
      </c>
      <c r="BN887" t="s">
        <v>74</v>
      </c>
      <c r="BO887" t="s">
        <v>162</v>
      </c>
      <c r="BP887" t="s">
        <v>74</v>
      </c>
      <c r="BQ887" t="s">
        <v>74</v>
      </c>
      <c r="BR887" t="s">
        <v>104</v>
      </c>
      <c r="BS887" t="s">
        <v>17050</v>
      </c>
      <c r="BT887" t="str">
        <f>HYPERLINK("https%3A%2F%2Fwww.webofscience.com%2Fwos%2Fwoscc%2Ffull-record%2FWOS:000456691100001","View Full Record in Web of Science")</f>
        <v>View Full Record in Web of Science</v>
      </c>
    </row>
    <row r="888" spans="1:72" x14ac:dyDescent="0.15">
      <c r="A888" t="s">
        <v>72</v>
      </c>
      <c r="B888" t="s">
        <v>17051</v>
      </c>
      <c r="C888" t="s">
        <v>74</v>
      </c>
      <c r="D888" t="s">
        <v>74</v>
      </c>
      <c r="E888" t="s">
        <v>74</v>
      </c>
      <c r="F888" t="s">
        <v>17052</v>
      </c>
      <c r="G888" t="s">
        <v>74</v>
      </c>
      <c r="H888" t="s">
        <v>74</v>
      </c>
      <c r="I888" t="s">
        <v>17053</v>
      </c>
      <c r="J888" t="s">
        <v>3799</v>
      </c>
      <c r="K888" t="s">
        <v>74</v>
      </c>
      <c r="L888" t="s">
        <v>74</v>
      </c>
      <c r="M888" t="s">
        <v>78</v>
      </c>
      <c r="N888" t="s">
        <v>79</v>
      </c>
      <c r="O888" t="s">
        <v>74</v>
      </c>
      <c r="P888" t="s">
        <v>74</v>
      </c>
      <c r="Q888" t="s">
        <v>74</v>
      </c>
      <c r="R888" t="s">
        <v>74</v>
      </c>
      <c r="S888" t="s">
        <v>74</v>
      </c>
      <c r="T888" t="s">
        <v>17054</v>
      </c>
      <c r="U888" t="s">
        <v>17055</v>
      </c>
      <c r="V888" t="s">
        <v>17056</v>
      </c>
      <c r="W888" t="s">
        <v>17057</v>
      </c>
      <c r="X888" t="s">
        <v>17058</v>
      </c>
      <c r="Y888" t="s">
        <v>17059</v>
      </c>
      <c r="Z888" t="s">
        <v>17060</v>
      </c>
      <c r="AA888" t="s">
        <v>74</v>
      </c>
      <c r="AB888" t="s">
        <v>74</v>
      </c>
      <c r="AC888" t="s">
        <v>17061</v>
      </c>
      <c r="AD888" t="s">
        <v>10668</v>
      </c>
      <c r="AE888" t="s">
        <v>17062</v>
      </c>
      <c r="AF888" t="s">
        <v>74</v>
      </c>
      <c r="AG888">
        <v>27</v>
      </c>
      <c r="AH888">
        <v>45</v>
      </c>
      <c r="AI888">
        <v>48</v>
      </c>
      <c r="AJ888">
        <v>1</v>
      </c>
      <c r="AK888">
        <v>18</v>
      </c>
      <c r="AL888" t="s">
        <v>3729</v>
      </c>
      <c r="AM888" t="s">
        <v>3353</v>
      </c>
      <c r="AN888" t="s">
        <v>3730</v>
      </c>
      <c r="AO888" t="s">
        <v>3803</v>
      </c>
      <c r="AP888" t="s">
        <v>3804</v>
      </c>
      <c r="AQ888" t="s">
        <v>74</v>
      </c>
      <c r="AR888" t="s">
        <v>3805</v>
      </c>
      <c r="AS888" t="s">
        <v>3806</v>
      </c>
      <c r="AT888" t="s">
        <v>14661</v>
      </c>
      <c r="AU888">
        <v>2018</v>
      </c>
      <c r="AV888">
        <v>38</v>
      </c>
      <c r="AW888">
        <v>6</v>
      </c>
      <c r="AX888" t="s">
        <v>74</v>
      </c>
      <c r="AY888" t="s">
        <v>74</v>
      </c>
      <c r="AZ888" t="s">
        <v>74</v>
      </c>
      <c r="BA888" t="s">
        <v>74</v>
      </c>
      <c r="BB888">
        <v>656</v>
      </c>
      <c r="BC888">
        <v>661</v>
      </c>
      <c r="BD888" t="s">
        <v>74</v>
      </c>
      <c r="BE888" t="s">
        <v>17063</v>
      </c>
      <c r="BF888" t="str">
        <f>HYPERLINK("http://dx.doi.org/10.1093/jcbiol/ruy072","http://dx.doi.org/10.1093/jcbiol/ruy072")</f>
        <v>http://dx.doi.org/10.1093/jcbiol/ruy072</v>
      </c>
      <c r="BG888" t="s">
        <v>74</v>
      </c>
      <c r="BH888" t="s">
        <v>74</v>
      </c>
      <c r="BI888">
        <v>6</v>
      </c>
      <c r="BJ888" t="s">
        <v>3808</v>
      </c>
      <c r="BK888" t="s">
        <v>101</v>
      </c>
      <c r="BL888" t="s">
        <v>3808</v>
      </c>
      <c r="BM888" t="s">
        <v>14695</v>
      </c>
      <c r="BN888" t="s">
        <v>74</v>
      </c>
      <c r="BO888" t="s">
        <v>12713</v>
      </c>
      <c r="BP888" t="s">
        <v>74</v>
      </c>
      <c r="BQ888" t="s">
        <v>74</v>
      </c>
      <c r="BR888" t="s">
        <v>104</v>
      </c>
      <c r="BS888" t="s">
        <v>17064</v>
      </c>
      <c r="BT888" t="str">
        <f>HYPERLINK("https%3A%2F%2Fwww.webofscience.com%2Fwos%2Fwoscc%2Ffull-record%2FWOS:000456691100002","View Full Record in Web of Science")</f>
        <v>View Full Record in Web of Science</v>
      </c>
    </row>
    <row r="889" spans="1:72" x14ac:dyDescent="0.15">
      <c r="A889" t="s">
        <v>72</v>
      </c>
      <c r="B889" t="s">
        <v>3796</v>
      </c>
      <c r="C889" t="s">
        <v>74</v>
      </c>
      <c r="D889" t="s">
        <v>74</v>
      </c>
      <c r="E889" t="s">
        <v>74</v>
      </c>
      <c r="F889" t="s">
        <v>3797</v>
      </c>
      <c r="G889" t="s">
        <v>74</v>
      </c>
      <c r="H889" t="s">
        <v>74</v>
      </c>
      <c r="I889" t="s">
        <v>17065</v>
      </c>
      <c r="J889" t="s">
        <v>3799</v>
      </c>
      <c r="K889" t="s">
        <v>74</v>
      </c>
      <c r="L889" t="s">
        <v>74</v>
      </c>
      <c r="M889" t="s">
        <v>78</v>
      </c>
      <c r="N889" t="s">
        <v>79</v>
      </c>
      <c r="O889" t="s">
        <v>74</v>
      </c>
      <c r="P889" t="s">
        <v>74</v>
      </c>
      <c r="Q889" t="s">
        <v>74</v>
      </c>
      <c r="R889" t="s">
        <v>74</v>
      </c>
      <c r="S889" t="s">
        <v>74</v>
      </c>
      <c r="T889" t="s">
        <v>17066</v>
      </c>
      <c r="U889" t="s">
        <v>17067</v>
      </c>
      <c r="V889" t="s">
        <v>17068</v>
      </c>
      <c r="W889" t="s">
        <v>17069</v>
      </c>
      <c r="X889" t="s">
        <v>17070</v>
      </c>
      <c r="Y889" t="s">
        <v>17071</v>
      </c>
      <c r="Z889" t="s">
        <v>17072</v>
      </c>
      <c r="AA889" t="s">
        <v>17073</v>
      </c>
      <c r="AB889" t="s">
        <v>17074</v>
      </c>
      <c r="AC889" t="s">
        <v>17075</v>
      </c>
      <c r="AD889" t="s">
        <v>17076</v>
      </c>
      <c r="AE889" t="s">
        <v>17077</v>
      </c>
      <c r="AF889" t="s">
        <v>74</v>
      </c>
      <c r="AG889">
        <v>43</v>
      </c>
      <c r="AH889">
        <v>18</v>
      </c>
      <c r="AI889">
        <v>18</v>
      </c>
      <c r="AJ889">
        <v>0</v>
      </c>
      <c r="AK889">
        <v>14</v>
      </c>
      <c r="AL889" t="s">
        <v>3729</v>
      </c>
      <c r="AM889" t="s">
        <v>3353</v>
      </c>
      <c r="AN889" t="s">
        <v>3730</v>
      </c>
      <c r="AO889" t="s">
        <v>3803</v>
      </c>
      <c r="AP889" t="s">
        <v>3804</v>
      </c>
      <c r="AQ889" t="s">
        <v>74</v>
      </c>
      <c r="AR889" t="s">
        <v>3805</v>
      </c>
      <c r="AS889" t="s">
        <v>3806</v>
      </c>
      <c r="AT889" t="s">
        <v>14661</v>
      </c>
      <c r="AU889">
        <v>2018</v>
      </c>
      <c r="AV889">
        <v>38</v>
      </c>
      <c r="AW889">
        <v>6</v>
      </c>
      <c r="AX889" t="s">
        <v>74</v>
      </c>
      <c r="AY889" t="s">
        <v>74</v>
      </c>
      <c r="AZ889" t="s">
        <v>74</v>
      </c>
      <c r="BA889" t="s">
        <v>74</v>
      </c>
      <c r="BB889">
        <v>682</v>
      </c>
      <c r="BC889">
        <v>688</v>
      </c>
      <c r="BD889" t="s">
        <v>74</v>
      </c>
      <c r="BE889" t="s">
        <v>17078</v>
      </c>
      <c r="BF889" t="str">
        <f>HYPERLINK("http://dx.doi.org/10.1093/jcbiol/ruy061","http://dx.doi.org/10.1093/jcbiol/ruy061")</f>
        <v>http://dx.doi.org/10.1093/jcbiol/ruy061</v>
      </c>
      <c r="BG889" t="s">
        <v>74</v>
      </c>
      <c r="BH889" t="s">
        <v>74</v>
      </c>
      <c r="BI889">
        <v>7</v>
      </c>
      <c r="BJ889" t="s">
        <v>3808</v>
      </c>
      <c r="BK889" t="s">
        <v>101</v>
      </c>
      <c r="BL889" t="s">
        <v>3808</v>
      </c>
      <c r="BM889" t="s">
        <v>14695</v>
      </c>
      <c r="BN889" t="s">
        <v>74</v>
      </c>
      <c r="BO889" t="s">
        <v>17079</v>
      </c>
      <c r="BP889" t="s">
        <v>74</v>
      </c>
      <c r="BQ889" t="s">
        <v>74</v>
      </c>
      <c r="BR889" t="s">
        <v>104</v>
      </c>
      <c r="BS889" t="s">
        <v>17080</v>
      </c>
      <c r="BT889" t="str">
        <f>HYPERLINK("https%3A%2F%2Fwww.webofscience.com%2Fwos%2Fwoscc%2Ffull-record%2FWOS:000456691100005","View Full Record in Web of Science")</f>
        <v>View Full Record in Web of Science</v>
      </c>
    </row>
    <row r="890" spans="1:72" x14ac:dyDescent="0.15">
      <c r="A890" t="s">
        <v>72</v>
      </c>
      <c r="B890" t="s">
        <v>17081</v>
      </c>
      <c r="C890" t="s">
        <v>74</v>
      </c>
      <c r="D890" t="s">
        <v>74</v>
      </c>
      <c r="E890" t="s">
        <v>74</v>
      </c>
      <c r="F890" t="s">
        <v>17082</v>
      </c>
      <c r="G890" t="s">
        <v>74</v>
      </c>
      <c r="H890" t="s">
        <v>74</v>
      </c>
      <c r="I890" t="s">
        <v>17083</v>
      </c>
      <c r="J890" t="s">
        <v>17084</v>
      </c>
      <c r="K890" t="s">
        <v>74</v>
      </c>
      <c r="L890" t="s">
        <v>74</v>
      </c>
      <c r="M890" t="s">
        <v>78</v>
      </c>
      <c r="N890" t="s">
        <v>79</v>
      </c>
      <c r="O890" t="s">
        <v>74</v>
      </c>
      <c r="P890" t="s">
        <v>74</v>
      </c>
      <c r="Q890" t="s">
        <v>74</v>
      </c>
      <c r="R890" t="s">
        <v>74</v>
      </c>
      <c r="S890" t="s">
        <v>74</v>
      </c>
      <c r="T890" t="s">
        <v>17085</v>
      </c>
      <c r="U890" t="s">
        <v>17086</v>
      </c>
      <c r="V890" t="s">
        <v>17087</v>
      </c>
      <c r="W890" t="s">
        <v>17088</v>
      </c>
      <c r="X890" t="s">
        <v>17089</v>
      </c>
      <c r="Y890" t="s">
        <v>17090</v>
      </c>
      <c r="Z890" t="s">
        <v>17091</v>
      </c>
      <c r="AA890" t="s">
        <v>17092</v>
      </c>
      <c r="AB890" t="s">
        <v>17093</v>
      </c>
      <c r="AC890" t="s">
        <v>17094</v>
      </c>
      <c r="AD890" t="s">
        <v>6445</v>
      </c>
      <c r="AE890" t="s">
        <v>17095</v>
      </c>
      <c r="AF890" t="s">
        <v>74</v>
      </c>
      <c r="AG890">
        <v>76</v>
      </c>
      <c r="AH890">
        <v>11</v>
      </c>
      <c r="AI890">
        <v>11</v>
      </c>
      <c r="AJ890">
        <v>2</v>
      </c>
      <c r="AK890">
        <v>20</v>
      </c>
      <c r="AL890" t="s">
        <v>17096</v>
      </c>
      <c r="AM890" t="s">
        <v>151</v>
      </c>
      <c r="AN890" t="s">
        <v>17097</v>
      </c>
      <c r="AO890" t="s">
        <v>17098</v>
      </c>
      <c r="AP890" t="s">
        <v>17099</v>
      </c>
      <c r="AQ890" t="s">
        <v>74</v>
      </c>
      <c r="AR890" t="s">
        <v>17100</v>
      </c>
      <c r="AS890" t="s">
        <v>17101</v>
      </c>
      <c r="AT890" t="s">
        <v>14661</v>
      </c>
      <c r="AU890">
        <v>2018</v>
      </c>
      <c r="AV890">
        <v>221</v>
      </c>
      <c r="AW890">
        <v>22</v>
      </c>
      <c r="AX890" t="s">
        <v>74</v>
      </c>
      <c r="AY890" t="s">
        <v>74</v>
      </c>
      <c r="AZ890" t="s">
        <v>74</v>
      </c>
      <c r="BA890" t="s">
        <v>74</v>
      </c>
      <c r="BB890" t="s">
        <v>74</v>
      </c>
      <c r="BC890" t="s">
        <v>74</v>
      </c>
      <c r="BD890" t="s">
        <v>17102</v>
      </c>
      <c r="BE890" t="s">
        <v>17103</v>
      </c>
      <c r="BF890" t="str">
        <f>HYPERLINK("http://dx.doi.org/10.1242/jeb.190918","http://dx.doi.org/10.1242/jeb.190918")</f>
        <v>http://dx.doi.org/10.1242/jeb.190918</v>
      </c>
      <c r="BG890" t="s">
        <v>74</v>
      </c>
      <c r="BH890" t="s">
        <v>74</v>
      </c>
      <c r="BI890">
        <v>11</v>
      </c>
      <c r="BJ890" t="s">
        <v>598</v>
      </c>
      <c r="BK890" t="s">
        <v>101</v>
      </c>
      <c r="BL890" t="s">
        <v>599</v>
      </c>
      <c r="BM890" t="s">
        <v>17104</v>
      </c>
      <c r="BN890">
        <v>30291156</v>
      </c>
      <c r="BO890" t="s">
        <v>3540</v>
      </c>
      <c r="BP890" t="s">
        <v>74</v>
      </c>
      <c r="BQ890" t="s">
        <v>74</v>
      </c>
      <c r="BR890" t="s">
        <v>104</v>
      </c>
      <c r="BS890" t="s">
        <v>17105</v>
      </c>
      <c r="BT890" t="str">
        <f>HYPERLINK("https%3A%2F%2Fwww.webofscience.com%2Fwos%2Fwoscc%2Ffull-record%2FWOS:000451223900024","View Full Record in Web of Science")</f>
        <v>View Full Record in Web of Science</v>
      </c>
    </row>
    <row r="891" spans="1:72" x14ac:dyDescent="0.15">
      <c r="A891" t="s">
        <v>72</v>
      </c>
      <c r="B891" t="s">
        <v>17106</v>
      </c>
      <c r="C891" t="s">
        <v>74</v>
      </c>
      <c r="D891" t="s">
        <v>74</v>
      </c>
      <c r="E891" t="s">
        <v>74</v>
      </c>
      <c r="F891" t="s">
        <v>17107</v>
      </c>
      <c r="G891" t="s">
        <v>74</v>
      </c>
      <c r="H891" t="s">
        <v>74</v>
      </c>
      <c r="I891" t="s">
        <v>17108</v>
      </c>
      <c r="J891" t="s">
        <v>17109</v>
      </c>
      <c r="K891" t="s">
        <v>74</v>
      </c>
      <c r="L891" t="s">
        <v>74</v>
      </c>
      <c r="M891" t="s">
        <v>78</v>
      </c>
      <c r="N891" t="s">
        <v>79</v>
      </c>
      <c r="O891" t="s">
        <v>74</v>
      </c>
      <c r="P891" t="s">
        <v>74</v>
      </c>
      <c r="Q891" t="s">
        <v>74</v>
      </c>
      <c r="R891" t="s">
        <v>74</v>
      </c>
      <c r="S891" t="s">
        <v>74</v>
      </c>
      <c r="T891" t="s">
        <v>17110</v>
      </c>
      <c r="U891" t="s">
        <v>17111</v>
      </c>
      <c r="V891" t="s">
        <v>17112</v>
      </c>
      <c r="W891" t="s">
        <v>17113</v>
      </c>
      <c r="X891" t="s">
        <v>17114</v>
      </c>
      <c r="Y891" t="s">
        <v>17115</v>
      </c>
      <c r="Z891" t="s">
        <v>17116</v>
      </c>
      <c r="AA891" t="s">
        <v>17117</v>
      </c>
      <c r="AB891" t="s">
        <v>17118</v>
      </c>
      <c r="AC891" t="s">
        <v>17119</v>
      </c>
      <c r="AD891" t="s">
        <v>17120</v>
      </c>
      <c r="AE891" t="s">
        <v>17121</v>
      </c>
      <c r="AF891" t="s">
        <v>74</v>
      </c>
      <c r="AG891">
        <v>75</v>
      </c>
      <c r="AH891">
        <v>24</v>
      </c>
      <c r="AI891">
        <v>25</v>
      </c>
      <c r="AJ891">
        <v>1</v>
      </c>
      <c r="AK891">
        <v>18</v>
      </c>
      <c r="AL891" t="s">
        <v>3670</v>
      </c>
      <c r="AM891" t="s">
        <v>3671</v>
      </c>
      <c r="AN891" t="s">
        <v>3672</v>
      </c>
      <c r="AO891" t="s">
        <v>17122</v>
      </c>
      <c r="AP891" t="s">
        <v>17123</v>
      </c>
      <c r="AQ891" t="s">
        <v>74</v>
      </c>
      <c r="AR891" t="s">
        <v>17124</v>
      </c>
      <c r="AS891" t="s">
        <v>17125</v>
      </c>
      <c r="AT891" t="s">
        <v>14661</v>
      </c>
      <c r="AU891">
        <v>2018</v>
      </c>
      <c r="AV891">
        <v>93</v>
      </c>
      <c r="AW891">
        <v>5</v>
      </c>
      <c r="AX891" t="s">
        <v>74</v>
      </c>
      <c r="AY891" t="s">
        <v>74</v>
      </c>
      <c r="AZ891" t="s">
        <v>74</v>
      </c>
      <c r="BA891" t="s">
        <v>74</v>
      </c>
      <c r="BB891">
        <v>887</v>
      </c>
      <c r="BC891">
        <v>900</v>
      </c>
      <c r="BD891" t="s">
        <v>74</v>
      </c>
      <c r="BE891" t="s">
        <v>17126</v>
      </c>
      <c r="BF891" t="str">
        <f>HYPERLINK("http://dx.doi.org/10.1111/jfb.13809","http://dx.doi.org/10.1111/jfb.13809")</f>
        <v>http://dx.doi.org/10.1111/jfb.13809</v>
      </c>
      <c r="BG891" t="s">
        <v>74</v>
      </c>
      <c r="BH891" t="s">
        <v>74</v>
      </c>
      <c r="BI891">
        <v>14</v>
      </c>
      <c r="BJ891" t="s">
        <v>12126</v>
      </c>
      <c r="BK891" t="s">
        <v>101</v>
      </c>
      <c r="BL891" t="s">
        <v>12126</v>
      </c>
      <c r="BM891" t="s">
        <v>17127</v>
      </c>
      <c r="BN891">
        <v>30246331</v>
      </c>
      <c r="BO891" t="s">
        <v>4470</v>
      </c>
      <c r="BP891" t="s">
        <v>74</v>
      </c>
      <c r="BQ891" t="s">
        <v>74</v>
      </c>
      <c r="BR891" t="s">
        <v>104</v>
      </c>
      <c r="BS891" t="s">
        <v>17128</v>
      </c>
      <c r="BT891" t="str">
        <f>HYPERLINK("https%3A%2F%2Fwww.webofscience.com%2Fwos%2Fwoscc%2Ffull-record%2FWOS:000451578000014","View Full Record in Web of Science")</f>
        <v>View Full Record in Web of Science</v>
      </c>
    </row>
    <row r="892" spans="1:72" x14ac:dyDescent="0.15">
      <c r="A892" t="s">
        <v>72</v>
      </c>
      <c r="B892" t="s">
        <v>17129</v>
      </c>
      <c r="C892" t="s">
        <v>74</v>
      </c>
      <c r="D892" t="s">
        <v>74</v>
      </c>
      <c r="E892" t="s">
        <v>74</v>
      </c>
      <c r="F892" t="s">
        <v>17130</v>
      </c>
      <c r="G892" t="s">
        <v>74</v>
      </c>
      <c r="H892" t="s">
        <v>74</v>
      </c>
      <c r="I892" t="s">
        <v>17131</v>
      </c>
      <c r="J892" t="s">
        <v>4496</v>
      </c>
      <c r="K892" t="s">
        <v>74</v>
      </c>
      <c r="L892" t="s">
        <v>74</v>
      </c>
      <c r="M892" t="s">
        <v>78</v>
      </c>
      <c r="N892" t="s">
        <v>79</v>
      </c>
      <c r="O892" t="s">
        <v>74</v>
      </c>
      <c r="P892" t="s">
        <v>74</v>
      </c>
      <c r="Q892" t="s">
        <v>74</v>
      </c>
      <c r="R892" t="s">
        <v>74</v>
      </c>
      <c r="S892" t="s">
        <v>74</v>
      </c>
      <c r="T892" t="s">
        <v>17132</v>
      </c>
      <c r="U892" t="s">
        <v>17133</v>
      </c>
      <c r="V892" t="s">
        <v>17134</v>
      </c>
      <c r="W892" t="s">
        <v>17135</v>
      </c>
      <c r="X892" t="s">
        <v>17136</v>
      </c>
      <c r="Y892" t="s">
        <v>17137</v>
      </c>
      <c r="Z892" t="s">
        <v>17138</v>
      </c>
      <c r="AA892" t="s">
        <v>17139</v>
      </c>
      <c r="AB892" t="s">
        <v>17140</v>
      </c>
      <c r="AC892" t="s">
        <v>17141</v>
      </c>
      <c r="AD892" t="s">
        <v>17142</v>
      </c>
      <c r="AE892" t="s">
        <v>17143</v>
      </c>
      <c r="AF892" t="s">
        <v>74</v>
      </c>
      <c r="AG892">
        <v>46</v>
      </c>
      <c r="AH892">
        <v>10</v>
      </c>
      <c r="AI892">
        <v>11</v>
      </c>
      <c r="AJ892">
        <v>0</v>
      </c>
      <c r="AK892">
        <v>8</v>
      </c>
      <c r="AL892" t="s">
        <v>4034</v>
      </c>
      <c r="AM892" t="s">
        <v>4035</v>
      </c>
      <c r="AN892" t="s">
        <v>4036</v>
      </c>
      <c r="AO892" t="s">
        <v>4507</v>
      </c>
      <c r="AP892" t="s">
        <v>4508</v>
      </c>
      <c r="AQ892" t="s">
        <v>74</v>
      </c>
      <c r="AR892" t="s">
        <v>4509</v>
      </c>
      <c r="AS892" t="s">
        <v>4510</v>
      </c>
      <c r="AT892" t="s">
        <v>14661</v>
      </c>
      <c r="AU892">
        <v>2018</v>
      </c>
      <c r="AV892">
        <v>123</v>
      </c>
      <c r="AW892">
        <v>11</v>
      </c>
      <c r="AX892" t="s">
        <v>74</v>
      </c>
      <c r="AY892" t="s">
        <v>74</v>
      </c>
      <c r="AZ892" t="s">
        <v>74</v>
      </c>
      <c r="BA892" t="s">
        <v>74</v>
      </c>
      <c r="BB892">
        <v>8508</v>
      </c>
      <c r="BC892">
        <v>8531</v>
      </c>
      <c r="BD892" t="s">
        <v>74</v>
      </c>
      <c r="BE892" t="s">
        <v>17144</v>
      </c>
      <c r="BF892" t="str">
        <f>HYPERLINK("http://dx.doi.org/10.1029/2018JC013961","http://dx.doi.org/10.1029/2018JC013961")</f>
        <v>http://dx.doi.org/10.1029/2018JC013961</v>
      </c>
      <c r="BG892" t="s">
        <v>74</v>
      </c>
      <c r="BH892" t="s">
        <v>74</v>
      </c>
      <c r="BI892">
        <v>24</v>
      </c>
      <c r="BJ892" t="s">
        <v>773</v>
      </c>
      <c r="BK892" t="s">
        <v>101</v>
      </c>
      <c r="BL892" t="s">
        <v>773</v>
      </c>
      <c r="BM892" t="s">
        <v>14937</v>
      </c>
      <c r="BN892" t="s">
        <v>74</v>
      </c>
      <c r="BO892" t="s">
        <v>4470</v>
      </c>
      <c r="BP892" t="s">
        <v>74</v>
      </c>
      <c r="BQ892" t="s">
        <v>74</v>
      </c>
      <c r="BR892" t="s">
        <v>104</v>
      </c>
      <c r="BS892" t="s">
        <v>17145</v>
      </c>
      <c r="BT892" t="str">
        <f>HYPERLINK("https%3A%2F%2Fwww.webofscience.com%2Fwos%2Fwoscc%2Ffull-record%2FWOS:000453907000045","View Full Record in Web of Science")</f>
        <v>View Full Record in Web of Science</v>
      </c>
    </row>
    <row r="893" spans="1:72" x14ac:dyDescent="0.15">
      <c r="A893" t="s">
        <v>72</v>
      </c>
      <c r="B893" t="s">
        <v>17146</v>
      </c>
      <c r="C893" t="s">
        <v>74</v>
      </c>
      <c r="D893" t="s">
        <v>74</v>
      </c>
      <c r="E893" t="s">
        <v>74</v>
      </c>
      <c r="F893" t="s">
        <v>17147</v>
      </c>
      <c r="G893" t="s">
        <v>74</v>
      </c>
      <c r="H893" t="s">
        <v>74</v>
      </c>
      <c r="I893" t="s">
        <v>17148</v>
      </c>
      <c r="J893" t="s">
        <v>10488</v>
      </c>
      <c r="K893" t="s">
        <v>74</v>
      </c>
      <c r="L893" t="s">
        <v>74</v>
      </c>
      <c r="M893" t="s">
        <v>78</v>
      </c>
      <c r="N893" t="s">
        <v>79</v>
      </c>
      <c r="O893" t="s">
        <v>74</v>
      </c>
      <c r="P893" t="s">
        <v>74</v>
      </c>
      <c r="Q893" t="s">
        <v>74</v>
      </c>
      <c r="R893" t="s">
        <v>74</v>
      </c>
      <c r="S893" t="s">
        <v>74</v>
      </c>
      <c r="T893" t="s">
        <v>17149</v>
      </c>
      <c r="U893" t="s">
        <v>17150</v>
      </c>
      <c r="V893" t="s">
        <v>17151</v>
      </c>
      <c r="W893" t="s">
        <v>17152</v>
      </c>
      <c r="X893" t="s">
        <v>17153</v>
      </c>
      <c r="Y893" t="s">
        <v>17154</v>
      </c>
      <c r="Z893" t="s">
        <v>17155</v>
      </c>
      <c r="AA893" t="s">
        <v>17156</v>
      </c>
      <c r="AB893" t="s">
        <v>17157</v>
      </c>
      <c r="AC893" t="s">
        <v>17158</v>
      </c>
      <c r="AD893" t="s">
        <v>17158</v>
      </c>
      <c r="AE893" t="s">
        <v>17159</v>
      </c>
      <c r="AF893" t="s">
        <v>74</v>
      </c>
      <c r="AG893">
        <v>49</v>
      </c>
      <c r="AH893">
        <v>52</v>
      </c>
      <c r="AI893">
        <v>58</v>
      </c>
      <c r="AJ893">
        <v>9</v>
      </c>
      <c r="AK893">
        <v>54</v>
      </c>
      <c r="AL893" t="s">
        <v>6139</v>
      </c>
      <c r="AM893" t="s">
        <v>3353</v>
      </c>
      <c r="AN893" t="s">
        <v>6140</v>
      </c>
      <c r="AO893" t="s">
        <v>10499</v>
      </c>
      <c r="AP893" t="s">
        <v>10500</v>
      </c>
      <c r="AQ893" t="s">
        <v>74</v>
      </c>
      <c r="AR893" t="s">
        <v>10501</v>
      </c>
      <c r="AS893" t="s">
        <v>10502</v>
      </c>
      <c r="AT893" t="s">
        <v>14661</v>
      </c>
      <c r="AU893">
        <v>2018</v>
      </c>
      <c r="AV893">
        <v>97</v>
      </c>
      <c r="AW893" t="s">
        <v>74</v>
      </c>
      <c r="AX893" t="s">
        <v>74</v>
      </c>
      <c r="AY893" t="s">
        <v>74</v>
      </c>
      <c r="AZ893" t="s">
        <v>74</v>
      </c>
      <c r="BA893" t="s">
        <v>74</v>
      </c>
      <c r="BB893">
        <v>34</v>
      </c>
      <c r="BC893">
        <v>43</v>
      </c>
      <c r="BD893" t="s">
        <v>74</v>
      </c>
      <c r="BE893" t="s">
        <v>17160</v>
      </c>
      <c r="BF893" t="str">
        <f>HYPERLINK("http://dx.doi.org/10.1016/j.marpol.2018.08.034","http://dx.doi.org/10.1016/j.marpol.2018.08.034")</f>
        <v>http://dx.doi.org/10.1016/j.marpol.2018.08.034</v>
      </c>
      <c r="BG893" t="s">
        <v>74</v>
      </c>
      <c r="BH893" t="s">
        <v>74</v>
      </c>
      <c r="BI893">
        <v>10</v>
      </c>
      <c r="BJ893" t="s">
        <v>10504</v>
      </c>
      <c r="BK893" t="s">
        <v>10505</v>
      </c>
      <c r="BL893" t="s">
        <v>10506</v>
      </c>
      <c r="BM893" t="s">
        <v>16098</v>
      </c>
      <c r="BN893" t="s">
        <v>74</v>
      </c>
      <c r="BO893" t="s">
        <v>3810</v>
      </c>
      <c r="BP893" t="s">
        <v>74</v>
      </c>
      <c r="BQ893" t="s">
        <v>74</v>
      </c>
      <c r="BR893" t="s">
        <v>104</v>
      </c>
      <c r="BS893" t="s">
        <v>17161</v>
      </c>
      <c r="BT893" t="str">
        <f>HYPERLINK("https%3A%2F%2Fwww.webofscience.com%2Fwos%2Fwoscc%2Ffull-record%2FWOS:000448099300005","View Full Record in Web of Science")</f>
        <v>View Full Record in Web of Science</v>
      </c>
    </row>
    <row r="894" spans="1:72" x14ac:dyDescent="0.15">
      <c r="A894" t="s">
        <v>72</v>
      </c>
      <c r="B894" t="s">
        <v>17162</v>
      </c>
      <c r="C894" t="s">
        <v>74</v>
      </c>
      <c r="D894" t="s">
        <v>74</v>
      </c>
      <c r="E894" t="s">
        <v>74</v>
      </c>
      <c r="F894" t="s">
        <v>17163</v>
      </c>
      <c r="G894" t="s">
        <v>74</v>
      </c>
      <c r="H894" t="s">
        <v>74</v>
      </c>
      <c r="I894" t="s">
        <v>17164</v>
      </c>
      <c r="J894" t="s">
        <v>16859</v>
      </c>
      <c r="K894" t="s">
        <v>74</v>
      </c>
      <c r="L894" t="s">
        <v>74</v>
      </c>
      <c r="M894" t="s">
        <v>78</v>
      </c>
      <c r="N894" t="s">
        <v>79</v>
      </c>
      <c r="O894" t="s">
        <v>74</v>
      </c>
      <c r="P894" t="s">
        <v>74</v>
      </c>
      <c r="Q894" t="s">
        <v>74</v>
      </c>
      <c r="R894" t="s">
        <v>74</v>
      </c>
      <c r="S894" t="s">
        <v>74</v>
      </c>
      <c r="T894" t="s">
        <v>74</v>
      </c>
      <c r="U894" t="s">
        <v>17165</v>
      </c>
      <c r="V894" t="s">
        <v>17166</v>
      </c>
      <c r="W894" t="s">
        <v>17167</v>
      </c>
      <c r="X894" t="s">
        <v>17168</v>
      </c>
      <c r="Y894" t="s">
        <v>17169</v>
      </c>
      <c r="Z894" t="s">
        <v>17170</v>
      </c>
      <c r="AA894" t="s">
        <v>17171</v>
      </c>
      <c r="AB894" t="s">
        <v>17172</v>
      </c>
      <c r="AC894" t="s">
        <v>17173</v>
      </c>
      <c r="AD894" t="s">
        <v>17174</v>
      </c>
      <c r="AE894" t="s">
        <v>17175</v>
      </c>
      <c r="AF894" t="s">
        <v>74</v>
      </c>
      <c r="AG894">
        <v>44</v>
      </c>
      <c r="AH894">
        <v>142</v>
      </c>
      <c r="AI894">
        <v>164</v>
      </c>
      <c r="AJ894">
        <v>14</v>
      </c>
      <c r="AK894">
        <v>94</v>
      </c>
      <c r="AL894" t="s">
        <v>6164</v>
      </c>
      <c r="AM894" t="s">
        <v>1080</v>
      </c>
      <c r="AN894" t="s">
        <v>16866</v>
      </c>
      <c r="AO894" t="s">
        <v>16867</v>
      </c>
      <c r="AP894" t="s">
        <v>16868</v>
      </c>
      <c r="AQ894" t="s">
        <v>74</v>
      </c>
      <c r="AR894" t="s">
        <v>16869</v>
      </c>
      <c r="AS894" t="s">
        <v>16870</v>
      </c>
      <c r="AT894" t="s">
        <v>14661</v>
      </c>
      <c r="AU894">
        <v>2018</v>
      </c>
      <c r="AV894">
        <v>11</v>
      </c>
      <c r="AW894">
        <v>11</v>
      </c>
      <c r="AX894" t="s">
        <v>74</v>
      </c>
      <c r="AY894" t="s">
        <v>74</v>
      </c>
      <c r="AZ894" t="s">
        <v>74</v>
      </c>
      <c r="BA894" t="s">
        <v>74</v>
      </c>
      <c r="BB894">
        <v>836</v>
      </c>
      <c r="BC894" t="s">
        <v>642</v>
      </c>
      <c r="BD894" t="s">
        <v>74</v>
      </c>
      <c r="BE894" t="s">
        <v>17176</v>
      </c>
      <c r="BF894" t="str">
        <f>HYPERLINK("http://dx.doi.org/10.1038/s41561-018-0226-1","http://dx.doi.org/10.1038/s41561-018-0226-1")</f>
        <v>http://dx.doi.org/10.1038/s41561-018-0226-1</v>
      </c>
      <c r="BG894" t="s">
        <v>74</v>
      </c>
      <c r="BH894" t="s">
        <v>74</v>
      </c>
      <c r="BI894">
        <v>7</v>
      </c>
      <c r="BJ894" t="s">
        <v>884</v>
      </c>
      <c r="BK894" t="s">
        <v>101</v>
      </c>
      <c r="BL894" t="s">
        <v>528</v>
      </c>
      <c r="BM894" t="s">
        <v>16872</v>
      </c>
      <c r="BN894" t="s">
        <v>74</v>
      </c>
      <c r="BO894" t="s">
        <v>404</v>
      </c>
      <c r="BP894" t="s">
        <v>4786</v>
      </c>
      <c r="BQ894" t="s">
        <v>4787</v>
      </c>
      <c r="BR894" t="s">
        <v>104</v>
      </c>
      <c r="BS894" t="s">
        <v>17177</v>
      </c>
      <c r="BT894" t="str">
        <f>HYPERLINK("https%3A%2F%2Fwww.webofscience.com%2Fwos%2Fwoscc%2Ffull-record%2FWOS:000448672100009","View Full Record in Web of Science")</f>
        <v>View Full Record in Web of Science</v>
      </c>
    </row>
    <row r="895" spans="1:72" x14ac:dyDescent="0.15">
      <c r="A895" t="s">
        <v>72</v>
      </c>
      <c r="B895" t="s">
        <v>17178</v>
      </c>
      <c r="C895" t="s">
        <v>74</v>
      </c>
      <c r="D895" t="s">
        <v>74</v>
      </c>
      <c r="E895" t="s">
        <v>74</v>
      </c>
      <c r="F895" t="s">
        <v>17179</v>
      </c>
      <c r="G895" t="s">
        <v>74</v>
      </c>
      <c r="H895" t="s">
        <v>74</v>
      </c>
      <c r="I895" t="s">
        <v>17180</v>
      </c>
      <c r="J895" t="s">
        <v>17181</v>
      </c>
      <c r="K895" t="s">
        <v>74</v>
      </c>
      <c r="L895" t="s">
        <v>74</v>
      </c>
      <c r="M895" t="s">
        <v>78</v>
      </c>
      <c r="N895" t="s">
        <v>1003</v>
      </c>
      <c r="O895" t="s">
        <v>74</v>
      </c>
      <c r="P895" t="s">
        <v>74</v>
      </c>
      <c r="Q895" t="s">
        <v>74</v>
      </c>
      <c r="R895" t="s">
        <v>74</v>
      </c>
      <c r="S895" t="s">
        <v>74</v>
      </c>
      <c r="T895" t="s">
        <v>17182</v>
      </c>
      <c r="U895" t="s">
        <v>17183</v>
      </c>
      <c r="V895" t="s">
        <v>17184</v>
      </c>
      <c r="W895" t="s">
        <v>17185</v>
      </c>
      <c r="X895" t="s">
        <v>17186</v>
      </c>
      <c r="Y895" t="s">
        <v>17187</v>
      </c>
      <c r="Z895" t="s">
        <v>17188</v>
      </c>
      <c r="AA895" t="s">
        <v>74</v>
      </c>
      <c r="AB895" t="s">
        <v>74</v>
      </c>
      <c r="AC895" t="s">
        <v>74</v>
      </c>
      <c r="AD895" t="s">
        <v>74</v>
      </c>
      <c r="AE895" t="s">
        <v>74</v>
      </c>
      <c r="AF895" t="s">
        <v>74</v>
      </c>
      <c r="AG895">
        <v>156</v>
      </c>
      <c r="AH895">
        <v>89</v>
      </c>
      <c r="AI895">
        <v>94</v>
      </c>
      <c r="AJ895">
        <v>1</v>
      </c>
      <c r="AK895">
        <v>41</v>
      </c>
      <c r="AL895" t="s">
        <v>3352</v>
      </c>
      <c r="AM895" t="s">
        <v>3353</v>
      </c>
      <c r="AN895" t="s">
        <v>3354</v>
      </c>
      <c r="AO895" t="s">
        <v>17189</v>
      </c>
      <c r="AP895" t="s">
        <v>17190</v>
      </c>
      <c r="AQ895" t="s">
        <v>74</v>
      </c>
      <c r="AR895" t="s">
        <v>17191</v>
      </c>
      <c r="AS895" t="s">
        <v>17192</v>
      </c>
      <c r="AT895" t="s">
        <v>14661</v>
      </c>
      <c r="AU895">
        <v>2018</v>
      </c>
      <c r="AV895">
        <v>125</v>
      </c>
      <c r="AW895" t="s">
        <v>74</v>
      </c>
      <c r="AX895" t="s">
        <v>74</v>
      </c>
      <c r="AY895" t="s">
        <v>74</v>
      </c>
      <c r="AZ895" t="s">
        <v>74</v>
      </c>
      <c r="BA895" t="s">
        <v>74</v>
      </c>
      <c r="BB895">
        <v>277</v>
      </c>
      <c r="BC895">
        <v>298</v>
      </c>
      <c r="BD895" t="s">
        <v>74</v>
      </c>
      <c r="BE895" t="s">
        <v>17193</v>
      </c>
      <c r="BF895" t="str">
        <f>HYPERLINK("http://dx.doi.org/10.1016/j.orggeochem.2018.10.002","http://dx.doi.org/10.1016/j.orggeochem.2018.10.002")</f>
        <v>http://dx.doi.org/10.1016/j.orggeochem.2018.10.002</v>
      </c>
      <c r="BG895" t="s">
        <v>74</v>
      </c>
      <c r="BH895" t="s">
        <v>74</v>
      </c>
      <c r="BI895">
        <v>22</v>
      </c>
      <c r="BJ895" t="s">
        <v>746</v>
      </c>
      <c r="BK895" t="s">
        <v>101</v>
      </c>
      <c r="BL895" t="s">
        <v>746</v>
      </c>
      <c r="BM895" t="s">
        <v>17194</v>
      </c>
      <c r="BN895" t="s">
        <v>74</v>
      </c>
      <c r="BO895" t="s">
        <v>404</v>
      </c>
      <c r="BP895" t="s">
        <v>74</v>
      </c>
      <c r="BQ895" t="s">
        <v>74</v>
      </c>
      <c r="BR895" t="s">
        <v>104</v>
      </c>
      <c r="BS895" t="s">
        <v>17195</v>
      </c>
      <c r="BT895" t="str">
        <f>HYPERLINK("https%3A%2F%2Fwww.webofscience.com%2Fwos%2Fwoscc%2Ffull-record%2FWOS:000448941300028","View Full Record in Web of Science")</f>
        <v>View Full Record in Web of Science</v>
      </c>
    </row>
    <row r="896" spans="1:72" x14ac:dyDescent="0.15">
      <c r="A896" t="s">
        <v>72</v>
      </c>
      <c r="B896" t="s">
        <v>17196</v>
      </c>
      <c r="C896" t="s">
        <v>74</v>
      </c>
      <c r="D896" t="s">
        <v>74</v>
      </c>
      <c r="E896" t="s">
        <v>74</v>
      </c>
      <c r="F896" t="s">
        <v>17197</v>
      </c>
      <c r="G896" t="s">
        <v>74</v>
      </c>
      <c r="H896" t="s">
        <v>74</v>
      </c>
      <c r="I896" t="s">
        <v>17198</v>
      </c>
      <c r="J896" t="s">
        <v>8359</v>
      </c>
      <c r="K896" t="s">
        <v>74</v>
      </c>
      <c r="L896" t="s">
        <v>74</v>
      </c>
      <c r="M896" t="s">
        <v>78</v>
      </c>
      <c r="N896" t="s">
        <v>79</v>
      </c>
      <c r="O896" t="s">
        <v>74</v>
      </c>
      <c r="P896" t="s">
        <v>74</v>
      </c>
      <c r="Q896" t="s">
        <v>74</v>
      </c>
      <c r="R896" t="s">
        <v>74</v>
      </c>
      <c r="S896" t="s">
        <v>74</v>
      </c>
      <c r="T896" t="s">
        <v>17199</v>
      </c>
      <c r="U896" t="s">
        <v>17200</v>
      </c>
      <c r="V896" t="s">
        <v>17201</v>
      </c>
      <c r="W896" t="s">
        <v>17202</v>
      </c>
      <c r="X896" t="s">
        <v>8659</v>
      </c>
      <c r="Y896" t="s">
        <v>17203</v>
      </c>
      <c r="Z896" t="s">
        <v>17204</v>
      </c>
      <c r="AA896" t="s">
        <v>17205</v>
      </c>
      <c r="AB896" t="s">
        <v>17206</v>
      </c>
      <c r="AC896" t="s">
        <v>17207</v>
      </c>
      <c r="AD896" t="s">
        <v>17208</v>
      </c>
      <c r="AE896" t="s">
        <v>17209</v>
      </c>
      <c r="AF896" t="s">
        <v>74</v>
      </c>
      <c r="AG896">
        <v>58</v>
      </c>
      <c r="AH896">
        <v>18</v>
      </c>
      <c r="AI896">
        <v>19</v>
      </c>
      <c r="AJ896">
        <v>0</v>
      </c>
      <c r="AK896">
        <v>25</v>
      </c>
      <c r="AL896" t="s">
        <v>2519</v>
      </c>
      <c r="AM896" t="s">
        <v>2520</v>
      </c>
      <c r="AN896" t="s">
        <v>3313</v>
      </c>
      <c r="AO896" t="s">
        <v>8368</v>
      </c>
      <c r="AP896" t="s">
        <v>8369</v>
      </c>
      <c r="AQ896" t="s">
        <v>74</v>
      </c>
      <c r="AR896" t="s">
        <v>8370</v>
      </c>
      <c r="AS896" t="s">
        <v>8371</v>
      </c>
      <c r="AT896" t="s">
        <v>16131</v>
      </c>
      <c r="AU896">
        <v>2018</v>
      </c>
      <c r="AV896">
        <v>508</v>
      </c>
      <c r="AW896" t="s">
        <v>74</v>
      </c>
      <c r="AX896" t="s">
        <v>74</v>
      </c>
      <c r="AY896" t="s">
        <v>74</v>
      </c>
      <c r="AZ896" t="s">
        <v>74</v>
      </c>
      <c r="BA896" t="s">
        <v>74</v>
      </c>
      <c r="BB896">
        <v>59</v>
      </c>
      <c r="BC896">
        <v>70</v>
      </c>
      <c r="BD896" t="s">
        <v>74</v>
      </c>
      <c r="BE896" t="s">
        <v>17210</v>
      </c>
      <c r="BF896" t="str">
        <f>HYPERLINK("http://dx.doi.org/10.1016/j.palaeo.2018.07.014","http://dx.doi.org/10.1016/j.palaeo.2018.07.014")</f>
        <v>http://dx.doi.org/10.1016/j.palaeo.2018.07.014</v>
      </c>
      <c r="BG896" t="s">
        <v>74</v>
      </c>
      <c r="BH896" t="s">
        <v>74</v>
      </c>
      <c r="BI896">
        <v>12</v>
      </c>
      <c r="BJ896" t="s">
        <v>8373</v>
      </c>
      <c r="BK896" t="s">
        <v>101</v>
      </c>
      <c r="BL896" t="s">
        <v>8374</v>
      </c>
      <c r="BM896" t="s">
        <v>17211</v>
      </c>
      <c r="BN896" t="s">
        <v>74</v>
      </c>
      <c r="BO896" t="s">
        <v>74</v>
      </c>
      <c r="BP896" t="s">
        <v>74</v>
      </c>
      <c r="BQ896" t="s">
        <v>74</v>
      </c>
      <c r="BR896" t="s">
        <v>104</v>
      </c>
      <c r="BS896" t="s">
        <v>17212</v>
      </c>
      <c r="BT896" t="str">
        <f>HYPERLINK("https%3A%2F%2Fwww.webofscience.com%2Fwos%2Fwoscc%2Ffull-record%2FWOS:000444359200005","View Full Record in Web of Science")</f>
        <v>View Full Record in Web of Science</v>
      </c>
    </row>
    <row r="897" spans="1:72" x14ac:dyDescent="0.15">
      <c r="A897" t="s">
        <v>72</v>
      </c>
      <c r="B897" t="s">
        <v>17213</v>
      </c>
      <c r="C897" t="s">
        <v>74</v>
      </c>
      <c r="D897" t="s">
        <v>74</v>
      </c>
      <c r="E897" t="s">
        <v>74</v>
      </c>
      <c r="F897" t="s">
        <v>17214</v>
      </c>
      <c r="G897" t="s">
        <v>74</v>
      </c>
      <c r="H897" t="s">
        <v>74</v>
      </c>
      <c r="I897" t="s">
        <v>17215</v>
      </c>
      <c r="J897" t="s">
        <v>1067</v>
      </c>
      <c r="K897" t="s">
        <v>74</v>
      </c>
      <c r="L897" t="s">
        <v>74</v>
      </c>
      <c r="M897" t="s">
        <v>78</v>
      </c>
      <c r="N897" t="s">
        <v>79</v>
      </c>
      <c r="O897" t="s">
        <v>74</v>
      </c>
      <c r="P897" t="s">
        <v>74</v>
      </c>
      <c r="Q897" t="s">
        <v>74</v>
      </c>
      <c r="R897" t="s">
        <v>74</v>
      </c>
      <c r="S897" t="s">
        <v>74</v>
      </c>
      <c r="T897" t="s">
        <v>17216</v>
      </c>
      <c r="U897" t="s">
        <v>17217</v>
      </c>
      <c r="V897" t="s">
        <v>17218</v>
      </c>
      <c r="W897" t="s">
        <v>17219</v>
      </c>
      <c r="X897" t="s">
        <v>17220</v>
      </c>
      <c r="Y897" t="s">
        <v>17221</v>
      </c>
      <c r="Z897" t="s">
        <v>17222</v>
      </c>
      <c r="AA897" t="s">
        <v>17223</v>
      </c>
      <c r="AB897" t="s">
        <v>17224</v>
      </c>
      <c r="AC897" t="s">
        <v>17225</v>
      </c>
      <c r="AD897" t="s">
        <v>17226</v>
      </c>
      <c r="AE897" t="s">
        <v>17227</v>
      </c>
      <c r="AF897" t="s">
        <v>74</v>
      </c>
      <c r="AG897">
        <v>58</v>
      </c>
      <c r="AH897">
        <v>12</v>
      </c>
      <c r="AI897">
        <v>12</v>
      </c>
      <c r="AJ897">
        <v>0</v>
      </c>
      <c r="AK897">
        <v>21</v>
      </c>
      <c r="AL897" t="s">
        <v>1079</v>
      </c>
      <c r="AM897" t="s">
        <v>1080</v>
      </c>
      <c r="AN897" t="s">
        <v>1106</v>
      </c>
      <c r="AO897" t="s">
        <v>1082</v>
      </c>
      <c r="AP897" t="s">
        <v>1083</v>
      </c>
      <c r="AQ897" t="s">
        <v>74</v>
      </c>
      <c r="AR897" t="s">
        <v>1084</v>
      </c>
      <c r="AS897" t="s">
        <v>1085</v>
      </c>
      <c r="AT897" t="s">
        <v>14661</v>
      </c>
      <c r="AU897">
        <v>2018</v>
      </c>
      <c r="AV897">
        <v>41</v>
      </c>
      <c r="AW897">
        <v>11</v>
      </c>
      <c r="AX897" t="s">
        <v>74</v>
      </c>
      <c r="AY897" t="s">
        <v>74</v>
      </c>
      <c r="AZ897" t="s">
        <v>74</v>
      </c>
      <c r="BA897" t="s">
        <v>74</v>
      </c>
      <c r="BB897">
        <v>2221</v>
      </c>
      <c r="BC897">
        <v>2232</v>
      </c>
      <c r="BD897" t="s">
        <v>74</v>
      </c>
      <c r="BE897" t="s">
        <v>17228</v>
      </c>
      <c r="BF897" t="str">
        <f>HYPERLINK("http://dx.doi.org/10.1007/s00300-018-2357-7","http://dx.doi.org/10.1007/s00300-018-2357-7")</f>
        <v>http://dx.doi.org/10.1007/s00300-018-2357-7</v>
      </c>
      <c r="BG897" t="s">
        <v>74</v>
      </c>
      <c r="BH897" t="s">
        <v>74</v>
      </c>
      <c r="BI897">
        <v>12</v>
      </c>
      <c r="BJ897" t="s">
        <v>1087</v>
      </c>
      <c r="BK897" t="s">
        <v>101</v>
      </c>
      <c r="BL897" t="s">
        <v>102</v>
      </c>
      <c r="BM897" t="s">
        <v>16241</v>
      </c>
      <c r="BN897" t="s">
        <v>74</v>
      </c>
      <c r="BO897" t="s">
        <v>74</v>
      </c>
      <c r="BP897" t="s">
        <v>74</v>
      </c>
      <c r="BQ897" t="s">
        <v>74</v>
      </c>
      <c r="BR897" t="s">
        <v>104</v>
      </c>
      <c r="BS897" t="s">
        <v>17229</v>
      </c>
      <c r="BT897" t="str">
        <f>HYPERLINK("https%3A%2F%2Fwww.webofscience.com%2Fwos%2Fwoscc%2Ffull-record%2FWOS:000446075800005","View Full Record in Web of Science")</f>
        <v>View Full Record in Web of Science</v>
      </c>
    </row>
    <row r="898" spans="1:72" x14ac:dyDescent="0.15">
      <c r="A898" t="s">
        <v>72</v>
      </c>
      <c r="B898" t="s">
        <v>17230</v>
      </c>
      <c r="C898" t="s">
        <v>74</v>
      </c>
      <c r="D898" t="s">
        <v>74</v>
      </c>
      <c r="E898" t="s">
        <v>74</v>
      </c>
      <c r="F898" t="s">
        <v>17231</v>
      </c>
      <c r="G898" t="s">
        <v>74</v>
      </c>
      <c r="H898" t="s">
        <v>74</v>
      </c>
      <c r="I898" t="s">
        <v>17232</v>
      </c>
      <c r="J898" t="s">
        <v>1067</v>
      </c>
      <c r="K898" t="s">
        <v>74</v>
      </c>
      <c r="L898" t="s">
        <v>74</v>
      </c>
      <c r="M898" t="s">
        <v>78</v>
      </c>
      <c r="N898" t="s">
        <v>79</v>
      </c>
      <c r="O898" t="s">
        <v>74</v>
      </c>
      <c r="P898" t="s">
        <v>74</v>
      </c>
      <c r="Q898" t="s">
        <v>74</v>
      </c>
      <c r="R898" t="s">
        <v>74</v>
      </c>
      <c r="S898" t="s">
        <v>74</v>
      </c>
      <c r="T898" t="s">
        <v>17233</v>
      </c>
      <c r="U898" t="s">
        <v>17234</v>
      </c>
      <c r="V898" t="s">
        <v>17235</v>
      </c>
      <c r="W898" t="s">
        <v>17236</v>
      </c>
      <c r="X898" t="s">
        <v>17237</v>
      </c>
      <c r="Y898" t="s">
        <v>17238</v>
      </c>
      <c r="Z898" t="s">
        <v>16268</v>
      </c>
      <c r="AA898" t="s">
        <v>17239</v>
      </c>
      <c r="AB898" t="s">
        <v>17240</v>
      </c>
      <c r="AC898" t="s">
        <v>17241</v>
      </c>
      <c r="AD898" t="s">
        <v>17242</v>
      </c>
      <c r="AE898" t="s">
        <v>17243</v>
      </c>
      <c r="AF898" t="s">
        <v>74</v>
      </c>
      <c r="AG898">
        <v>73</v>
      </c>
      <c r="AH898">
        <v>9</v>
      </c>
      <c r="AI898">
        <v>12</v>
      </c>
      <c r="AJ898">
        <v>0</v>
      </c>
      <c r="AK898">
        <v>28</v>
      </c>
      <c r="AL898" t="s">
        <v>1079</v>
      </c>
      <c r="AM898" t="s">
        <v>1080</v>
      </c>
      <c r="AN898" t="s">
        <v>1106</v>
      </c>
      <c r="AO898" t="s">
        <v>1082</v>
      </c>
      <c r="AP898" t="s">
        <v>1083</v>
      </c>
      <c r="AQ898" t="s">
        <v>74</v>
      </c>
      <c r="AR898" t="s">
        <v>1084</v>
      </c>
      <c r="AS898" t="s">
        <v>1085</v>
      </c>
      <c r="AT898" t="s">
        <v>14661</v>
      </c>
      <c r="AU898">
        <v>2018</v>
      </c>
      <c r="AV898">
        <v>41</v>
      </c>
      <c r="AW898">
        <v>11</v>
      </c>
      <c r="AX898" t="s">
        <v>74</v>
      </c>
      <c r="AY898" t="s">
        <v>74</v>
      </c>
      <c r="AZ898" t="s">
        <v>74</v>
      </c>
      <c r="BA898" t="s">
        <v>74</v>
      </c>
      <c r="BB898">
        <v>2323</v>
      </c>
      <c r="BC898">
        <v>2335</v>
      </c>
      <c r="BD898" t="s">
        <v>74</v>
      </c>
      <c r="BE898" t="s">
        <v>17244</v>
      </c>
      <c r="BF898" t="str">
        <f>HYPERLINK("http://dx.doi.org/10.1007/s00300-018-2372-8","http://dx.doi.org/10.1007/s00300-018-2372-8")</f>
        <v>http://dx.doi.org/10.1007/s00300-018-2372-8</v>
      </c>
      <c r="BG898" t="s">
        <v>74</v>
      </c>
      <c r="BH898" t="s">
        <v>74</v>
      </c>
      <c r="BI898">
        <v>13</v>
      </c>
      <c r="BJ898" t="s">
        <v>1087</v>
      </c>
      <c r="BK898" t="s">
        <v>101</v>
      </c>
      <c r="BL898" t="s">
        <v>102</v>
      </c>
      <c r="BM898" t="s">
        <v>16241</v>
      </c>
      <c r="BN898" t="s">
        <v>74</v>
      </c>
      <c r="BO898" t="s">
        <v>5774</v>
      </c>
      <c r="BP898" t="s">
        <v>74</v>
      </c>
      <c r="BQ898" t="s">
        <v>74</v>
      </c>
      <c r="BR898" t="s">
        <v>104</v>
      </c>
      <c r="BS898" t="s">
        <v>17245</v>
      </c>
      <c r="BT898" t="str">
        <f>HYPERLINK("https%3A%2F%2Fwww.webofscience.com%2Fwos%2Fwoscc%2Ffull-record%2FWOS:000446075800014","View Full Record in Web of Science")</f>
        <v>View Full Record in Web of Science</v>
      </c>
    </row>
    <row r="899" spans="1:72" x14ac:dyDescent="0.15">
      <c r="A899" t="s">
        <v>72</v>
      </c>
      <c r="B899" t="s">
        <v>17246</v>
      </c>
      <c r="C899" t="s">
        <v>74</v>
      </c>
      <c r="D899" t="s">
        <v>74</v>
      </c>
      <c r="E899" t="s">
        <v>74</v>
      </c>
      <c r="F899" t="s">
        <v>17247</v>
      </c>
      <c r="G899" t="s">
        <v>74</v>
      </c>
      <c r="H899" t="s">
        <v>74</v>
      </c>
      <c r="I899" t="s">
        <v>17248</v>
      </c>
      <c r="J899" t="s">
        <v>1067</v>
      </c>
      <c r="K899" t="s">
        <v>74</v>
      </c>
      <c r="L899" t="s">
        <v>74</v>
      </c>
      <c r="M899" t="s">
        <v>78</v>
      </c>
      <c r="N899" t="s">
        <v>12249</v>
      </c>
      <c r="O899" t="s">
        <v>74</v>
      </c>
      <c r="P899" t="s">
        <v>74</v>
      </c>
      <c r="Q899" t="s">
        <v>74</v>
      </c>
      <c r="R899" t="s">
        <v>74</v>
      </c>
      <c r="S899" t="s">
        <v>74</v>
      </c>
      <c r="T899" t="s">
        <v>17249</v>
      </c>
      <c r="U899" t="s">
        <v>74</v>
      </c>
      <c r="V899" t="s">
        <v>17250</v>
      </c>
      <c r="W899" t="s">
        <v>17251</v>
      </c>
      <c r="X899" t="s">
        <v>17252</v>
      </c>
      <c r="Y899" t="s">
        <v>17253</v>
      </c>
      <c r="Z899" t="s">
        <v>17254</v>
      </c>
      <c r="AA899" t="s">
        <v>17255</v>
      </c>
      <c r="AB899" t="s">
        <v>17256</v>
      </c>
      <c r="AC899" t="s">
        <v>74</v>
      </c>
      <c r="AD899" t="s">
        <v>74</v>
      </c>
      <c r="AE899" t="s">
        <v>74</v>
      </c>
      <c r="AF899" t="s">
        <v>74</v>
      </c>
      <c r="AG899">
        <v>12</v>
      </c>
      <c r="AH899">
        <v>25</v>
      </c>
      <c r="AI899">
        <v>26</v>
      </c>
      <c r="AJ899">
        <v>1</v>
      </c>
      <c r="AK899">
        <v>41</v>
      </c>
      <c r="AL899" t="s">
        <v>1079</v>
      </c>
      <c r="AM899" t="s">
        <v>1080</v>
      </c>
      <c r="AN899" t="s">
        <v>1106</v>
      </c>
      <c r="AO899" t="s">
        <v>1082</v>
      </c>
      <c r="AP899" t="s">
        <v>1083</v>
      </c>
      <c r="AQ899" t="s">
        <v>74</v>
      </c>
      <c r="AR899" t="s">
        <v>1084</v>
      </c>
      <c r="AS899" t="s">
        <v>1085</v>
      </c>
      <c r="AT899" t="s">
        <v>14661</v>
      </c>
      <c r="AU899">
        <v>2018</v>
      </c>
      <c r="AV899">
        <v>41</v>
      </c>
      <c r="AW899">
        <v>11</v>
      </c>
      <c r="AX899" t="s">
        <v>74</v>
      </c>
      <c r="AY899" t="s">
        <v>74</v>
      </c>
      <c r="AZ899" t="s">
        <v>74</v>
      </c>
      <c r="BA899" t="s">
        <v>74</v>
      </c>
      <c r="BB899">
        <v>2387</v>
      </c>
      <c r="BC899">
        <v>2398</v>
      </c>
      <c r="BD899" t="s">
        <v>74</v>
      </c>
      <c r="BE899" t="s">
        <v>17257</v>
      </c>
      <c r="BF899" t="str">
        <f>HYPERLINK("http://dx.doi.org/10.1007/s00300-018-2363-9","http://dx.doi.org/10.1007/s00300-018-2363-9")</f>
        <v>http://dx.doi.org/10.1007/s00300-018-2363-9</v>
      </c>
      <c r="BG899" t="s">
        <v>74</v>
      </c>
      <c r="BH899" t="s">
        <v>74</v>
      </c>
      <c r="BI899">
        <v>12</v>
      </c>
      <c r="BJ899" t="s">
        <v>1087</v>
      </c>
      <c r="BK899" t="s">
        <v>101</v>
      </c>
      <c r="BL899" t="s">
        <v>102</v>
      </c>
      <c r="BM899" t="s">
        <v>16241</v>
      </c>
      <c r="BN899" t="s">
        <v>74</v>
      </c>
      <c r="BO899" t="s">
        <v>74</v>
      </c>
      <c r="BP899" t="s">
        <v>74</v>
      </c>
      <c r="BQ899" t="s">
        <v>74</v>
      </c>
      <c r="BR899" t="s">
        <v>104</v>
      </c>
      <c r="BS899" t="s">
        <v>17258</v>
      </c>
      <c r="BT899" t="str">
        <f>HYPERLINK("https%3A%2F%2Fwww.webofscience.com%2Fwos%2Fwoscc%2Ffull-record%2FWOS:000446075800020","View Full Record in Web of Science")</f>
        <v>View Full Record in Web of Science</v>
      </c>
    </row>
    <row r="900" spans="1:72" x14ac:dyDescent="0.15">
      <c r="A900" t="s">
        <v>72</v>
      </c>
      <c r="B900" t="s">
        <v>17259</v>
      </c>
      <c r="C900" t="s">
        <v>74</v>
      </c>
      <c r="D900" t="s">
        <v>74</v>
      </c>
      <c r="E900" t="s">
        <v>74</v>
      </c>
      <c r="F900" t="s">
        <v>17260</v>
      </c>
      <c r="G900" t="s">
        <v>74</v>
      </c>
      <c r="H900" t="s">
        <v>74</v>
      </c>
      <c r="I900" t="s">
        <v>17261</v>
      </c>
      <c r="J900" t="s">
        <v>4745</v>
      </c>
      <c r="K900" t="s">
        <v>74</v>
      </c>
      <c r="L900" t="s">
        <v>74</v>
      </c>
      <c r="M900" t="s">
        <v>78</v>
      </c>
      <c r="N900" t="s">
        <v>79</v>
      </c>
      <c r="O900" t="s">
        <v>74</v>
      </c>
      <c r="P900" t="s">
        <v>74</v>
      </c>
      <c r="Q900" t="s">
        <v>74</v>
      </c>
      <c r="R900" t="s">
        <v>74</v>
      </c>
      <c r="S900" t="s">
        <v>74</v>
      </c>
      <c r="T900" t="s">
        <v>17262</v>
      </c>
      <c r="U900" t="s">
        <v>17263</v>
      </c>
      <c r="V900" t="s">
        <v>17264</v>
      </c>
      <c r="W900" t="s">
        <v>17265</v>
      </c>
      <c r="X900" t="s">
        <v>17266</v>
      </c>
      <c r="Y900" t="s">
        <v>17267</v>
      </c>
      <c r="Z900" t="s">
        <v>17268</v>
      </c>
      <c r="AA900" t="s">
        <v>17269</v>
      </c>
      <c r="AB900" t="s">
        <v>17270</v>
      </c>
      <c r="AC900" t="s">
        <v>17271</v>
      </c>
      <c r="AD900" t="s">
        <v>17272</v>
      </c>
      <c r="AE900" t="s">
        <v>17273</v>
      </c>
      <c r="AF900" t="s">
        <v>74</v>
      </c>
      <c r="AG900">
        <v>69</v>
      </c>
      <c r="AH900">
        <v>15</v>
      </c>
      <c r="AI900">
        <v>17</v>
      </c>
      <c r="AJ900">
        <v>4</v>
      </c>
      <c r="AK900">
        <v>27</v>
      </c>
      <c r="AL900" t="s">
        <v>4010</v>
      </c>
      <c r="AM900" t="s">
        <v>4011</v>
      </c>
      <c r="AN900" t="s">
        <v>4012</v>
      </c>
      <c r="AO900" t="s">
        <v>4757</v>
      </c>
      <c r="AP900" t="s">
        <v>74</v>
      </c>
      <c r="AQ900" t="s">
        <v>74</v>
      </c>
      <c r="AR900" t="s">
        <v>4758</v>
      </c>
      <c r="AS900" t="s">
        <v>4759</v>
      </c>
      <c r="AT900" t="s">
        <v>14661</v>
      </c>
      <c r="AU900">
        <v>2018</v>
      </c>
      <c r="AV900">
        <v>10</v>
      </c>
      <c r="AW900">
        <v>11</v>
      </c>
      <c r="AX900" t="s">
        <v>74</v>
      </c>
      <c r="AY900" t="s">
        <v>74</v>
      </c>
      <c r="AZ900" t="s">
        <v>74</v>
      </c>
      <c r="BA900" t="s">
        <v>74</v>
      </c>
      <c r="BB900" t="s">
        <v>74</v>
      </c>
      <c r="BC900" t="s">
        <v>74</v>
      </c>
      <c r="BD900">
        <v>1784</v>
      </c>
      <c r="BE900" t="s">
        <v>17274</v>
      </c>
      <c r="BF900" t="str">
        <f>HYPERLINK("http://dx.doi.org/10.3390/rs10111784","http://dx.doi.org/10.3390/rs10111784")</f>
        <v>http://dx.doi.org/10.3390/rs10111784</v>
      </c>
      <c r="BG900" t="s">
        <v>74</v>
      </c>
      <c r="BH900" t="s">
        <v>74</v>
      </c>
      <c r="BI900">
        <v>21</v>
      </c>
      <c r="BJ900" t="s">
        <v>4761</v>
      </c>
      <c r="BK900" t="s">
        <v>101</v>
      </c>
      <c r="BL900" t="s">
        <v>4762</v>
      </c>
      <c r="BM900" t="s">
        <v>16308</v>
      </c>
      <c r="BN900" t="s">
        <v>74</v>
      </c>
      <c r="BO900" t="s">
        <v>1556</v>
      </c>
      <c r="BP900" t="s">
        <v>74</v>
      </c>
      <c r="BQ900" t="s">
        <v>74</v>
      </c>
      <c r="BR900" t="s">
        <v>104</v>
      </c>
      <c r="BS900" t="s">
        <v>17275</v>
      </c>
      <c r="BT900" t="str">
        <f>HYPERLINK("https%3A%2F%2Fwww.webofscience.com%2Fwos%2Fwoscc%2Ffull-record%2FWOS:000451733800115","View Full Record in Web of Science")</f>
        <v>View Full Record in Web of Science</v>
      </c>
    </row>
    <row r="901" spans="1:72" x14ac:dyDescent="0.15">
      <c r="A901" t="s">
        <v>72</v>
      </c>
      <c r="B901" t="s">
        <v>17276</v>
      </c>
      <c r="C901" t="s">
        <v>74</v>
      </c>
      <c r="D901" t="s">
        <v>74</v>
      </c>
      <c r="E901" t="s">
        <v>74</v>
      </c>
      <c r="F901" t="s">
        <v>17277</v>
      </c>
      <c r="G901" t="s">
        <v>74</v>
      </c>
      <c r="H901" t="s">
        <v>74</v>
      </c>
      <c r="I901" t="s">
        <v>17278</v>
      </c>
      <c r="J901" t="s">
        <v>17279</v>
      </c>
      <c r="K901" t="s">
        <v>74</v>
      </c>
      <c r="L901" t="s">
        <v>74</v>
      </c>
      <c r="M901" t="s">
        <v>78</v>
      </c>
      <c r="N901" t="s">
        <v>79</v>
      </c>
      <c r="O901" t="s">
        <v>74</v>
      </c>
      <c r="P901" t="s">
        <v>74</v>
      </c>
      <c r="Q901" t="s">
        <v>74</v>
      </c>
      <c r="R901" t="s">
        <v>74</v>
      </c>
      <c r="S901" t="s">
        <v>74</v>
      </c>
      <c r="T901" t="s">
        <v>17280</v>
      </c>
      <c r="U901" t="s">
        <v>74</v>
      </c>
      <c r="V901" t="s">
        <v>17281</v>
      </c>
      <c r="W901" t="s">
        <v>17282</v>
      </c>
      <c r="X901" t="s">
        <v>17283</v>
      </c>
      <c r="Y901" t="s">
        <v>17284</v>
      </c>
      <c r="Z901" t="s">
        <v>17285</v>
      </c>
      <c r="AA901" t="s">
        <v>17286</v>
      </c>
      <c r="AB901" t="s">
        <v>17287</v>
      </c>
      <c r="AC901" t="s">
        <v>17288</v>
      </c>
      <c r="AD901" t="s">
        <v>17289</v>
      </c>
      <c r="AE901" t="s">
        <v>17290</v>
      </c>
      <c r="AF901" t="s">
        <v>74</v>
      </c>
      <c r="AG901">
        <v>13</v>
      </c>
      <c r="AH901">
        <v>0</v>
      </c>
      <c r="AI901">
        <v>0</v>
      </c>
      <c r="AJ901">
        <v>0</v>
      </c>
      <c r="AK901">
        <v>2</v>
      </c>
      <c r="AL901" t="s">
        <v>17291</v>
      </c>
      <c r="AM901" t="s">
        <v>17292</v>
      </c>
      <c r="AN901" t="s">
        <v>17293</v>
      </c>
      <c r="AO901" t="s">
        <v>17294</v>
      </c>
      <c r="AP901" t="s">
        <v>17295</v>
      </c>
      <c r="AQ901" t="s">
        <v>74</v>
      </c>
      <c r="AR901" t="s">
        <v>17296</v>
      </c>
      <c r="AS901" t="s">
        <v>17297</v>
      </c>
      <c r="AT901" t="s">
        <v>14661</v>
      </c>
      <c r="AU901">
        <v>2018</v>
      </c>
      <c r="AV901">
        <v>59</v>
      </c>
      <c r="AW901">
        <v>3</v>
      </c>
      <c r="AX901" t="s">
        <v>74</v>
      </c>
      <c r="AY901" t="s">
        <v>74</v>
      </c>
      <c r="AZ901" t="s">
        <v>74</v>
      </c>
      <c r="BA901" t="s">
        <v>74</v>
      </c>
      <c r="BB901">
        <v>541</v>
      </c>
      <c r="BC901">
        <v>544</v>
      </c>
      <c r="BD901" t="s">
        <v>74</v>
      </c>
      <c r="BE901" t="s">
        <v>74</v>
      </c>
      <c r="BF901" t="s">
        <v>74</v>
      </c>
      <c r="BG901" t="s">
        <v>74</v>
      </c>
      <c r="BH901" t="s">
        <v>74</v>
      </c>
      <c r="BI901">
        <v>4</v>
      </c>
      <c r="BJ901" t="s">
        <v>2400</v>
      </c>
      <c r="BK901" t="s">
        <v>101</v>
      </c>
      <c r="BL901" t="s">
        <v>799</v>
      </c>
      <c r="BM901" t="s">
        <v>17298</v>
      </c>
      <c r="BN901" t="s">
        <v>74</v>
      </c>
      <c r="BO901" t="s">
        <v>74</v>
      </c>
      <c r="BP901" t="s">
        <v>74</v>
      </c>
      <c r="BQ901" t="s">
        <v>74</v>
      </c>
      <c r="BR901" t="s">
        <v>104</v>
      </c>
      <c r="BS901" t="s">
        <v>17299</v>
      </c>
      <c r="BT901" t="str">
        <f>HYPERLINK("https%3A%2F%2Fwww.webofscience.com%2Fwos%2Fwoscc%2Ffull-record%2FWOS:000532450700013","View Full Record in Web of Science")</f>
        <v>View Full Record in Web of Science</v>
      </c>
    </row>
    <row r="902" spans="1:72" x14ac:dyDescent="0.15">
      <c r="A902" t="s">
        <v>72</v>
      </c>
      <c r="B902" t="s">
        <v>17300</v>
      </c>
      <c r="C902" t="s">
        <v>74</v>
      </c>
      <c r="D902" t="s">
        <v>74</v>
      </c>
      <c r="E902" t="s">
        <v>74</v>
      </c>
      <c r="F902" t="s">
        <v>17301</v>
      </c>
      <c r="G902" t="s">
        <v>74</v>
      </c>
      <c r="H902" t="s">
        <v>74</v>
      </c>
      <c r="I902" t="s">
        <v>17302</v>
      </c>
      <c r="J902" t="s">
        <v>17303</v>
      </c>
      <c r="K902" t="s">
        <v>74</v>
      </c>
      <c r="L902" t="s">
        <v>74</v>
      </c>
      <c r="M902" t="s">
        <v>78</v>
      </c>
      <c r="N902" t="s">
        <v>79</v>
      </c>
      <c r="O902" t="s">
        <v>74</v>
      </c>
      <c r="P902" t="s">
        <v>74</v>
      </c>
      <c r="Q902" t="s">
        <v>74</v>
      </c>
      <c r="R902" t="s">
        <v>74</v>
      </c>
      <c r="S902" t="s">
        <v>74</v>
      </c>
      <c r="T902" t="s">
        <v>17304</v>
      </c>
      <c r="U902" t="s">
        <v>17305</v>
      </c>
      <c r="V902" t="s">
        <v>17306</v>
      </c>
      <c r="W902" t="s">
        <v>17307</v>
      </c>
      <c r="X902" t="s">
        <v>17308</v>
      </c>
      <c r="Y902" t="s">
        <v>17309</v>
      </c>
      <c r="Z902" t="s">
        <v>17310</v>
      </c>
      <c r="AA902" t="s">
        <v>17311</v>
      </c>
      <c r="AB902" t="s">
        <v>17312</v>
      </c>
      <c r="AC902" t="s">
        <v>17313</v>
      </c>
      <c r="AD902" t="s">
        <v>17313</v>
      </c>
      <c r="AE902" t="s">
        <v>17314</v>
      </c>
      <c r="AF902" t="s">
        <v>74</v>
      </c>
      <c r="AG902">
        <v>52</v>
      </c>
      <c r="AH902">
        <v>3</v>
      </c>
      <c r="AI902">
        <v>3</v>
      </c>
      <c r="AJ902">
        <v>2</v>
      </c>
      <c r="AK902">
        <v>64</v>
      </c>
      <c r="AL902" t="s">
        <v>6139</v>
      </c>
      <c r="AM902" t="s">
        <v>3353</v>
      </c>
      <c r="AN902" t="s">
        <v>6140</v>
      </c>
      <c r="AO902" t="s">
        <v>17315</v>
      </c>
      <c r="AP902" t="s">
        <v>17316</v>
      </c>
      <c r="AQ902" t="s">
        <v>74</v>
      </c>
      <c r="AR902" t="s">
        <v>17317</v>
      </c>
      <c r="AS902" t="s">
        <v>17318</v>
      </c>
      <c r="AT902" t="s">
        <v>14661</v>
      </c>
      <c r="AU902">
        <v>2018</v>
      </c>
      <c r="AV902">
        <v>89</v>
      </c>
      <c r="AW902" t="s">
        <v>74</v>
      </c>
      <c r="AX902" t="s">
        <v>74</v>
      </c>
      <c r="AY902" t="s">
        <v>74</v>
      </c>
      <c r="AZ902" t="s">
        <v>74</v>
      </c>
      <c r="BA902" t="s">
        <v>74</v>
      </c>
      <c r="BB902">
        <v>23</v>
      </c>
      <c r="BC902">
        <v>29</v>
      </c>
      <c r="BD902" t="s">
        <v>74</v>
      </c>
      <c r="BE902" t="s">
        <v>17319</v>
      </c>
      <c r="BF902" t="str">
        <f>HYPERLINK("http://dx.doi.org/10.1016/j.envsci.2018.06.017","http://dx.doi.org/10.1016/j.envsci.2018.06.017")</f>
        <v>http://dx.doi.org/10.1016/j.envsci.2018.06.017</v>
      </c>
      <c r="BG902" t="s">
        <v>74</v>
      </c>
      <c r="BH902" t="s">
        <v>74</v>
      </c>
      <c r="BI902">
        <v>7</v>
      </c>
      <c r="BJ902" t="s">
        <v>798</v>
      </c>
      <c r="BK902" t="s">
        <v>3493</v>
      </c>
      <c r="BL902" t="s">
        <v>799</v>
      </c>
      <c r="BM902" t="s">
        <v>17320</v>
      </c>
      <c r="BN902" t="s">
        <v>74</v>
      </c>
      <c r="BO902" t="s">
        <v>74</v>
      </c>
      <c r="BP902" t="s">
        <v>74</v>
      </c>
      <c r="BQ902" t="s">
        <v>74</v>
      </c>
      <c r="BR902" t="s">
        <v>104</v>
      </c>
      <c r="BS902" t="s">
        <v>17321</v>
      </c>
      <c r="BT902" t="str">
        <f>HYPERLINK("https%3A%2F%2Fwww.webofscience.com%2Fwos%2Fwoscc%2Ffull-record%2FWOS:000447557600003","View Full Record in Web of Science")</f>
        <v>View Full Record in Web of Science</v>
      </c>
    </row>
    <row r="903" spans="1:72" x14ac:dyDescent="0.15">
      <c r="A903" t="s">
        <v>72</v>
      </c>
      <c r="B903" t="s">
        <v>17322</v>
      </c>
      <c r="C903" t="s">
        <v>74</v>
      </c>
      <c r="D903" t="s">
        <v>74</v>
      </c>
      <c r="E903" t="s">
        <v>74</v>
      </c>
      <c r="F903" t="s">
        <v>17323</v>
      </c>
      <c r="G903" t="s">
        <v>74</v>
      </c>
      <c r="H903" t="s">
        <v>74</v>
      </c>
      <c r="I903" t="s">
        <v>17324</v>
      </c>
      <c r="J903" t="s">
        <v>17325</v>
      </c>
      <c r="K903" t="s">
        <v>74</v>
      </c>
      <c r="L903" t="s">
        <v>74</v>
      </c>
      <c r="M903" t="s">
        <v>78</v>
      </c>
      <c r="N903" t="s">
        <v>79</v>
      </c>
      <c r="O903" t="s">
        <v>74</v>
      </c>
      <c r="P903" t="s">
        <v>74</v>
      </c>
      <c r="Q903" t="s">
        <v>74</v>
      </c>
      <c r="R903" t="s">
        <v>74</v>
      </c>
      <c r="S903" t="s">
        <v>74</v>
      </c>
      <c r="T903" t="s">
        <v>17326</v>
      </c>
      <c r="U903" t="s">
        <v>17327</v>
      </c>
      <c r="V903" t="s">
        <v>17328</v>
      </c>
      <c r="W903" t="s">
        <v>17329</v>
      </c>
      <c r="X903" t="s">
        <v>17330</v>
      </c>
      <c r="Y903" t="s">
        <v>17331</v>
      </c>
      <c r="Z903" t="s">
        <v>17332</v>
      </c>
      <c r="AA903" t="s">
        <v>17333</v>
      </c>
      <c r="AB903" t="s">
        <v>17334</v>
      </c>
      <c r="AC903" t="s">
        <v>17335</v>
      </c>
      <c r="AD903" t="s">
        <v>17336</v>
      </c>
      <c r="AE903" t="s">
        <v>17337</v>
      </c>
      <c r="AF903" t="s">
        <v>74</v>
      </c>
      <c r="AG903">
        <v>67</v>
      </c>
      <c r="AH903">
        <v>15</v>
      </c>
      <c r="AI903">
        <v>16</v>
      </c>
      <c r="AJ903">
        <v>1</v>
      </c>
      <c r="AK903">
        <v>13</v>
      </c>
      <c r="AL903" t="s">
        <v>7701</v>
      </c>
      <c r="AM903" t="s">
        <v>3008</v>
      </c>
      <c r="AN903" t="s">
        <v>7702</v>
      </c>
      <c r="AO903" t="s">
        <v>17338</v>
      </c>
      <c r="AP903" t="s">
        <v>17339</v>
      </c>
      <c r="AQ903" t="s">
        <v>74</v>
      </c>
      <c r="AR903" t="s">
        <v>17340</v>
      </c>
      <c r="AS903" t="s">
        <v>17341</v>
      </c>
      <c r="AT903" t="s">
        <v>14661</v>
      </c>
      <c r="AU903">
        <v>2018</v>
      </c>
      <c r="AV903">
        <v>82</v>
      </c>
      <c r="AW903" t="s">
        <v>74</v>
      </c>
      <c r="AX903" t="s">
        <v>74</v>
      </c>
      <c r="AY903" t="s">
        <v>74</v>
      </c>
      <c r="AZ903" t="s">
        <v>74</v>
      </c>
      <c r="BA903" t="s">
        <v>74</v>
      </c>
      <c r="BB903">
        <v>492</v>
      </c>
      <c r="BC903">
        <v>503</v>
      </c>
      <c r="BD903" t="s">
        <v>74</v>
      </c>
      <c r="BE903" t="s">
        <v>17342</v>
      </c>
      <c r="BF903" t="str">
        <f>HYPERLINK("http://dx.doi.org/10.1016/j.fsi.2018.08.042","http://dx.doi.org/10.1016/j.fsi.2018.08.042")</f>
        <v>http://dx.doi.org/10.1016/j.fsi.2018.08.042</v>
      </c>
      <c r="BG903" t="s">
        <v>74</v>
      </c>
      <c r="BH903" t="s">
        <v>74</v>
      </c>
      <c r="BI903">
        <v>12</v>
      </c>
      <c r="BJ903" t="s">
        <v>17343</v>
      </c>
      <c r="BK903" t="s">
        <v>101</v>
      </c>
      <c r="BL903" t="s">
        <v>17343</v>
      </c>
      <c r="BM903" t="s">
        <v>17344</v>
      </c>
      <c r="BN903">
        <v>30165153</v>
      </c>
      <c r="BO903" t="s">
        <v>74</v>
      </c>
      <c r="BP903" t="s">
        <v>74</v>
      </c>
      <c r="BQ903" t="s">
        <v>74</v>
      </c>
      <c r="BR903" t="s">
        <v>104</v>
      </c>
      <c r="BS903" t="s">
        <v>17345</v>
      </c>
      <c r="BT903" t="str">
        <f>HYPERLINK("https%3A%2F%2Fwww.webofscience.com%2Fwos%2Fwoscc%2Ffull-record%2FWOS:000447571600055","View Full Record in Web of Science")</f>
        <v>View Full Record in Web of Science</v>
      </c>
    </row>
    <row r="904" spans="1:72" x14ac:dyDescent="0.15">
      <c r="A904" t="s">
        <v>72</v>
      </c>
      <c r="B904" t="s">
        <v>17346</v>
      </c>
      <c r="C904" t="s">
        <v>74</v>
      </c>
      <c r="D904" t="s">
        <v>74</v>
      </c>
      <c r="E904" t="s">
        <v>74</v>
      </c>
      <c r="F904" t="s">
        <v>17347</v>
      </c>
      <c r="G904" t="s">
        <v>74</v>
      </c>
      <c r="H904" t="s">
        <v>74</v>
      </c>
      <c r="I904" t="s">
        <v>17348</v>
      </c>
      <c r="J904" t="s">
        <v>8380</v>
      </c>
      <c r="K904" t="s">
        <v>74</v>
      </c>
      <c r="L904" t="s">
        <v>74</v>
      </c>
      <c r="M904" t="s">
        <v>78</v>
      </c>
      <c r="N904" t="s">
        <v>79</v>
      </c>
      <c r="O904" t="s">
        <v>74</v>
      </c>
      <c r="P904" t="s">
        <v>74</v>
      </c>
      <c r="Q904" t="s">
        <v>74</v>
      </c>
      <c r="R904" t="s">
        <v>74</v>
      </c>
      <c r="S904" t="s">
        <v>74</v>
      </c>
      <c r="T904" t="s">
        <v>17349</v>
      </c>
      <c r="U904" t="s">
        <v>17350</v>
      </c>
      <c r="V904" t="s">
        <v>17351</v>
      </c>
      <c r="W904" t="s">
        <v>17352</v>
      </c>
      <c r="X904" t="s">
        <v>17353</v>
      </c>
      <c r="Y904" t="s">
        <v>17354</v>
      </c>
      <c r="Z904" t="s">
        <v>17355</v>
      </c>
      <c r="AA904" t="s">
        <v>17356</v>
      </c>
      <c r="AB904" t="s">
        <v>17357</v>
      </c>
      <c r="AC904" t="s">
        <v>5695</v>
      </c>
      <c r="AD904" t="s">
        <v>5696</v>
      </c>
      <c r="AE904" t="s">
        <v>17358</v>
      </c>
      <c r="AF904" t="s">
        <v>74</v>
      </c>
      <c r="AG904">
        <v>112</v>
      </c>
      <c r="AH904">
        <v>50</v>
      </c>
      <c r="AI904">
        <v>54</v>
      </c>
      <c r="AJ904">
        <v>2</v>
      </c>
      <c r="AK904">
        <v>57</v>
      </c>
      <c r="AL904" t="s">
        <v>8393</v>
      </c>
      <c r="AM904" t="s">
        <v>1080</v>
      </c>
      <c r="AN904" t="s">
        <v>8394</v>
      </c>
      <c r="AO904" t="s">
        <v>8395</v>
      </c>
      <c r="AP904" t="s">
        <v>8396</v>
      </c>
      <c r="AQ904" t="s">
        <v>74</v>
      </c>
      <c r="AR904" t="s">
        <v>8397</v>
      </c>
      <c r="AS904" t="s">
        <v>8398</v>
      </c>
      <c r="AT904" t="s">
        <v>14661</v>
      </c>
      <c r="AU904">
        <v>2018</v>
      </c>
      <c r="AV904">
        <v>217</v>
      </c>
      <c r="AW904" t="s">
        <v>74</v>
      </c>
      <c r="AX904" t="s">
        <v>74</v>
      </c>
      <c r="AY904" t="s">
        <v>74</v>
      </c>
      <c r="AZ904" t="s">
        <v>74</v>
      </c>
      <c r="BA904" t="s">
        <v>74</v>
      </c>
      <c r="BB904">
        <v>375</v>
      </c>
      <c r="BC904">
        <v>388</v>
      </c>
      <c r="BD904" t="s">
        <v>74</v>
      </c>
      <c r="BE904" t="s">
        <v>17359</v>
      </c>
      <c r="BF904" t="str">
        <f>HYPERLINK("http://dx.doi.org/10.1016/j.rse.2018.08.031","http://dx.doi.org/10.1016/j.rse.2018.08.031")</f>
        <v>http://dx.doi.org/10.1016/j.rse.2018.08.031</v>
      </c>
      <c r="BG904" t="s">
        <v>74</v>
      </c>
      <c r="BH904" t="s">
        <v>74</v>
      </c>
      <c r="BI904">
        <v>14</v>
      </c>
      <c r="BJ904" t="s">
        <v>8400</v>
      </c>
      <c r="BK904" t="s">
        <v>101</v>
      </c>
      <c r="BL904" t="s">
        <v>8401</v>
      </c>
      <c r="BM904" t="s">
        <v>17360</v>
      </c>
      <c r="BN904" t="s">
        <v>74</v>
      </c>
      <c r="BO904" t="s">
        <v>404</v>
      </c>
      <c r="BP904" t="s">
        <v>74</v>
      </c>
      <c r="BQ904" t="s">
        <v>74</v>
      </c>
      <c r="BR904" t="s">
        <v>104</v>
      </c>
      <c r="BS904" t="s">
        <v>17361</v>
      </c>
      <c r="BT904" t="str">
        <f>HYPERLINK("https%3A%2F%2Fwww.webofscience.com%2Fwos%2Fwoscc%2Ffull-record%2FWOS:000447570900028","View Full Record in Web of Science")</f>
        <v>View Full Record in Web of Science</v>
      </c>
    </row>
    <row r="905" spans="1:72" x14ac:dyDescent="0.15">
      <c r="A905" t="s">
        <v>72</v>
      </c>
      <c r="B905" t="s">
        <v>17362</v>
      </c>
      <c r="C905" t="s">
        <v>74</v>
      </c>
      <c r="D905" t="s">
        <v>74</v>
      </c>
      <c r="E905" t="s">
        <v>74</v>
      </c>
      <c r="F905" t="s">
        <v>17363</v>
      </c>
      <c r="G905" t="s">
        <v>74</v>
      </c>
      <c r="H905" t="s">
        <v>74</v>
      </c>
      <c r="I905" t="s">
        <v>17364</v>
      </c>
      <c r="J905" t="s">
        <v>17365</v>
      </c>
      <c r="K905" t="s">
        <v>74</v>
      </c>
      <c r="L905" t="s">
        <v>74</v>
      </c>
      <c r="M905" t="s">
        <v>78</v>
      </c>
      <c r="N905" t="s">
        <v>79</v>
      </c>
      <c r="O905" t="s">
        <v>74</v>
      </c>
      <c r="P905" t="s">
        <v>74</v>
      </c>
      <c r="Q905" t="s">
        <v>74</v>
      </c>
      <c r="R905" t="s">
        <v>74</v>
      </c>
      <c r="S905" t="s">
        <v>74</v>
      </c>
      <c r="T905" t="s">
        <v>74</v>
      </c>
      <c r="U905" t="s">
        <v>17366</v>
      </c>
      <c r="V905" t="s">
        <v>17367</v>
      </c>
      <c r="W905" t="s">
        <v>17368</v>
      </c>
      <c r="X905" t="s">
        <v>17369</v>
      </c>
      <c r="Y905" t="s">
        <v>17370</v>
      </c>
      <c r="Z905" t="s">
        <v>17371</v>
      </c>
      <c r="AA905" t="s">
        <v>17372</v>
      </c>
      <c r="AB905" t="s">
        <v>17373</v>
      </c>
      <c r="AC905" t="s">
        <v>17374</v>
      </c>
      <c r="AD905" t="s">
        <v>17375</v>
      </c>
      <c r="AE905" t="s">
        <v>17376</v>
      </c>
      <c r="AF905" t="s">
        <v>74</v>
      </c>
      <c r="AG905">
        <v>90</v>
      </c>
      <c r="AH905">
        <v>10</v>
      </c>
      <c r="AI905">
        <v>11</v>
      </c>
      <c r="AJ905">
        <v>0</v>
      </c>
      <c r="AK905">
        <v>10</v>
      </c>
      <c r="AL905" t="s">
        <v>3670</v>
      </c>
      <c r="AM905" t="s">
        <v>3671</v>
      </c>
      <c r="AN905" t="s">
        <v>3672</v>
      </c>
      <c r="AO905" t="s">
        <v>17377</v>
      </c>
      <c r="AP905" t="s">
        <v>17378</v>
      </c>
      <c r="AQ905" t="s">
        <v>74</v>
      </c>
      <c r="AR905" t="s">
        <v>17379</v>
      </c>
      <c r="AS905" t="s">
        <v>17380</v>
      </c>
      <c r="AT905" t="s">
        <v>14661</v>
      </c>
      <c r="AU905">
        <v>2018</v>
      </c>
      <c r="AV905">
        <v>47</v>
      </c>
      <c r="AW905">
        <v>6</v>
      </c>
      <c r="AX905" t="s">
        <v>74</v>
      </c>
      <c r="AY905" t="s">
        <v>74</v>
      </c>
      <c r="AZ905" t="s">
        <v>74</v>
      </c>
      <c r="BA905" t="s">
        <v>74</v>
      </c>
      <c r="BB905">
        <v>714</v>
      </c>
      <c r="BC905">
        <v>726</v>
      </c>
      <c r="BD905" t="s">
        <v>74</v>
      </c>
      <c r="BE905" t="s">
        <v>17381</v>
      </c>
      <c r="BF905" t="str">
        <f>HYPERLINK("http://dx.doi.org/10.1111/zsc.12313","http://dx.doi.org/10.1111/zsc.12313")</f>
        <v>http://dx.doi.org/10.1111/zsc.12313</v>
      </c>
      <c r="BG905" t="s">
        <v>74</v>
      </c>
      <c r="BH905" t="s">
        <v>74</v>
      </c>
      <c r="BI905">
        <v>13</v>
      </c>
      <c r="BJ905" t="s">
        <v>17382</v>
      </c>
      <c r="BK905" t="s">
        <v>101</v>
      </c>
      <c r="BL905" t="s">
        <v>17382</v>
      </c>
      <c r="BM905" t="s">
        <v>17383</v>
      </c>
      <c r="BN905" t="s">
        <v>74</v>
      </c>
      <c r="BO905" t="s">
        <v>74</v>
      </c>
      <c r="BP905" t="s">
        <v>74</v>
      </c>
      <c r="BQ905" t="s">
        <v>74</v>
      </c>
      <c r="BR905" t="s">
        <v>104</v>
      </c>
      <c r="BS905" t="s">
        <v>17384</v>
      </c>
      <c r="BT905" t="str">
        <f>HYPERLINK("https%3A%2F%2Fwww.webofscience.com%2Fwos%2Fwoscc%2Ffull-record%2FWOS:000447557400008","View Full Record in Web of Science")</f>
        <v>View Full Record in Web of Science</v>
      </c>
    </row>
    <row r="906" spans="1:72" x14ac:dyDescent="0.15">
      <c r="A906" t="s">
        <v>72</v>
      </c>
      <c r="B906" t="s">
        <v>17385</v>
      </c>
      <c r="C906" t="s">
        <v>74</v>
      </c>
      <c r="D906" t="s">
        <v>74</v>
      </c>
      <c r="E906" t="s">
        <v>74</v>
      </c>
      <c r="F906" t="s">
        <v>17386</v>
      </c>
      <c r="G906" t="s">
        <v>74</v>
      </c>
      <c r="H906" t="s">
        <v>74</v>
      </c>
      <c r="I906" t="s">
        <v>17387</v>
      </c>
      <c r="J906" t="s">
        <v>10792</v>
      </c>
      <c r="K906" t="s">
        <v>74</v>
      </c>
      <c r="L906" t="s">
        <v>74</v>
      </c>
      <c r="M906" t="s">
        <v>78</v>
      </c>
      <c r="N906" t="s">
        <v>79</v>
      </c>
      <c r="O906" t="s">
        <v>74</v>
      </c>
      <c r="P906" t="s">
        <v>74</v>
      </c>
      <c r="Q906" t="s">
        <v>74</v>
      </c>
      <c r="R906" t="s">
        <v>74</v>
      </c>
      <c r="S906" t="s">
        <v>74</v>
      </c>
      <c r="T906" t="s">
        <v>17388</v>
      </c>
      <c r="U906" t="s">
        <v>17389</v>
      </c>
      <c r="V906" t="s">
        <v>17390</v>
      </c>
      <c r="W906" t="s">
        <v>17391</v>
      </c>
      <c r="X906" t="s">
        <v>17392</v>
      </c>
      <c r="Y906" t="s">
        <v>17393</v>
      </c>
      <c r="Z906" t="s">
        <v>17394</v>
      </c>
      <c r="AA906" t="s">
        <v>17395</v>
      </c>
      <c r="AB906" t="s">
        <v>17396</v>
      </c>
      <c r="AC906" t="s">
        <v>17397</v>
      </c>
      <c r="AD906" t="s">
        <v>17398</v>
      </c>
      <c r="AE906" t="s">
        <v>17399</v>
      </c>
      <c r="AF906" t="s">
        <v>74</v>
      </c>
      <c r="AG906">
        <v>44</v>
      </c>
      <c r="AH906">
        <v>5</v>
      </c>
      <c r="AI906">
        <v>5</v>
      </c>
      <c r="AJ906">
        <v>0</v>
      </c>
      <c r="AK906">
        <v>13</v>
      </c>
      <c r="AL906" t="s">
        <v>1079</v>
      </c>
      <c r="AM906" t="s">
        <v>4862</v>
      </c>
      <c r="AN906" t="s">
        <v>4863</v>
      </c>
      <c r="AO906" t="s">
        <v>10805</v>
      </c>
      <c r="AP906" t="s">
        <v>10806</v>
      </c>
      <c r="AQ906" t="s">
        <v>74</v>
      </c>
      <c r="AR906" t="s">
        <v>10807</v>
      </c>
      <c r="AS906" t="s">
        <v>10808</v>
      </c>
      <c r="AT906" t="s">
        <v>14661</v>
      </c>
      <c r="AU906">
        <v>2018</v>
      </c>
      <c r="AV906">
        <v>363</v>
      </c>
      <c r="AW906">
        <v>11</v>
      </c>
      <c r="AX906" t="s">
        <v>74</v>
      </c>
      <c r="AY906" t="s">
        <v>74</v>
      </c>
      <c r="AZ906" t="s">
        <v>74</v>
      </c>
      <c r="BA906" t="s">
        <v>74</v>
      </c>
      <c r="BB906" t="s">
        <v>74</v>
      </c>
      <c r="BC906" t="s">
        <v>74</v>
      </c>
      <c r="BD906">
        <v>236</v>
      </c>
      <c r="BE906" t="s">
        <v>17400</v>
      </c>
      <c r="BF906" t="str">
        <f>HYPERLINK("http://dx.doi.org/10.1007/s10509-018-3421-z","http://dx.doi.org/10.1007/s10509-018-3421-z")</f>
        <v>http://dx.doi.org/10.1007/s10509-018-3421-z</v>
      </c>
      <c r="BG906" t="s">
        <v>74</v>
      </c>
      <c r="BH906" t="s">
        <v>74</v>
      </c>
      <c r="BI906">
        <v>13</v>
      </c>
      <c r="BJ906" t="s">
        <v>2351</v>
      </c>
      <c r="BK906" t="s">
        <v>101</v>
      </c>
      <c r="BL906" t="s">
        <v>2351</v>
      </c>
      <c r="BM906" t="s">
        <v>17401</v>
      </c>
      <c r="BN906" t="s">
        <v>74</v>
      </c>
      <c r="BO906" t="s">
        <v>74</v>
      </c>
      <c r="BP906" t="s">
        <v>74</v>
      </c>
      <c r="BQ906" t="s">
        <v>74</v>
      </c>
      <c r="BR906" t="s">
        <v>104</v>
      </c>
      <c r="BS906" t="s">
        <v>17402</v>
      </c>
      <c r="BT906" t="str">
        <f>HYPERLINK("https%3A%2F%2Fwww.webofscience.com%2Fwos%2Fwoscc%2Ffull-record%2FWOS:000447492300002","View Full Record in Web of Science")</f>
        <v>View Full Record in Web of Science</v>
      </c>
    </row>
    <row r="907" spans="1:72" x14ac:dyDescent="0.15">
      <c r="A907" t="s">
        <v>72</v>
      </c>
      <c r="B907" t="s">
        <v>17403</v>
      </c>
      <c r="C907" t="s">
        <v>74</v>
      </c>
      <c r="D907" t="s">
        <v>74</v>
      </c>
      <c r="E907" t="s">
        <v>74</v>
      </c>
      <c r="F907" t="s">
        <v>17404</v>
      </c>
      <c r="G907" t="s">
        <v>74</v>
      </c>
      <c r="H907" t="s">
        <v>74</v>
      </c>
      <c r="I907" t="s">
        <v>17405</v>
      </c>
      <c r="J907" t="s">
        <v>17406</v>
      </c>
      <c r="K907" t="s">
        <v>74</v>
      </c>
      <c r="L907" t="s">
        <v>74</v>
      </c>
      <c r="M907" t="s">
        <v>78</v>
      </c>
      <c r="N907" t="s">
        <v>79</v>
      </c>
      <c r="O907" t="s">
        <v>74</v>
      </c>
      <c r="P907" t="s">
        <v>74</v>
      </c>
      <c r="Q907" t="s">
        <v>74</v>
      </c>
      <c r="R907" t="s">
        <v>74</v>
      </c>
      <c r="S907" t="s">
        <v>74</v>
      </c>
      <c r="T907" t="s">
        <v>74</v>
      </c>
      <c r="U907" t="s">
        <v>74</v>
      </c>
      <c r="V907" t="s">
        <v>74</v>
      </c>
      <c r="W907" t="s">
        <v>17407</v>
      </c>
      <c r="X907" t="s">
        <v>17408</v>
      </c>
      <c r="Y907" t="s">
        <v>17409</v>
      </c>
      <c r="Z907" t="s">
        <v>17410</v>
      </c>
      <c r="AA907" t="s">
        <v>17411</v>
      </c>
      <c r="AB907" t="s">
        <v>17412</v>
      </c>
      <c r="AC907" t="s">
        <v>17413</v>
      </c>
      <c r="AD907" t="s">
        <v>17414</v>
      </c>
      <c r="AE907" t="s">
        <v>17415</v>
      </c>
      <c r="AF907" t="s">
        <v>74</v>
      </c>
      <c r="AG907">
        <v>28</v>
      </c>
      <c r="AH907">
        <v>2</v>
      </c>
      <c r="AI907">
        <v>2</v>
      </c>
      <c r="AJ907">
        <v>0</v>
      </c>
      <c r="AK907">
        <v>6</v>
      </c>
      <c r="AL907" t="s">
        <v>8393</v>
      </c>
      <c r="AM907" t="s">
        <v>1080</v>
      </c>
      <c r="AN907" t="s">
        <v>8394</v>
      </c>
      <c r="AO907" t="s">
        <v>17416</v>
      </c>
      <c r="AP907" t="s">
        <v>17417</v>
      </c>
      <c r="AQ907" t="s">
        <v>74</v>
      </c>
      <c r="AR907" t="s">
        <v>17418</v>
      </c>
      <c r="AS907" t="s">
        <v>17419</v>
      </c>
      <c r="AT907" t="s">
        <v>14661</v>
      </c>
      <c r="AU907">
        <v>2018</v>
      </c>
      <c r="AV907">
        <v>73</v>
      </c>
      <c r="AW907" t="s">
        <v>74</v>
      </c>
      <c r="AX907" t="s">
        <v>74</v>
      </c>
      <c r="AY907" t="s">
        <v>74</v>
      </c>
      <c r="AZ907" t="s">
        <v>74</v>
      </c>
      <c r="BA907" t="s">
        <v>74</v>
      </c>
      <c r="BB907">
        <v>104</v>
      </c>
      <c r="BC907">
        <v>113</v>
      </c>
      <c r="BD907" t="s">
        <v>74</v>
      </c>
      <c r="BE907" t="s">
        <v>17420</v>
      </c>
      <c r="BF907" t="str">
        <f>HYPERLINK("http://dx.doi.org/10.1016/j.eiar.2018.08.003","http://dx.doi.org/10.1016/j.eiar.2018.08.003")</f>
        <v>http://dx.doi.org/10.1016/j.eiar.2018.08.003</v>
      </c>
      <c r="BG907" t="s">
        <v>74</v>
      </c>
      <c r="BH907" t="s">
        <v>74</v>
      </c>
      <c r="BI907">
        <v>10</v>
      </c>
      <c r="BJ907" t="s">
        <v>17421</v>
      </c>
      <c r="BK907" t="s">
        <v>10505</v>
      </c>
      <c r="BL907" t="s">
        <v>799</v>
      </c>
      <c r="BM907" t="s">
        <v>17422</v>
      </c>
      <c r="BN907" t="s">
        <v>74</v>
      </c>
      <c r="BO907" t="s">
        <v>1089</v>
      </c>
      <c r="BP907" t="s">
        <v>74</v>
      </c>
      <c r="BQ907" t="s">
        <v>74</v>
      </c>
      <c r="BR907" t="s">
        <v>104</v>
      </c>
      <c r="BS907" t="s">
        <v>17423</v>
      </c>
      <c r="BT907" t="str">
        <f>HYPERLINK("https%3A%2F%2Fwww.webofscience.com%2Fwos%2Fwoscc%2Ffull-record%2FWOS:000447480100010","View Full Record in Web of Science")</f>
        <v>View Full Record in Web of Science</v>
      </c>
    </row>
    <row r="908" spans="1:72" x14ac:dyDescent="0.15">
      <c r="A908" t="s">
        <v>72</v>
      </c>
      <c r="B908" t="s">
        <v>17424</v>
      </c>
      <c r="C908" t="s">
        <v>74</v>
      </c>
      <c r="D908" t="s">
        <v>74</v>
      </c>
      <c r="E908" t="s">
        <v>74</v>
      </c>
      <c r="F908" t="s">
        <v>17425</v>
      </c>
      <c r="G908" t="s">
        <v>74</v>
      </c>
      <c r="H908" t="s">
        <v>74</v>
      </c>
      <c r="I908" t="s">
        <v>17426</v>
      </c>
      <c r="J908" t="s">
        <v>6825</v>
      </c>
      <c r="K908" t="s">
        <v>74</v>
      </c>
      <c r="L908" t="s">
        <v>74</v>
      </c>
      <c r="M908" t="s">
        <v>78</v>
      </c>
      <c r="N908" t="s">
        <v>79</v>
      </c>
      <c r="O908" t="s">
        <v>74</v>
      </c>
      <c r="P908" t="s">
        <v>74</v>
      </c>
      <c r="Q908" t="s">
        <v>74</v>
      </c>
      <c r="R908" t="s">
        <v>74</v>
      </c>
      <c r="S908" t="s">
        <v>74</v>
      </c>
      <c r="T908" t="s">
        <v>17427</v>
      </c>
      <c r="U908" t="s">
        <v>17428</v>
      </c>
      <c r="V908" t="s">
        <v>17429</v>
      </c>
      <c r="W908" t="s">
        <v>17430</v>
      </c>
      <c r="X908" t="s">
        <v>6557</v>
      </c>
      <c r="Y908" t="s">
        <v>17431</v>
      </c>
      <c r="Z908" t="s">
        <v>17432</v>
      </c>
      <c r="AA908" t="s">
        <v>74</v>
      </c>
      <c r="AB908" t="s">
        <v>6833</v>
      </c>
      <c r="AC908" t="s">
        <v>17433</v>
      </c>
      <c r="AD908" t="s">
        <v>17434</v>
      </c>
      <c r="AE908" t="s">
        <v>17435</v>
      </c>
      <c r="AF908" t="s">
        <v>74</v>
      </c>
      <c r="AG908">
        <v>65</v>
      </c>
      <c r="AH908">
        <v>18</v>
      </c>
      <c r="AI908">
        <v>22</v>
      </c>
      <c r="AJ908">
        <v>3</v>
      </c>
      <c r="AK908">
        <v>48</v>
      </c>
      <c r="AL908" t="s">
        <v>3670</v>
      </c>
      <c r="AM908" t="s">
        <v>3671</v>
      </c>
      <c r="AN908" t="s">
        <v>3672</v>
      </c>
      <c r="AO908" t="s">
        <v>6837</v>
      </c>
      <c r="AP908" t="s">
        <v>6838</v>
      </c>
      <c r="AQ908" t="s">
        <v>74</v>
      </c>
      <c r="AR908" t="s">
        <v>6839</v>
      </c>
      <c r="AS908" t="s">
        <v>6840</v>
      </c>
      <c r="AT908" t="s">
        <v>14661</v>
      </c>
      <c r="AU908">
        <v>2018</v>
      </c>
      <c r="AV908">
        <v>87</v>
      </c>
      <c r="AW908">
        <v>6</v>
      </c>
      <c r="AX908" t="s">
        <v>74</v>
      </c>
      <c r="AY908" t="s">
        <v>74</v>
      </c>
      <c r="AZ908" t="s">
        <v>74</v>
      </c>
      <c r="BA908" t="s">
        <v>74</v>
      </c>
      <c r="BB908">
        <v>1573</v>
      </c>
      <c r="BC908">
        <v>1586</v>
      </c>
      <c r="BD908" t="s">
        <v>74</v>
      </c>
      <c r="BE908" t="s">
        <v>17436</v>
      </c>
      <c r="BF908" t="str">
        <f>HYPERLINK("http://dx.doi.org/10.1111/1365-2656.12890","http://dx.doi.org/10.1111/1365-2656.12890")</f>
        <v>http://dx.doi.org/10.1111/1365-2656.12890</v>
      </c>
      <c r="BG908" t="s">
        <v>74</v>
      </c>
      <c r="BH908" t="s">
        <v>74</v>
      </c>
      <c r="BI908">
        <v>14</v>
      </c>
      <c r="BJ908" t="s">
        <v>6842</v>
      </c>
      <c r="BK908" t="s">
        <v>101</v>
      </c>
      <c r="BL908" t="s">
        <v>6843</v>
      </c>
      <c r="BM908" t="s">
        <v>17437</v>
      </c>
      <c r="BN908">
        <v>30155905</v>
      </c>
      <c r="BO908" t="s">
        <v>2948</v>
      </c>
      <c r="BP908" t="s">
        <v>74</v>
      </c>
      <c r="BQ908" t="s">
        <v>74</v>
      </c>
      <c r="BR908" t="s">
        <v>104</v>
      </c>
      <c r="BS908" t="s">
        <v>17438</v>
      </c>
      <c r="BT908" t="str">
        <f>HYPERLINK("https%3A%2F%2Fwww.webofscience.com%2Fwos%2Fwoscc%2Ffull-record%2FWOS:000446663700008","View Full Record in Web of Science")</f>
        <v>View Full Record in Web of Science</v>
      </c>
    </row>
    <row r="909" spans="1:72" x14ac:dyDescent="0.15">
      <c r="A909" t="s">
        <v>72</v>
      </c>
      <c r="B909" t="s">
        <v>17439</v>
      </c>
      <c r="C909" t="s">
        <v>74</v>
      </c>
      <c r="D909" t="s">
        <v>74</v>
      </c>
      <c r="E909" t="s">
        <v>74</v>
      </c>
      <c r="F909" t="s">
        <v>17440</v>
      </c>
      <c r="G909" t="s">
        <v>74</v>
      </c>
      <c r="H909" t="s">
        <v>74</v>
      </c>
      <c r="I909" t="s">
        <v>17441</v>
      </c>
      <c r="J909" t="s">
        <v>11334</v>
      </c>
      <c r="K909" t="s">
        <v>74</v>
      </c>
      <c r="L909" t="s">
        <v>74</v>
      </c>
      <c r="M909" t="s">
        <v>78</v>
      </c>
      <c r="N909" t="s">
        <v>79</v>
      </c>
      <c r="O909" t="s">
        <v>74</v>
      </c>
      <c r="P909" t="s">
        <v>74</v>
      </c>
      <c r="Q909" t="s">
        <v>74</v>
      </c>
      <c r="R909" t="s">
        <v>74</v>
      </c>
      <c r="S909" t="s">
        <v>74</v>
      </c>
      <c r="T909" t="s">
        <v>17442</v>
      </c>
      <c r="U909" t="s">
        <v>17443</v>
      </c>
      <c r="V909" t="s">
        <v>17444</v>
      </c>
      <c r="W909" t="s">
        <v>17445</v>
      </c>
      <c r="X909" t="s">
        <v>17446</v>
      </c>
      <c r="Y909" t="s">
        <v>17447</v>
      </c>
      <c r="Z909" t="s">
        <v>17448</v>
      </c>
      <c r="AA909" t="s">
        <v>17449</v>
      </c>
      <c r="AB909" t="s">
        <v>17450</v>
      </c>
      <c r="AC909" t="s">
        <v>17451</v>
      </c>
      <c r="AD909" t="s">
        <v>17452</v>
      </c>
      <c r="AE909" t="s">
        <v>17453</v>
      </c>
      <c r="AF909" t="s">
        <v>74</v>
      </c>
      <c r="AG909">
        <v>24</v>
      </c>
      <c r="AH909">
        <v>7</v>
      </c>
      <c r="AI909">
        <v>10</v>
      </c>
      <c r="AJ909">
        <v>4</v>
      </c>
      <c r="AK909">
        <v>32</v>
      </c>
      <c r="AL909" t="s">
        <v>11347</v>
      </c>
      <c r="AM909" t="s">
        <v>11348</v>
      </c>
      <c r="AN909" t="s">
        <v>11349</v>
      </c>
      <c r="AO909" t="s">
        <v>11350</v>
      </c>
      <c r="AP909" t="s">
        <v>11351</v>
      </c>
      <c r="AQ909" t="s">
        <v>74</v>
      </c>
      <c r="AR909" t="s">
        <v>11352</v>
      </c>
      <c r="AS909" t="s">
        <v>11353</v>
      </c>
      <c r="AT909" t="s">
        <v>14661</v>
      </c>
      <c r="AU909">
        <v>2018</v>
      </c>
      <c r="AV909">
        <v>55</v>
      </c>
      <c r="AW909">
        <v>11</v>
      </c>
      <c r="AX909" t="s">
        <v>74</v>
      </c>
      <c r="AY909" t="s">
        <v>74</v>
      </c>
      <c r="AZ909" t="s">
        <v>74</v>
      </c>
      <c r="BA909" t="s">
        <v>74</v>
      </c>
      <c r="BB909">
        <v>4450</v>
      </c>
      <c r="BC909">
        <v>4457</v>
      </c>
      <c r="BD909" t="s">
        <v>74</v>
      </c>
      <c r="BE909" t="s">
        <v>17454</v>
      </c>
      <c r="BF909" t="str">
        <f>HYPERLINK("http://dx.doi.org/10.1007/s13197-018-3368-7","http://dx.doi.org/10.1007/s13197-018-3368-7")</f>
        <v>http://dx.doi.org/10.1007/s13197-018-3368-7</v>
      </c>
      <c r="BG909" t="s">
        <v>74</v>
      </c>
      <c r="BH909" t="s">
        <v>74</v>
      </c>
      <c r="BI909">
        <v>8</v>
      </c>
      <c r="BJ909" t="s">
        <v>5499</v>
      </c>
      <c r="BK909" t="s">
        <v>101</v>
      </c>
      <c r="BL909" t="s">
        <v>5499</v>
      </c>
      <c r="BM909" t="s">
        <v>17455</v>
      </c>
      <c r="BN909">
        <v>30333641</v>
      </c>
      <c r="BO909" t="s">
        <v>4470</v>
      </c>
      <c r="BP909" t="s">
        <v>74</v>
      </c>
      <c r="BQ909" t="s">
        <v>74</v>
      </c>
      <c r="BR909" t="s">
        <v>104</v>
      </c>
      <c r="BS909" t="s">
        <v>17456</v>
      </c>
      <c r="BT909" t="str">
        <f>HYPERLINK("https%3A%2F%2Fwww.webofscience.com%2Fwos%2Fwoscc%2Ffull-record%2FWOS:000446480300009","View Full Record in Web of Science")</f>
        <v>View Full Record in Web of Science</v>
      </c>
    </row>
    <row r="910" spans="1:72" x14ac:dyDescent="0.15">
      <c r="A910" t="s">
        <v>72</v>
      </c>
      <c r="B910" t="s">
        <v>17457</v>
      </c>
      <c r="C910" t="s">
        <v>74</v>
      </c>
      <c r="D910" t="s">
        <v>74</v>
      </c>
      <c r="E910" t="s">
        <v>74</v>
      </c>
      <c r="F910" t="s">
        <v>17458</v>
      </c>
      <c r="G910" t="s">
        <v>74</v>
      </c>
      <c r="H910" t="s">
        <v>74</v>
      </c>
      <c r="I910" t="s">
        <v>17459</v>
      </c>
      <c r="J910" t="s">
        <v>15717</v>
      </c>
      <c r="K910" t="s">
        <v>74</v>
      </c>
      <c r="L910" t="s">
        <v>74</v>
      </c>
      <c r="M910" t="s">
        <v>78</v>
      </c>
      <c r="N910" t="s">
        <v>79</v>
      </c>
      <c r="O910" t="s">
        <v>74</v>
      </c>
      <c r="P910" t="s">
        <v>74</v>
      </c>
      <c r="Q910" t="s">
        <v>74</v>
      </c>
      <c r="R910" t="s">
        <v>74</v>
      </c>
      <c r="S910" t="s">
        <v>74</v>
      </c>
      <c r="T910" t="s">
        <v>17460</v>
      </c>
      <c r="U910" t="s">
        <v>17461</v>
      </c>
      <c r="V910" t="s">
        <v>17462</v>
      </c>
      <c r="W910" t="s">
        <v>17463</v>
      </c>
      <c r="X910" t="s">
        <v>17464</v>
      </c>
      <c r="Y910" t="s">
        <v>17465</v>
      </c>
      <c r="Z910" t="s">
        <v>17466</v>
      </c>
      <c r="AA910" t="s">
        <v>17467</v>
      </c>
      <c r="AB910" t="s">
        <v>17468</v>
      </c>
      <c r="AC910" t="s">
        <v>17469</v>
      </c>
      <c r="AD910" t="s">
        <v>17470</v>
      </c>
      <c r="AE910" t="s">
        <v>17471</v>
      </c>
      <c r="AF910" t="s">
        <v>74</v>
      </c>
      <c r="AG910">
        <v>52</v>
      </c>
      <c r="AH910">
        <v>27</v>
      </c>
      <c r="AI910">
        <v>31</v>
      </c>
      <c r="AJ910">
        <v>0</v>
      </c>
      <c r="AK910">
        <v>7</v>
      </c>
      <c r="AL910" t="s">
        <v>1079</v>
      </c>
      <c r="AM910" t="s">
        <v>1080</v>
      </c>
      <c r="AN910" t="s">
        <v>1081</v>
      </c>
      <c r="AO910" t="s">
        <v>15729</v>
      </c>
      <c r="AP910" t="s">
        <v>15730</v>
      </c>
      <c r="AQ910" t="s">
        <v>74</v>
      </c>
      <c r="AR910" t="s">
        <v>15731</v>
      </c>
      <c r="AS910" t="s">
        <v>15732</v>
      </c>
      <c r="AT910" t="s">
        <v>14661</v>
      </c>
      <c r="AU910">
        <v>2018</v>
      </c>
      <c r="AV910">
        <v>92</v>
      </c>
      <c r="AW910">
        <v>11</v>
      </c>
      <c r="AX910" t="s">
        <v>74</v>
      </c>
      <c r="AY910" t="s">
        <v>74</v>
      </c>
      <c r="AZ910" t="s">
        <v>74</v>
      </c>
      <c r="BA910" t="s">
        <v>74</v>
      </c>
      <c r="BB910">
        <v>1313</v>
      </c>
      <c r="BC910">
        <v>1328</v>
      </c>
      <c r="BD910" t="s">
        <v>74</v>
      </c>
      <c r="BE910" t="s">
        <v>17472</v>
      </c>
      <c r="BF910" t="str">
        <f>HYPERLINK("http://dx.doi.org/10.1007/s00190-018-1123-5","http://dx.doi.org/10.1007/s00190-018-1123-5")</f>
        <v>http://dx.doi.org/10.1007/s00190-018-1123-5</v>
      </c>
      <c r="BG910" t="s">
        <v>74</v>
      </c>
      <c r="BH910" t="s">
        <v>74</v>
      </c>
      <c r="BI910">
        <v>16</v>
      </c>
      <c r="BJ910" t="s">
        <v>15734</v>
      </c>
      <c r="BK910" t="s">
        <v>101</v>
      </c>
      <c r="BL910" t="s">
        <v>15734</v>
      </c>
      <c r="BM910" t="s">
        <v>15735</v>
      </c>
      <c r="BN910" t="s">
        <v>74</v>
      </c>
      <c r="BO910" t="s">
        <v>4426</v>
      </c>
      <c r="BP910" t="s">
        <v>74</v>
      </c>
      <c r="BQ910" t="s">
        <v>74</v>
      </c>
      <c r="BR910" t="s">
        <v>104</v>
      </c>
      <c r="BS910" t="s">
        <v>17473</v>
      </c>
      <c r="BT910" t="str">
        <f>HYPERLINK("https%3A%2F%2Fwww.webofscience.com%2Fwos%2Fwoscc%2Ffull-record%2FWOS:000446517400006","View Full Record in Web of Science")</f>
        <v>View Full Record in Web of Science</v>
      </c>
    </row>
    <row r="911" spans="1:72" x14ac:dyDescent="0.15">
      <c r="A911" t="s">
        <v>72</v>
      </c>
      <c r="B911" t="s">
        <v>17474</v>
      </c>
      <c r="C911" t="s">
        <v>74</v>
      </c>
      <c r="D911" t="s">
        <v>74</v>
      </c>
      <c r="E911" t="s">
        <v>74</v>
      </c>
      <c r="F911" t="s">
        <v>17475</v>
      </c>
      <c r="G911" t="s">
        <v>74</v>
      </c>
      <c r="H911" t="s">
        <v>74</v>
      </c>
      <c r="I911" t="s">
        <v>17476</v>
      </c>
      <c r="J911" t="s">
        <v>17477</v>
      </c>
      <c r="K911" t="s">
        <v>74</v>
      </c>
      <c r="L911" t="s">
        <v>74</v>
      </c>
      <c r="M911" t="s">
        <v>78</v>
      </c>
      <c r="N911" t="s">
        <v>79</v>
      </c>
      <c r="O911" t="s">
        <v>74</v>
      </c>
      <c r="P911" t="s">
        <v>74</v>
      </c>
      <c r="Q911" t="s">
        <v>74</v>
      </c>
      <c r="R911" t="s">
        <v>74</v>
      </c>
      <c r="S911" t="s">
        <v>74</v>
      </c>
      <c r="T911" t="s">
        <v>17478</v>
      </c>
      <c r="U911" t="s">
        <v>17479</v>
      </c>
      <c r="V911" t="s">
        <v>17480</v>
      </c>
      <c r="W911" t="s">
        <v>17481</v>
      </c>
      <c r="X911" t="s">
        <v>4947</v>
      </c>
      <c r="Y911" t="s">
        <v>17482</v>
      </c>
      <c r="Z911" t="s">
        <v>17483</v>
      </c>
      <c r="AA911" t="s">
        <v>17484</v>
      </c>
      <c r="AB911" t="s">
        <v>17485</v>
      </c>
      <c r="AC911" t="s">
        <v>17486</v>
      </c>
      <c r="AD911" t="s">
        <v>17487</v>
      </c>
      <c r="AE911" t="s">
        <v>17488</v>
      </c>
      <c r="AF911" t="s">
        <v>74</v>
      </c>
      <c r="AG911">
        <v>35</v>
      </c>
      <c r="AH911">
        <v>14</v>
      </c>
      <c r="AI911">
        <v>14</v>
      </c>
      <c r="AJ911">
        <v>0</v>
      </c>
      <c r="AK911">
        <v>18</v>
      </c>
      <c r="AL911" t="s">
        <v>6139</v>
      </c>
      <c r="AM911" t="s">
        <v>3353</v>
      </c>
      <c r="AN911" t="s">
        <v>6140</v>
      </c>
      <c r="AO911" t="s">
        <v>17489</v>
      </c>
      <c r="AP911" t="s">
        <v>17490</v>
      </c>
      <c r="AQ911" t="s">
        <v>74</v>
      </c>
      <c r="AR911" t="s">
        <v>17491</v>
      </c>
      <c r="AS911" t="s">
        <v>17492</v>
      </c>
      <c r="AT911" t="s">
        <v>14661</v>
      </c>
      <c r="AU911">
        <v>2018</v>
      </c>
      <c r="AV911">
        <v>131</v>
      </c>
      <c r="AW911" t="s">
        <v>74</v>
      </c>
      <c r="AX911" t="s">
        <v>74</v>
      </c>
      <c r="AY911" t="s">
        <v>74</v>
      </c>
      <c r="AZ911" t="s">
        <v>74</v>
      </c>
      <c r="BA911" t="s">
        <v>74</v>
      </c>
      <c r="BB911">
        <v>71</v>
      </c>
      <c r="BC911">
        <v>85</v>
      </c>
      <c r="BD911" t="s">
        <v>74</v>
      </c>
      <c r="BE911" t="s">
        <v>17493</v>
      </c>
      <c r="BF911" t="str">
        <f>HYPERLINK("http://dx.doi.org/10.1016/j.ocemod.2018.09.003","http://dx.doi.org/10.1016/j.ocemod.2018.09.003")</f>
        <v>http://dx.doi.org/10.1016/j.ocemod.2018.09.003</v>
      </c>
      <c r="BG911" t="s">
        <v>74</v>
      </c>
      <c r="BH911" t="s">
        <v>74</v>
      </c>
      <c r="BI911">
        <v>15</v>
      </c>
      <c r="BJ911" t="s">
        <v>9372</v>
      </c>
      <c r="BK911" t="s">
        <v>101</v>
      </c>
      <c r="BL911" t="s">
        <v>9372</v>
      </c>
      <c r="BM911" t="s">
        <v>17494</v>
      </c>
      <c r="BN911" t="s">
        <v>74</v>
      </c>
      <c r="BO911" t="s">
        <v>74</v>
      </c>
      <c r="BP911" t="s">
        <v>74</v>
      </c>
      <c r="BQ911" t="s">
        <v>74</v>
      </c>
      <c r="BR911" t="s">
        <v>104</v>
      </c>
      <c r="BS911" t="s">
        <v>17495</v>
      </c>
      <c r="BT911" t="str">
        <f>HYPERLINK("https%3A%2F%2Fwww.webofscience.com%2Fwos%2Fwoscc%2Ffull-record%2FWOS:000447005600006","View Full Record in Web of Science")</f>
        <v>View Full Record in Web of Science</v>
      </c>
    </row>
    <row r="912" spans="1:72" x14ac:dyDescent="0.15">
      <c r="A912" t="s">
        <v>72</v>
      </c>
      <c r="B912" t="s">
        <v>17496</v>
      </c>
      <c r="C912" t="s">
        <v>74</v>
      </c>
      <c r="D912" t="s">
        <v>74</v>
      </c>
      <c r="E912" t="s">
        <v>74</v>
      </c>
      <c r="F912" t="s">
        <v>17497</v>
      </c>
      <c r="G912" t="s">
        <v>74</v>
      </c>
      <c r="H912" t="s">
        <v>74</v>
      </c>
      <c r="I912" t="s">
        <v>17498</v>
      </c>
      <c r="J912" t="s">
        <v>7370</v>
      </c>
      <c r="K912" t="s">
        <v>74</v>
      </c>
      <c r="L912" t="s">
        <v>74</v>
      </c>
      <c r="M912" t="s">
        <v>78</v>
      </c>
      <c r="N912" t="s">
        <v>79</v>
      </c>
      <c r="O912" t="s">
        <v>74</v>
      </c>
      <c r="P912" t="s">
        <v>74</v>
      </c>
      <c r="Q912" t="s">
        <v>74</v>
      </c>
      <c r="R912" t="s">
        <v>74</v>
      </c>
      <c r="S912" t="s">
        <v>74</v>
      </c>
      <c r="T912" t="s">
        <v>17499</v>
      </c>
      <c r="U912" t="s">
        <v>17500</v>
      </c>
      <c r="V912" t="s">
        <v>17501</v>
      </c>
      <c r="W912" t="s">
        <v>17502</v>
      </c>
      <c r="X912" t="s">
        <v>17503</v>
      </c>
      <c r="Y912" t="s">
        <v>17504</v>
      </c>
      <c r="Z912" t="s">
        <v>17505</v>
      </c>
      <c r="AA912" t="s">
        <v>17506</v>
      </c>
      <c r="AB912" t="s">
        <v>17507</v>
      </c>
      <c r="AC912" t="s">
        <v>17508</v>
      </c>
      <c r="AD912" t="s">
        <v>17509</v>
      </c>
      <c r="AE912" t="s">
        <v>17510</v>
      </c>
      <c r="AF912" t="s">
        <v>74</v>
      </c>
      <c r="AG912">
        <v>25</v>
      </c>
      <c r="AH912">
        <v>1</v>
      </c>
      <c r="AI912">
        <v>1</v>
      </c>
      <c r="AJ912">
        <v>1</v>
      </c>
      <c r="AK912">
        <v>14</v>
      </c>
      <c r="AL912" t="s">
        <v>3352</v>
      </c>
      <c r="AM912" t="s">
        <v>3353</v>
      </c>
      <c r="AN912" t="s">
        <v>3354</v>
      </c>
      <c r="AO912" t="s">
        <v>7383</v>
      </c>
      <c r="AP912" t="s">
        <v>7384</v>
      </c>
      <c r="AQ912" t="s">
        <v>74</v>
      </c>
      <c r="AR912" t="s">
        <v>7370</v>
      </c>
      <c r="AS912" t="s">
        <v>7385</v>
      </c>
      <c r="AT912" t="s">
        <v>14661</v>
      </c>
      <c r="AU912">
        <v>2018</v>
      </c>
      <c r="AV912">
        <v>211</v>
      </c>
      <c r="AW912" t="s">
        <v>74</v>
      </c>
      <c r="AX912" t="s">
        <v>74</v>
      </c>
      <c r="AY912" t="s">
        <v>74</v>
      </c>
      <c r="AZ912" t="s">
        <v>74</v>
      </c>
      <c r="BA912" t="s">
        <v>74</v>
      </c>
      <c r="BB912">
        <v>510</v>
      </c>
      <c r="BC912">
        <v>514</v>
      </c>
      <c r="BD912" t="s">
        <v>74</v>
      </c>
      <c r="BE912" t="s">
        <v>17511</v>
      </c>
      <c r="BF912" t="str">
        <f>HYPERLINK("http://dx.doi.org/10.1016/j.chemosphere.2018.07.195","http://dx.doi.org/10.1016/j.chemosphere.2018.07.195")</f>
        <v>http://dx.doi.org/10.1016/j.chemosphere.2018.07.195</v>
      </c>
      <c r="BG912" t="s">
        <v>74</v>
      </c>
      <c r="BH912" t="s">
        <v>74</v>
      </c>
      <c r="BI912">
        <v>5</v>
      </c>
      <c r="BJ912" t="s">
        <v>798</v>
      </c>
      <c r="BK912" t="s">
        <v>101</v>
      </c>
      <c r="BL912" t="s">
        <v>799</v>
      </c>
      <c r="BM912" t="s">
        <v>17512</v>
      </c>
      <c r="BN912">
        <v>30086527</v>
      </c>
      <c r="BO912" t="s">
        <v>74</v>
      </c>
      <c r="BP912" t="s">
        <v>74</v>
      </c>
      <c r="BQ912" t="s">
        <v>74</v>
      </c>
      <c r="BR912" t="s">
        <v>104</v>
      </c>
      <c r="BS912" t="s">
        <v>17513</v>
      </c>
      <c r="BT912" t="str">
        <f>HYPERLINK("https%3A%2F%2Fwww.webofscience.com%2Fwos%2Fwoscc%2Ffull-record%2FWOS:000446149600054","View Full Record in Web of Science")</f>
        <v>View Full Record in Web of Science</v>
      </c>
    </row>
    <row r="913" spans="1:72" x14ac:dyDescent="0.15">
      <c r="A913" t="s">
        <v>72</v>
      </c>
      <c r="B913" t="s">
        <v>17514</v>
      </c>
      <c r="C913" t="s">
        <v>74</v>
      </c>
      <c r="D913" t="s">
        <v>74</v>
      </c>
      <c r="E913" t="s">
        <v>74</v>
      </c>
      <c r="F913" t="s">
        <v>17515</v>
      </c>
      <c r="G913" t="s">
        <v>74</v>
      </c>
      <c r="H913" t="s">
        <v>74</v>
      </c>
      <c r="I913" t="s">
        <v>17516</v>
      </c>
      <c r="J913" t="s">
        <v>1067</v>
      </c>
      <c r="K913" t="s">
        <v>74</v>
      </c>
      <c r="L913" t="s">
        <v>74</v>
      </c>
      <c r="M913" t="s">
        <v>78</v>
      </c>
      <c r="N913" t="s">
        <v>79</v>
      </c>
      <c r="O913" t="s">
        <v>74</v>
      </c>
      <c r="P913" t="s">
        <v>74</v>
      </c>
      <c r="Q913" t="s">
        <v>74</v>
      </c>
      <c r="R913" t="s">
        <v>74</v>
      </c>
      <c r="S913" t="s">
        <v>74</v>
      </c>
      <c r="T913" t="s">
        <v>17517</v>
      </c>
      <c r="U913" t="s">
        <v>17518</v>
      </c>
      <c r="V913" t="s">
        <v>17519</v>
      </c>
      <c r="W913" t="s">
        <v>17520</v>
      </c>
      <c r="X913" t="s">
        <v>17521</v>
      </c>
      <c r="Y913" t="s">
        <v>17522</v>
      </c>
      <c r="Z913" t="s">
        <v>17523</v>
      </c>
      <c r="AA913" t="s">
        <v>11769</v>
      </c>
      <c r="AB913" t="s">
        <v>17524</v>
      </c>
      <c r="AC913" t="s">
        <v>17525</v>
      </c>
      <c r="AD913" t="s">
        <v>17526</v>
      </c>
      <c r="AE913" t="s">
        <v>17527</v>
      </c>
      <c r="AF913" t="s">
        <v>74</v>
      </c>
      <c r="AG913">
        <v>80</v>
      </c>
      <c r="AH913">
        <v>16</v>
      </c>
      <c r="AI913">
        <v>17</v>
      </c>
      <c r="AJ913">
        <v>2</v>
      </c>
      <c r="AK913">
        <v>15</v>
      </c>
      <c r="AL913" t="s">
        <v>1079</v>
      </c>
      <c r="AM913" t="s">
        <v>1080</v>
      </c>
      <c r="AN913" t="s">
        <v>1106</v>
      </c>
      <c r="AO913" t="s">
        <v>1082</v>
      </c>
      <c r="AP913" t="s">
        <v>1083</v>
      </c>
      <c r="AQ913" t="s">
        <v>74</v>
      </c>
      <c r="AR913" t="s">
        <v>1084</v>
      </c>
      <c r="AS913" t="s">
        <v>1085</v>
      </c>
      <c r="AT913" t="s">
        <v>14661</v>
      </c>
      <c r="AU913">
        <v>2018</v>
      </c>
      <c r="AV913">
        <v>41</v>
      </c>
      <c r="AW913">
        <v>11</v>
      </c>
      <c r="AX913" t="s">
        <v>74</v>
      </c>
      <c r="AY913" t="s">
        <v>74</v>
      </c>
      <c r="AZ913" t="s">
        <v>74</v>
      </c>
      <c r="BA913" t="s">
        <v>74</v>
      </c>
      <c r="BB913">
        <v>2167</v>
      </c>
      <c r="BC913">
        <v>2179</v>
      </c>
      <c r="BD913" t="s">
        <v>74</v>
      </c>
      <c r="BE913" t="s">
        <v>17528</v>
      </c>
      <c r="BF913" t="str">
        <f>HYPERLINK("http://dx.doi.org/10.1007/s00300-018-2352-z","http://dx.doi.org/10.1007/s00300-018-2352-z")</f>
        <v>http://dx.doi.org/10.1007/s00300-018-2352-z</v>
      </c>
      <c r="BG913" t="s">
        <v>74</v>
      </c>
      <c r="BH913" t="s">
        <v>74</v>
      </c>
      <c r="BI913">
        <v>13</v>
      </c>
      <c r="BJ913" t="s">
        <v>1087</v>
      </c>
      <c r="BK913" t="s">
        <v>101</v>
      </c>
      <c r="BL913" t="s">
        <v>102</v>
      </c>
      <c r="BM913" t="s">
        <v>16241</v>
      </c>
      <c r="BN913" t="s">
        <v>74</v>
      </c>
      <c r="BO913" t="s">
        <v>74</v>
      </c>
      <c r="BP913" t="s">
        <v>74</v>
      </c>
      <c r="BQ913" t="s">
        <v>74</v>
      </c>
      <c r="BR913" t="s">
        <v>104</v>
      </c>
      <c r="BS913" t="s">
        <v>17529</v>
      </c>
      <c r="BT913" t="str">
        <f>HYPERLINK("https%3A%2F%2Fwww.webofscience.com%2Fwos%2Fwoscc%2Ffull-record%2FWOS:000446075800001","View Full Record in Web of Science")</f>
        <v>View Full Record in Web of Science</v>
      </c>
    </row>
    <row r="914" spans="1:72" x14ac:dyDescent="0.15">
      <c r="A914" t="s">
        <v>72</v>
      </c>
      <c r="B914" t="s">
        <v>17530</v>
      </c>
      <c r="C914" t="s">
        <v>74</v>
      </c>
      <c r="D914" t="s">
        <v>74</v>
      </c>
      <c r="E914" t="s">
        <v>74</v>
      </c>
      <c r="F914" t="s">
        <v>17531</v>
      </c>
      <c r="G914" t="s">
        <v>74</v>
      </c>
      <c r="H914" t="s">
        <v>74</v>
      </c>
      <c r="I914" t="s">
        <v>17532</v>
      </c>
      <c r="J914" t="s">
        <v>1067</v>
      </c>
      <c r="K914" t="s">
        <v>74</v>
      </c>
      <c r="L914" t="s">
        <v>74</v>
      </c>
      <c r="M914" t="s">
        <v>78</v>
      </c>
      <c r="N914" t="s">
        <v>79</v>
      </c>
      <c r="O914" t="s">
        <v>74</v>
      </c>
      <c r="P914" t="s">
        <v>74</v>
      </c>
      <c r="Q914" t="s">
        <v>74</v>
      </c>
      <c r="R914" t="s">
        <v>74</v>
      </c>
      <c r="S914" t="s">
        <v>74</v>
      </c>
      <c r="T914" t="s">
        <v>17533</v>
      </c>
      <c r="U914" t="s">
        <v>17534</v>
      </c>
      <c r="V914" t="s">
        <v>17535</v>
      </c>
      <c r="W914" t="s">
        <v>17536</v>
      </c>
      <c r="X914" t="s">
        <v>17537</v>
      </c>
      <c r="Y914" t="s">
        <v>17538</v>
      </c>
      <c r="Z914" t="s">
        <v>17539</v>
      </c>
      <c r="AA914" t="s">
        <v>74</v>
      </c>
      <c r="AB914" t="s">
        <v>17540</v>
      </c>
      <c r="AC914" t="s">
        <v>17541</v>
      </c>
      <c r="AD914" t="s">
        <v>17542</v>
      </c>
      <c r="AE914" t="s">
        <v>17543</v>
      </c>
      <c r="AF914" t="s">
        <v>74</v>
      </c>
      <c r="AG914">
        <v>41</v>
      </c>
      <c r="AH914">
        <v>8</v>
      </c>
      <c r="AI914">
        <v>9</v>
      </c>
      <c r="AJ914">
        <v>0</v>
      </c>
      <c r="AK914">
        <v>11</v>
      </c>
      <c r="AL914" t="s">
        <v>1079</v>
      </c>
      <c r="AM914" t="s">
        <v>1080</v>
      </c>
      <c r="AN914" t="s">
        <v>1106</v>
      </c>
      <c r="AO914" t="s">
        <v>1082</v>
      </c>
      <c r="AP914" t="s">
        <v>1083</v>
      </c>
      <c r="AQ914" t="s">
        <v>74</v>
      </c>
      <c r="AR914" t="s">
        <v>1084</v>
      </c>
      <c r="AS914" t="s">
        <v>1085</v>
      </c>
      <c r="AT914" t="s">
        <v>14661</v>
      </c>
      <c r="AU914">
        <v>2018</v>
      </c>
      <c r="AV914">
        <v>41</v>
      </c>
      <c r="AW914">
        <v>11</v>
      </c>
      <c r="AX914" t="s">
        <v>74</v>
      </c>
      <c r="AY914" t="s">
        <v>74</v>
      </c>
      <c r="AZ914" t="s">
        <v>74</v>
      </c>
      <c r="BA914" t="s">
        <v>74</v>
      </c>
      <c r="BB914">
        <v>2239</v>
      </c>
      <c r="BC914">
        <v>2248</v>
      </c>
      <c r="BD914" t="s">
        <v>74</v>
      </c>
      <c r="BE914" t="s">
        <v>17544</v>
      </c>
      <c r="BF914" t="str">
        <f>HYPERLINK("http://dx.doi.org/10.1007/s00300-018-2359-5","http://dx.doi.org/10.1007/s00300-018-2359-5")</f>
        <v>http://dx.doi.org/10.1007/s00300-018-2359-5</v>
      </c>
      <c r="BG914" t="s">
        <v>74</v>
      </c>
      <c r="BH914" t="s">
        <v>74</v>
      </c>
      <c r="BI914">
        <v>10</v>
      </c>
      <c r="BJ914" t="s">
        <v>1087</v>
      </c>
      <c r="BK914" t="s">
        <v>101</v>
      </c>
      <c r="BL914" t="s">
        <v>102</v>
      </c>
      <c r="BM914" t="s">
        <v>16241</v>
      </c>
      <c r="BN914" t="s">
        <v>74</v>
      </c>
      <c r="BO914" t="s">
        <v>74</v>
      </c>
      <c r="BP914" t="s">
        <v>74</v>
      </c>
      <c r="BQ914" t="s">
        <v>74</v>
      </c>
      <c r="BR914" t="s">
        <v>104</v>
      </c>
      <c r="BS914" t="s">
        <v>17545</v>
      </c>
      <c r="BT914" t="str">
        <f>HYPERLINK("https%3A%2F%2Fwww.webofscience.com%2Fwos%2Fwoscc%2Ffull-record%2FWOS:000446075800007","View Full Record in Web of Science")</f>
        <v>View Full Record in Web of Science</v>
      </c>
    </row>
    <row r="915" spans="1:72" x14ac:dyDescent="0.15">
      <c r="A915" t="s">
        <v>72</v>
      </c>
      <c r="B915" t="s">
        <v>17546</v>
      </c>
      <c r="C915" t="s">
        <v>74</v>
      </c>
      <c r="D915" t="s">
        <v>74</v>
      </c>
      <c r="E915" t="s">
        <v>74</v>
      </c>
      <c r="F915" t="s">
        <v>17547</v>
      </c>
      <c r="G915" t="s">
        <v>74</v>
      </c>
      <c r="H915" t="s">
        <v>74</v>
      </c>
      <c r="I915" t="s">
        <v>17548</v>
      </c>
      <c r="J915" t="s">
        <v>1067</v>
      </c>
      <c r="K915" t="s">
        <v>74</v>
      </c>
      <c r="L915" t="s">
        <v>74</v>
      </c>
      <c r="M915" t="s">
        <v>78</v>
      </c>
      <c r="N915" t="s">
        <v>79</v>
      </c>
      <c r="O915" t="s">
        <v>74</v>
      </c>
      <c r="P915" t="s">
        <v>74</v>
      </c>
      <c r="Q915" t="s">
        <v>74</v>
      </c>
      <c r="R915" t="s">
        <v>74</v>
      </c>
      <c r="S915" t="s">
        <v>74</v>
      </c>
      <c r="T915" t="s">
        <v>17549</v>
      </c>
      <c r="U915" t="s">
        <v>17550</v>
      </c>
      <c r="V915" t="s">
        <v>17551</v>
      </c>
      <c r="W915" t="s">
        <v>17552</v>
      </c>
      <c r="X915" t="s">
        <v>6557</v>
      </c>
      <c r="Y915" t="s">
        <v>17553</v>
      </c>
      <c r="Z915" t="s">
        <v>17554</v>
      </c>
      <c r="AA915" t="s">
        <v>74</v>
      </c>
      <c r="AB915" t="s">
        <v>17555</v>
      </c>
      <c r="AC915" t="s">
        <v>6341</v>
      </c>
      <c r="AD915" t="s">
        <v>2819</v>
      </c>
      <c r="AE915" t="s">
        <v>74</v>
      </c>
      <c r="AF915" t="s">
        <v>74</v>
      </c>
      <c r="AG915">
        <v>80</v>
      </c>
      <c r="AH915">
        <v>5</v>
      </c>
      <c r="AI915">
        <v>6</v>
      </c>
      <c r="AJ915">
        <v>1</v>
      </c>
      <c r="AK915">
        <v>26</v>
      </c>
      <c r="AL915" t="s">
        <v>1079</v>
      </c>
      <c r="AM915" t="s">
        <v>1080</v>
      </c>
      <c r="AN915" t="s">
        <v>1106</v>
      </c>
      <c r="AO915" t="s">
        <v>1082</v>
      </c>
      <c r="AP915" t="s">
        <v>1083</v>
      </c>
      <c r="AQ915" t="s">
        <v>74</v>
      </c>
      <c r="AR915" t="s">
        <v>1084</v>
      </c>
      <c r="AS915" t="s">
        <v>1085</v>
      </c>
      <c r="AT915" t="s">
        <v>14661</v>
      </c>
      <c r="AU915">
        <v>2018</v>
      </c>
      <c r="AV915">
        <v>41</v>
      </c>
      <c r="AW915">
        <v>11</v>
      </c>
      <c r="AX915" t="s">
        <v>74</v>
      </c>
      <c r="AY915" t="s">
        <v>74</v>
      </c>
      <c r="AZ915" t="s">
        <v>74</v>
      </c>
      <c r="BA915" t="s">
        <v>74</v>
      </c>
      <c r="BB915">
        <v>2297</v>
      </c>
      <c r="BC915">
        <v>2310</v>
      </c>
      <c r="BD915" t="s">
        <v>74</v>
      </c>
      <c r="BE915" t="s">
        <v>17556</v>
      </c>
      <c r="BF915" t="str">
        <f>HYPERLINK("http://dx.doi.org/10.1007/s00300-018-2369-3","http://dx.doi.org/10.1007/s00300-018-2369-3")</f>
        <v>http://dx.doi.org/10.1007/s00300-018-2369-3</v>
      </c>
      <c r="BG915" t="s">
        <v>74</v>
      </c>
      <c r="BH915" t="s">
        <v>74</v>
      </c>
      <c r="BI915">
        <v>14</v>
      </c>
      <c r="BJ915" t="s">
        <v>1087</v>
      </c>
      <c r="BK915" t="s">
        <v>101</v>
      </c>
      <c r="BL915" t="s">
        <v>102</v>
      </c>
      <c r="BM915" t="s">
        <v>16241</v>
      </c>
      <c r="BN915" t="s">
        <v>74</v>
      </c>
      <c r="BO915" t="s">
        <v>2948</v>
      </c>
      <c r="BP915" t="s">
        <v>74</v>
      </c>
      <c r="BQ915" t="s">
        <v>74</v>
      </c>
      <c r="BR915" t="s">
        <v>104</v>
      </c>
      <c r="BS915" t="s">
        <v>17557</v>
      </c>
      <c r="BT915" t="str">
        <f>HYPERLINK("https%3A%2F%2Fwww.webofscience.com%2Fwos%2Fwoscc%2Ffull-record%2FWOS:000446075800012","View Full Record in Web of Science")</f>
        <v>View Full Record in Web of Science</v>
      </c>
    </row>
    <row r="916" spans="1:72" x14ac:dyDescent="0.15">
      <c r="A916" t="s">
        <v>72</v>
      </c>
      <c r="B916" t="s">
        <v>17558</v>
      </c>
      <c r="C916" t="s">
        <v>74</v>
      </c>
      <c r="D916" t="s">
        <v>74</v>
      </c>
      <c r="E916" t="s">
        <v>74</v>
      </c>
      <c r="F916" t="s">
        <v>17559</v>
      </c>
      <c r="G916" t="s">
        <v>74</v>
      </c>
      <c r="H916" t="s">
        <v>74</v>
      </c>
      <c r="I916" t="s">
        <v>17560</v>
      </c>
      <c r="J916" t="s">
        <v>1067</v>
      </c>
      <c r="K916" t="s">
        <v>74</v>
      </c>
      <c r="L916" t="s">
        <v>74</v>
      </c>
      <c r="M916" t="s">
        <v>78</v>
      </c>
      <c r="N916" t="s">
        <v>79</v>
      </c>
      <c r="O916" t="s">
        <v>74</v>
      </c>
      <c r="P916" t="s">
        <v>74</v>
      </c>
      <c r="Q916" t="s">
        <v>74</v>
      </c>
      <c r="R916" t="s">
        <v>74</v>
      </c>
      <c r="S916" t="s">
        <v>74</v>
      </c>
      <c r="T916" t="s">
        <v>17561</v>
      </c>
      <c r="U916" t="s">
        <v>17562</v>
      </c>
      <c r="V916" t="s">
        <v>17563</v>
      </c>
      <c r="W916" t="s">
        <v>17564</v>
      </c>
      <c r="X916" t="s">
        <v>17565</v>
      </c>
      <c r="Y916" t="s">
        <v>17566</v>
      </c>
      <c r="Z916" t="s">
        <v>17567</v>
      </c>
      <c r="AA916" t="s">
        <v>17568</v>
      </c>
      <c r="AB916" t="s">
        <v>17569</v>
      </c>
      <c r="AC916" t="s">
        <v>17570</v>
      </c>
      <c r="AD916" t="s">
        <v>17571</v>
      </c>
      <c r="AE916" t="s">
        <v>17572</v>
      </c>
      <c r="AF916" t="s">
        <v>74</v>
      </c>
      <c r="AG916">
        <v>36</v>
      </c>
      <c r="AH916">
        <v>11</v>
      </c>
      <c r="AI916">
        <v>11</v>
      </c>
      <c r="AJ916">
        <v>2</v>
      </c>
      <c r="AK916">
        <v>17</v>
      </c>
      <c r="AL916" t="s">
        <v>1079</v>
      </c>
      <c r="AM916" t="s">
        <v>1080</v>
      </c>
      <c r="AN916" t="s">
        <v>1106</v>
      </c>
      <c r="AO916" t="s">
        <v>1082</v>
      </c>
      <c r="AP916" t="s">
        <v>1083</v>
      </c>
      <c r="AQ916" t="s">
        <v>74</v>
      </c>
      <c r="AR916" t="s">
        <v>1084</v>
      </c>
      <c r="AS916" t="s">
        <v>1085</v>
      </c>
      <c r="AT916" t="s">
        <v>14661</v>
      </c>
      <c r="AU916">
        <v>2018</v>
      </c>
      <c r="AV916">
        <v>41</v>
      </c>
      <c r="AW916">
        <v>11</v>
      </c>
      <c r="AX916" t="s">
        <v>74</v>
      </c>
      <c r="AY916" t="s">
        <v>74</v>
      </c>
      <c r="AZ916" t="s">
        <v>74</v>
      </c>
      <c r="BA916" t="s">
        <v>74</v>
      </c>
      <c r="BB916">
        <v>2337</v>
      </c>
      <c r="BC916">
        <v>2342</v>
      </c>
      <c r="BD916" t="s">
        <v>74</v>
      </c>
      <c r="BE916" t="s">
        <v>17573</v>
      </c>
      <c r="BF916" t="str">
        <f>HYPERLINK("http://dx.doi.org/10.1007/s00300-018-2373-7","http://dx.doi.org/10.1007/s00300-018-2373-7")</f>
        <v>http://dx.doi.org/10.1007/s00300-018-2373-7</v>
      </c>
      <c r="BG916" t="s">
        <v>74</v>
      </c>
      <c r="BH916" t="s">
        <v>74</v>
      </c>
      <c r="BI916">
        <v>6</v>
      </c>
      <c r="BJ916" t="s">
        <v>1087</v>
      </c>
      <c r="BK916" t="s">
        <v>101</v>
      </c>
      <c r="BL916" t="s">
        <v>102</v>
      </c>
      <c r="BM916" t="s">
        <v>16241</v>
      </c>
      <c r="BN916" t="s">
        <v>74</v>
      </c>
      <c r="BO916" t="s">
        <v>1089</v>
      </c>
      <c r="BP916" t="s">
        <v>74</v>
      </c>
      <c r="BQ916" t="s">
        <v>74</v>
      </c>
      <c r="BR916" t="s">
        <v>104</v>
      </c>
      <c r="BS916" t="s">
        <v>17574</v>
      </c>
      <c r="BT916" t="str">
        <f>HYPERLINK("https%3A%2F%2Fwww.webofscience.com%2Fwos%2Fwoscc%2Ffull-record%2FWOS:000446075800015","View Full Record in Web of Science")</f>
        <v>View Full Record in Web of Science</v>
      </c>
    </row>
    <row r="917" spans="1:72" x14ac:dyDescent="0.15">
      <c r="A917" t="s">
        <v>72</v>
      </c>
      <c r="B917" t="s">
        <v>17575</v>
      </c>
      <c r="C917" t="s">
        <v>74</v>
      </c>
      <c r="D917" t="s">
        <v>74</v>
      </c>
      <c r="E917" t="s">
        <v>74</v>
      </c>
      <c r="F917" t="s">
        <v>17576</v>
      </c>
      <c r="G917" t="s">
        <v>74</v>
      </c>
      <c r="H917" t="s">
        <v>74</v>
      </c>
      <c r="I917" t="s">
        <v>17577</v>
      </c>
      <c r="J917" t="s">
        <v>1067</v>
      </c>
      <c r="K917" t="s">
        <v>74</v>
      </c>
      <c r="L917" t="s">
        <v>74</v>
      </c>
      <c r="M917" t="s">
        <v>78</v>
      </c>
      <c r="N917" t="s">
        <v>79</v>
      </c>
      <c r="O917" t="s">
        <v>74</v>
      </c>
      <c r="P917" t="s">
        <v>74</v>
      </c>
      <c r="Q917" t="s">
        <v>74</v>
      </c>
      <c r="R917" t="s">
        <v>74</v>
      </c>
      <c r="S917" t="s">
        <v>74</v>
      </c>
      <c r="T917" t="s">
        <v>17578</v>
      </c>
      <c r="U917" t="s">
        <v>17579</v>
      </c>
      <c r="V917" t="s">
        <v>17580</v>
      </c>
      <c r="W917" t="s">
        <v>17581</v>
      </c>
      <c r="X917" t="s">
        <v>17582</v>
      </c>
      <c r="Y917" t="s">
        <v>17583</v>
      </c>
      <c r="Z917" t="s">
        <v>17584</v>
      </c>
      <c r="AA917" t="s">
        <v>17585</v>
      </c>
      <c r="AB917" t="s">
        <v>17586</v>
      </c>
      <c r="AC917" t="s">
        <v>17587</v>
      </c>
      <c r="AD917" t="s">
        <v>17588</v>
      </c>
      <c r="AE917" t="s">
        <v>17589</v>
      </c>
      <c r="AF917" t="s">
        <v>74</v>
      </c>
      <c r="AG917">
        <v>73</v>
      </c>
      <c r="AH917">
        <v>22</v>
      </c>
      <c r="AI917">
        <v>25</v>
      </c>
      <c r="AJ917">
        <v>1</v>
      </c>
      <c r="AK917">
        <v>13</v>
      </c>
      <c r="AL917" t="s">
        <v>1079</v>
      </c>
      <c r="AM917" t="s">
        <v>1080</v>
      </c>
      <c r="AN917" t="s">
        <v>1106</v>
      </c>
      <c r="AO917" t="s">
        <v>1082</v>
      </c>
      <c r="AP917" t="s">
        <v>1083</v>
      </c>
      <c r="AQ917" t="s">
        <v>74</v>
      </c>
      <c r="AR917" t="s">
        <v>1084</v>
      </c>
      <c r="AS917" t="s">
        <v>1085</v>
      </c>
      <c r="AT917" t="s">
        <v>14661</v>
      </c>
      <c r="AU917">
        <v>2018</v>
      </c>
      <c r="AV917">
        <v>41</v>
      </c>
      <c r="AW917">
        <v>11</v>
      </c>
      <c r="AX917" t="s">
        <v>74</v>
      </c>
      <c r="AY917" t="s">
        <v>74</v>
      </c>
      <c r="AZ917" t="s">
        <v>74</v>
      </c>
      <c r="BA917" t="s">
        <v>74</v>
      </c>
      <c r="BB917">
        <v>2355</v>
      </c>
      <c r="BC917">
        <v>2371</v>
      </c>
      <c r="BD917" t="s">
        <v>74</v>
      </c>
      <c r="BE917" t="s">
        <v>17590</v>
      </c>
      <c r="BF917" t="str">
        <f>HYPERLINK("http://dx.doi.org/10.1007/s00300-018-2375-5","http://dx.doi.org/10.1007/s00300-018-2375-5")</f>
        <v>http://dx.doi.org/10.1007/s00300-018-2375-5</v>
      </c>
      <c r="BG917" t="s">
        <v>74</v>
      </c>
      <c r="BH917" t="s">
        <v>74</v>
      </c>
      <c r="BI917">
        <v>17</v>
      </c>
      <c r="BJ917" t="s">
        <v>1087</v>
      </c>
      <c r="BK917" t="s">
        <v>101</v>
      </c>
      <c r="BL917" t="s">
        <v>102</v>
      </c>
      <c r="BM917" t="s">
        <v>16241</v>
      </c>
      <c r="BN917" t="s">
        <v>74</v>
      </c>
      <c r="BO917" t="s">
        <v>1089</v>
      </c>
      <c r="BP917" t="s">
        <v>74</v>
      </c>
      <c r="BQ917" t="s">
        <v>74</v>
      </c>
      <c r="BR917" t="s">
        <v>104</v>
      </c>
      <c r="BS917" t="s">
        <v>17591</v>
      </c>
      <c r="BT917" t="str">
        <f>HYPERLINK("https%3A%2F%2Fwww.webofscience.com%2Fwos%2Fwoscc%2Ffull-record%2FWOS:000446075800017","View Full Record in Web of Science")</f>
        <v>View Full Record in Web of Science</v>
      </c>
    </row>
    <row r="918" spans="1:72" x14ac:dyDescent="0.15">
      <c r="A918" t="s">
        <v>72</v>
      </c>
      <c r="B918" t="s">
        <v>17592</v>
      </c>
      <c r="C918" t="s">
        <v>74</v>
      </c>
      <c r="D918" t="s">
        <v>74</v>
      </c>
      <c r="E918" t="s">
        <v>74</v>
      </c>
      <c r="F918" t="s">
        <v>17593</v>
      </c>
      <c r="G918" t="s">
        <v>74</v>
      </c>
      <c r="H918" t="s">
        <v>74</v>
      </c>
      <c r="I918" t="s">
        <v>17594</v>
      </c>
      <c r="J918" t="s">
        <v>1067</v>
      </c>
      <c r="K918" t="s">
        <v>74</v>
      </c>
      <c r="L918" t="s">
        <v>74</v>
      </c>
      <c r="M918" t="s">
        <v>78</v>
      </c>
      <c r="N918" t="s">
        <v>79</v>
      </c>
      <c r="O918" t="s">
        <v>74</v>
      </c>
      <c r="P918" t="s">
        <v>74</v>
      </c>
      <c r="Q918" t="s">
        <v>74</v>
      </c>
      <c r="R918" t="s">
        <v>74</v>
      </c>
      <c r="S918" t="s">
        <v>74</v>
      </c>
      <c r="T918" t="s">
        <v>17595</v>
      </c>
      <c r="U918" t="s">
        <v>17596</v>
      </c>
      <c r="V918" t="s">
        <v>17597</v>
      </c>
      <c r="W918" t="s">
        <v>17598</v>
      </c>
      <c r="X918" t="s">
        <v>17599</v>
      </c>
      <c r="Y918" t="s">
        <v>17600</v>
      </c>
      <c r="Z918" t="s">
        <v>17601</v>
      </c>
      <c r="AA918" t="s">
        <v>74</v>
      </c>
      <c r="AB918" t="s">
        <v>17602</v>
      </c>
      <c r="AC918" t="s">
        <v>17603</v>
      </c>
      <c r="AD918" t="s">
        <v>17603</v>
      </c>
      <c r="AE918" t="s">
        <v>17604</v>
      </c>
      <c r="AF918" t="s">
        <v>74</v>
      </c>
      <c r="AG918">
        <v>34</v>
      </c>
      <c r="AH918">
        <v>5</v>
      </c>
      <c r="AI918">
        <v>5</v>
      </c>
      <c r="AJ918">
        <v>1</v>
      </c>
      <c r="AK918">
        <v>26</v>
      </c>
      <c r="AL918" t="s">
        <v>1079</v>
      </c>
      <c r="AM918" t="s">
        <v>1080</v>
      </c>
      <c r="AN918" t="s">
        <v>1106</v>
      </c>
      <c r="AO918" t="s">
        <v>1082</v>
      </c>
      <c r="AP918" t="s">
        <v>1083</v>
      </c>
      <c r="AQ918" t="s">
        <v>74</v>
      </c>
      <c r="AR918" t="s">
        <v>1084</v>
      </c>
      <c r="AS918" t="s">
        <v>1085</v>
      </c>
      <c r="AT918" t="s">
        <v>14661</v>
      </c>
      <c r="AU918">
        <v>2018</v>
      </c>
      <c r="AV918">
        <v>41</v>
      </c>
      <c r="AW918">
        <v>11</v>
      </c>
      <c r="AX918" t="s">
        <v>74</v>
      </c>
      <c r="AY918" t="s">
        <v>74</v>
      </c>
      <c r="AZ918" t="s">
        <v>74</v>
      </c>
      <c r="BA918" t="s">
        <v>74</v>
      </c>
      <c r="BB918">
        <v>2379</v>
      </c>
      <c r="BC918">
        <v>2385</v>
      </c>
      <c r="BD918" t="s">
        <v>74</v>
      </c>
      <c r="BE918" t="s">
        <v>17605</v>
      </c>
      <c r="BF918" t="str">
        <f>HYPERLINK("http://dx.doi.org/10.1007/s00300-018-2360-z","http://dx.doi.org/10.1007/s00300-018-2360-z")</f>
        <v>http://dx.doi.org/10.1007/s00300-018-2360-z</v>
      </c>
      <c r="BG918" t="s">
        <v>74</v>
      </c>
      <c r="BH918" t="s">
        <v>74</v>
      </c>
      <c r="BI918">
        <v>7</v>
      </c>
      <c r="BJ918" t="s">
        <v>1087</v>
      </c>
      <c r="BK918" t="s">
        <v>101</v>
      </c>
      <c r="BL918" t="s">
        <v>102</v>
      </c>
      <c r="BM918" t="s">
        <v>16241</v>
      </c>
      <c r="BN918" t="s">
        <v>74</v>
      </c>
      <c r="BO918" t="s">
        <v>74</v>
      </c>
      <c r="BP918" t="s">
        <v>74</v>
      </c>
      <c r="BQ918" t="s">
        <v>74</v>
      </c>
      <c r="BR918" t="s">
        <v>104</v>
      </c>
      <c r="BS918" t="s">
        <v>17606</v>
      </c>
      <c r="BT918" t="str">
        <f>HYPERLINK("https%3A%2F%2Fwww.webofscience.com%2Fwos%2Fwoscc%2Ffull-record%2FWOS:000446075800019","View Full Record in Web of Science")</f>
        <v>View Full Record in Web of Science</v>
      </c>
    </row>
    <row r="919" spans="1:72" x14ac:dyDescent="0.15">
      <c r="A919" t="s">
        <v>72</v>
      </c>
      <c r="B919" t="s">
        <v>17607</v>
      </c>
      <c r="C919" t="s">
        <v>74</v>
      </c>
      <c r="D919" t="s">
        <v>74</v>
      </c>
      <c r="E919" t="s">
        <v>74</v>
      </c>
      <c r="F919" t="s">
        <v>17608</v>
      </c>
      <c r="G919" t="s">
        <v>74</v>
      </c>
      <c r="H919" t="s">
        <v>74</v>
      </c>
      <c r="I919" t="s">
        <v>17609</v>
      </c>
      <c r="J919" t="s">
        <v>17610</v>
      </c>
      <c r="K919" t="s">
        <v>74</v>
      </c>
      <c r="L919" t="s">
        <v>74</v>
      </c>
      <c r="M919" t="s">
        <v>78</v>
      </c>
      <c r="N919" t="s">
        <v>79</v>
      </c>
      <c r="O919" t="s">
        <v>74</v>
      </c>
      <c r="P919" t="s">
        <v>74</v>
      </c>
      <c r="Q919" t="s">
        <v>74</v>
      </c>
      <c r="R919" t="s">
        <v>74</v>
      </c>
      <c r="S919" t="s">
        <v>74</v>
      </c>
      <c r="T919" t="s">
        <v>17611</v>
      </c>
      <c r="U919" t="s">
        <v>17612</v>
      </c>
      <c r="V919" t="s">
        <v>17613</v>
      </c>
      <c r="W919" t="s">
        <v>17614</v>
      </c>
      <c r="X919" t="s">
        <v>17615</v>
      </c>
      <c r="Y919" t="s">
        <v>17616</v>
      </c>
      <c r="Z919" t="s">
        <v>17617</v>
      </c>
      <c r="AA919" t="s">
        <v>17618</v>
      </c>
      <c r="AB919" t="s">
        <v>17619</v>
      </c>
      <c r="AC919" t="s">
        <v>17620</v>
      </c>
      <c r="AD919" t="s">
        <v>7358</v>
      </c>
      <c r="AE919" t="s">
        <v>17621</v>
      </c>
      <c r="AF919" t="s">
        <v>74</v>
      </c>
      <c r="AG919">
        <v>39</v>
      </c>
      <c r="AH919">
        <v>23</v>
      </c>
      <c r="AI919">
        <v>23</v>
      </c>
      <c r="AJ919">
        <v>12</v>
      </c>
      <c r="AK919">
        <v>93</v>
      </c>
      <c r="AL919" t="s">
        <v>3670</v>
      </c>
      <c r="AM919" t="s">
        <v>3671</v>
      </c>
      <c r="AN919" t="s">
        <v>3672</v>
      </c>
      <c r="AO919" t="s">
        <v>17622</v>
      </c>
      <c r="AP919" t="s">
        <v>17623</v>
      </c>
      <c r="AQ919" t="s">
        <v>74</v>
      </c>
      <c r="AR919" t="s">
        <v>17624</v>
      </c>
      <c r="AS919" t="s">
        <v>17625</v>
      </c>
      <c r="AT919" t="s">
        <v>14661</v>
      </c>
      <c r="AU919">
        <v>2018</v>
      </c>
      <c r="AV919">
        <v>98</v>
      </c>
      <c r="AW919">
        <v>14</v>
      </c>
      <c r="AX919" t="s">
        <v>74</v>
      </c>
      <c r="AY919" t="s">
        <v>74</v>
      </c>
      <c r="AZ919" t="s">
        <v>74</v>
      </c>
      <c r="BA919" t="s">
        <v>74</v>
      </c>
      <c r="BB919">
        <v>5257</v>
      </c>
      <c r="BC919">
        <v>5268</v>
      </c>
      <c r="BD919" t="s">
        <v>74</v>
      </c>
      <c r="BE919" t="s">
        <v>17626</v>
      </c>
      <c r="BF919" t="str">
        <f>HYPERLINK("http://dx.doi.org/10.1002/jsfa.9064","http://dx.doi.org/10.1002/jsfa.9064")</f>
        <v>http://dx.doi.org/10.1002/jsfa.9064</v>
      </c>
      <c r="BG919" t="s">
        <v>74</v>
      </c>
      <c r="BH919" t="s">
        <v>74</v>
      </c>
      <c r="BI919">
        <v>12</v>
      </c>
      <c r="BJ919" t="s">
        <v>17627</v>
      </c>
      <c r="BK919" t="s">
        <v>101</v>
      </c>
      <c r="BL919" t="s">
        <v>17628</v>
      </c>
      <c r="BM919" t="s">
        <v>17629</v>
      </c>
      <c r="BN919">
        <v>29652437</v>
      </c>
      <c r="BO919" t="s">
        <v>74</v>
      </c>
      <c r="BP919" t="s">
        <v>74</v>
      </c>
      <c r="BQ919" t="s">
        <v>74</v>
      </c>
      <c r="BR919" t="s">
        <v>104</v>
      </c>
      <c r="BS919" t="s">
        <v>17630</v>
      </c>
      <c r="BT919" t="str">
        <f>HYPERLINK("https%3A%2F%2Fwww.webofscience.com%2Fwos%2Fwoscc%2Ffull-record%2FWOS:000445851500012","View Full Record in Web of Science")</f>
        <v>View Full Record in Web of Science</v>
      </c>
    </row>
    <row r="920" spans="1:72" x14ac:dyDescent="0.15">
      <c r="A920" t="s">
        <v>72</v>
      </c>
      <c r="B920" t="s">
        <v>17631</v>
      </c>
      <c r="C920" t="s">
        <v>74</v>
      </c>
      <c r="D920" t="s">
        <v>74</v>
      </c>
      <c r="E920" t="s">
        <v>74</v>
      </c>
      <c r="F920" t="s">
        <v>17632</v>
      </c>
      <c r="G920" t="s">
        <v>74</v>
      </c>
      <c r="H920" t="s">
        <v>74</v>
      </c>
      <c r="I920" t="s">
        <v>17633</v>
      </c>
      <c r="J920" t="s">
        <v>17634</v>
      </c>
      <c r="K920" t="s">
        <v>74</v>
      </c>
      <c r="L920" t="s">
        <v>74</v>
      </c>
      <c r="M920" t="s">
        <v>78</v>
      </c>
      <c r="N920" t="s">
        <v>79</v>
      </c>
      <c r="O920" t="s">
        <v>74</v>
      </c>
      <c r="P920" t="s">
        <v>74</v>
      </c>
      <c r="Q920" t="s">
        <v>74</v>
      </c>
      <c r="R920" t="s">
        <v>74</v>
      </c>
      <c r="S920" t="s">
        <v>74</v>
      </c>
      <c r="T920" t="s">
        <v>17635</v>
      </c>
      <c r="U920" t="s">
        <v>17636</v>
      </c>
      <c r="V920" t="s">
        <v>17637</v>
      </c>
      <c r="W920" t="s">
        <v>17638</v>
      </c>
      <c r="X920" t="s">
        <v>17639</v>
      </c>
      <c r="Y920" t="s">
        <v>17640</v>
      </c>
      <c r="Z920" t="s">
        <v>17641</v>
      </c>
      <c r="AA920" t="s">
        <v>74</v>
      </c>
      <c r="AB920" t="s">
        <v>17642</v>
      </c>
      <c r="AC920" t="s">
        <v>17643</v>
      </c>
      <c r="AD920" t="s">
        <v>17644</v>
      </c>
      <c r="AE920" t="s">
        <v>17645</v>
      </c>
      <c r="AF920" t="s">
        <v>74</v>
      </c>
      <c r="AG920">
        <v>18</v>
      </c>
      <c r="AH920">
        <v>26</v>
      </c>
      <c r="AI920">
        <v>26</v>
      </c>
      <c r="AJ920">
        <v>2</v>
      </c>
      <c r="AK920">
        <v>5</v>
      </c>
      <c r="AL920" t="s">
        <v>16407</v>
      </c>
      <c r="AM920" t="s">
        <v>16408</v>
      </c>
      <c r="AN920" t="s">
        <v>16409</v>
      </c>
      <c r="AO920" t="s">
        <v>17646</v>
      </c>
      <c r="AP920" t="s">
        <v>17647</v>
      </c>
      <c r="AQ920" t="s">
        <v>74</v>
      </c>
      <c r="AR920" t="s">
        <v>17648</v>
      </c>
      <c r="AS920" t="s">
        <v>17649</v>
      </c>
      <c r="AT920" t="s">
        <v>14661</v>
      </c>
      <c r="AU920">
        <v>2018</v>
      </c>
      <c r="AV920">
        <v>187</v>
      </c>
      <c r="AW920">
        <v>3</v>
      </c>
      <c r="AX920" t="s">
        <v>74</v>
      </c>
      <c r="AY920" t="s">
        <v>74</v>
      </c>
      <c r="AZ920" t="s">
        <v>74</v>
      </c>
      <c r="BA920" t="s">
        <v>74</v>
      </c>
      <c r="BB920">
        <v>565</v>
      </c>
      <c r="BC920">
        <v>572</v>
      </c>
      <c r="BD920" t="s">
        <v>74</v>
      </c>
      <c r="BE920" t="s">
        <v>17650</v>
      </c>
      <c r="BF920" t="str">
        <f>HYPERLINK("http://dx.doi.org/10.1007/s00605-017-1097-z","http://dx.doi.org/10.1007/s00605-017-1097-z")</f>
        <v>http://dx.doi.org/10.1007/s00605-017-1097-z</v>
      </c>
      <c r="BG920" t="s">
        <v>74</v>
      </c>
      <c r="BH920" t="s">
        <v>74</v>
      </c>
      <c r="BI920">
        <v>8</v>
      </c>
      <c r="BJ920" t="s">
        <v>6546</v>
      </c>
      <c r="BK920" t="s">
        <v>101</v>
      </c>
      <c r="BL920" t="s">
        <v>6546</v>
      </c>
      <c r="BM920" t="s">
        <v>17651</v>
      </c>
      <c r="BN920" t="s">
        <v>74</v>
      </c>
      <c r="BO920" t="s">
        <v>3810</v>
      </c>
      <c r="BP920" t="s">
        <v>74</v>
      </c>
      <c r="BQ920" t="s">
        <v>74</v>
      </c>
      <c r="BR920" t="s">
        <v>104</v>
      </c>
      <c r="BS920" t="s">
        <v>17652</v>
      </c>
      <c r="BT920" t="str">
        <f>HYPERLINK("https%3A%2F%2Fwww.webofscience.com%2Fwos%2Fwoscc%2Ffull-record%2FWOS:000445654000010","View Full Record in Web of Science")</f>
        <v>View Full Record in Web of Science</v>
      </c>
    </row>
    <row r="921" spans="1:72" x14ac:dyDescent="0.15">
      <c r="A921" t="s">
        <v>72</v>
      </c>
      <c r="B921" t="s">
        <v>17653</v>
      </c>
      <c r="C921" t="s">
        <v>74</v>
      </c>
      <c r="D921" t="s">
        <v>74</v>
      </c>
      <c r="E921" t="s">
        <v>74</v>
      </c>
      <c r="F921" t="s">
        <v>17654</v>
      </c>
      <c r="G921" t="s">
        <v>74</v>
      </c>
      <c r="H921" t="s">
        <v>74</v>
      </c>
      <c r="I921" t="s">
        <v>17655</v>
      </c>
      <c r="J921" t="s">
        <v>5930</v>
      </c>
      <c r="K921" t="s">
        <v>74</v>
      </c>
      <c r="L921" t="s">
        <v>74</v>
      </c>
      <c r="M921" t="s">
        <v>78</v>
      </c>
      <c r="N921" t="s">
        <v>79</v>
      </c>
      <c r="O921" t="s">
        <v>74</v>
      </c>
      <c r="P921" t="s">
        <v>74</v>
      </c>
      <c r="Q921" t="s">
        <v>74</v>
      </c>
      <c r="R921" t="s">
        <v>74</v>
      </c>
      <c r="S921" t="s">
        <v>74</v>
      </c>
      <c r="T921" t="s">
        <v>17656</v>
      </c>
      <c r="U921" t="s">
        <v>17657</v>
      </c>
      <c r="V921" t="s">
        <v>17658</v>
      </c>
      <c r="W921" t="s">
        <v>17659</v>
      </c>
      <c r="X921" t="s">
        <v>17660</v>
      </c>
      <c r="Y921" t="s">
        <v>17661</v>
      </c>
      <c r="Z921" t="s">
        <v>17662</v>
      </c>
      <c r="AA921" t="s">
        <v>17663</v>
      </c>
      <c r="AB921" t="s">
        <v>17664</v>
      </c>
      <c r="AC921" t="s">
        <v>17665</v>
      </c>
      <c r="AD921" t="s">
        <v>17666</v>
      </c>
      <c r="AE921" t="s">
        <v>17667</v>
      </c>
      <c r="AF921" t="s">
        <v>74</v>
      </c>
      <c r="AG921">
        <v>42</v>
      </c>
      <c r="AH921">
        <v>14</v>
      </c>
      <c r="AI921">
        <v>14</v>
      </c>
      <c r="AJ921">
        <v>0</v>
      </c>
      <c r="AK921">
        <v>23</v>
      </c>
      <c r="AL921" t="s">
        <v>2519</v>
      </c>
      <c r="AM921" t="s">
        <v>2520</v>
      </c>
      <c r="AN921" t="s">
        <v>3313</v>
      </c>
      <c r="AO921" t="s">
        <v>5943</v>
      </c>
      <c r="AP921" t="s">
        <v>5944</v>
      </c>
      <c r="AQ921" t="s">
        <v>74</v>
      </c>
      <c r="AR921" t="s">
        <v>5945</v>
      </c>
      <c r="AS921" t="s">
        <v>5946</v>
      </c>
      <c r="AT921" t="s">
        <v>14661</v>
      </c>
      <c r="AU921">
        <v>2018</v>
      </c>
      <c r="AV921">
        <v>187</v>
      </c>
      <c r="AW921" t="s">
        <v>74</v>
      </c>
      <c r="AX921" t="s">
        <v>74</v>
      </c>
      <c r="AY921" t="s">
        <v>74</v>
      </c>
      <c r="AZ921" t="s">
        <v>74</v>
      </c>
      <c r="BA921" t="s">
        <v>74</v>
      </c>
      <c r="BB921">
        <v>1</v>
      </c>
      <c r="BC921">
        <v>12</v>
      </c>
      <c r="BD921" t="s">
        <v>74</v>
      </c>
      <c r="BE921" t="s">
        <v>17668</v>
      </c>
      <c r="BF921" t="str">
        <f>HYPERLINK("http://dx.doi.org/10.1016/j.jmarsys.2018.06.011","http://dx.doi.org/10.1016/j.jmarsys.2018.06.011")</f>
        <v>http://dx.doi.org/10.1016/j.jmarsys.2018.06.011</v>
      </c>
      <c r="BG921" t="s">
        <v>74</v>
      </c>
      <c r="BH921" t="s">
        <v>74</v>
      </c>
      <c r="BI921">
        <v>12</v>
      </c>
      <c r="BJ921" t="s">
        <v>5948</v>
      </c>
      <c r="BK921" t="s">
        <v>101</v>
      </c>
      <c r="BL921" t="s">
        <v>5949</v>
      </c>
      <c r="BM921" t="s">
        <v>15857</v>
      </c>
      <c r="BN921" t="s">
        <v>74</v>
      </c>
      <c r="BO921" t="s">
        <v>3810</v>
      </c>
      <c r="BP921" t="s">
        <v>74</v>
      </c>
      <c r="BQ921" t="s">
        <v>74</v>
      </c>
      <c r="BR921" t="s">
        <v>104</v>
      </c>
      <c r="BS921" t="s">
        <v>17669</v>
      </c>
      <c r="BT921" t="str">
        <f>HYPERLINK("https%3A%2F%2Fwww.webofscience.com%2Fwos%2Fwoscc%2Ffull-record%2FWOS:000445313300001","View Full Record in Web of Science")</f>
        <v>View Full Record in Web of Science</v>
      </c>
    </row>
    <row r="922" spans="1:72" x14ac:dyDescent="0.15">
      <c r="A922" t="s">
        <v>72</v>
      </c>
      <c r="B922" t="s">
        <v>17670</v>
      </c>
      <c r="C922" t="s">
        <v>74</v>
      </c>
      <c r="D922" t="s">
        <v>74</v>
      </c>
      <c r="E922" t="s">
        <v>74</v>
      </c>
      <c r="F922" t="s">
        <v>17671</v>
      </c>
      <c r="G922" t="s">
        <v>74</v>
      </c>
      <c r="H922" t="s">
        <v>74</v>
      </c>
      <c r="I922" t="s">
        <v>17672</v>
      </c>
      <c r="J922" t="s">
        <v>5930</v>
      </c>
      <c r="K922" t="s">
        <v>74</v>
      </c>
      <c r="L922" t="s">
        <v>74</v>
      </c>
      <c r="M922" t="s">
        <v>78</v>
      </c>
      <c r="N922" t="s">
        <v>79</v>
      </c>
      <c r="O922" t="s">
        <v>74</v>
      </c>
      <c r="P922" t="s">
        <v>74</v>
      </c>
      <c r="Q922" t="s">
        <v>74</v>
      </c>
      <c r="R922" t="s">
        <v>74</v>
      </c>
      <c r="S922" t="s">
        <v>74</v>
      </c>
      <c r="T922" t="s">
        <v>17673</v>
      </c>
      <c r="U922" t="s">
        <v>17674</v>
      </c>
      <c r="V922" t="s">
        <v>17675</v>
      </c>
      <c r="W922" t="s">
        <v>17676</v>
      </c>
      <c r="X922" t="s">
        <v>17677</v>
      </c>
      <c r="Y922" t="s">
        <v>17678</v>
      </c>
      <c r="Z922" t="s">
        <v>17679</v>
      </c>
      <c r="AA922" t="s">
        <v>17680</v>
      </c>
      <c r="AB922" t="s">
        <v>17681</v>
      </c>
      <c r="AC922" t="s">
        <v>17682</v>
      </c>
      <c r="AD922" t="s">
        <v>17683</v>
      </c>
      <c r="AE922" t="s">
        <v>17684</v>
      </c>
      <c r="AF922" t="s">
        <v>74</v>
      </c>
      <c r="AG922">
        <v>45</v>
      </c>
      <c r="AH922">
        <v>9</v>
      </c>
      <c r="AI922">
        <v>11</v>
      </c>
      <c r="AJ922">
        <v>0</v>
      </c>
      <c r="AK922">
        <v>9</v>
      </c>
      <c r="AL922" t="s">
        <v>2519</v>
      </c>
      <c r="AM922" t="s">
        <v>2520</v>
      </c>
      <c r="AN922" t="s">
        <v>3313</v>
      </c>
      <c r="AO922" t="s">
        <v>5943</v>
      </c>
      <c r="AP922" t="s">
        <v>5944</v>
      </c>
      <c r="AQ922" t="s">
        <v>74</v>
      </c>
      <c r="AR922" t="s">
        <v>5945</v>
      </c>
      <c r="AS922" t="s">
        <v>5946</v>
      </c>
      <c r="AT922" t="s">
        <v>14661</v>
      </c>
      <c r="AU922">
        <v>2018</v>
      </c>
      <c r="AV922">
        <v>187</v>
      </c>
      <c r="AW922" t="s">
        <v>74</v>
      </c>
      <c r="AX922" t="s">
        <v>74</v>
      </c>
      <c r="AY922" t="s">
        <v>74</v>
      </c>
      <c r="AZ922" t="s">
        <v>74</v>
      </c>
      <c r="BA922" t="s">
        <v>74</v>
      </c>
      <c r="BB922">
        <v>250</v>
      </c>
      <c r="BC922">
        <v>259</v>
      </c>
      <c r="BD922" t="s">
        <v>74</v>
      </c>
      <c r="BE922" t="s">
        <v>17685</v>
      </c>
      <c r="BF922" t="str">
        <f>HYPERLINK("http://dx.doi.org/10.1016/j.jmarsys.2018.08.002","http://dx.doi.org/10.1016/j.jmarsys.2018.08.002")</f>
        <v>http://dx.doi.org/10.1016/j.jmarsys.2018.08.002</v>
      </c>
      <c r="BG922" t="s">
        <v>74</v>
      </c>
      <c r="BH922" t="s">
        <v>74</v>
      </c>
      <c r="BI922">
        <v>10</v>
      </c>
      <c r="BJ922" t="s">
        <v>5948</v>
      </c>
      <c r="BK922" t="s">
        <v>101</v>
      </c>
      <c r="BL922" t="s">
        <v>5949</v>
      </c>
      <c r="BM922" t="s">
        <v>15857</v>
      </c>
      <c r="BN922" t="s">
        <v>74</v>
      </c>
      <c r="BO922" t="s">
        <v>3810</v>
      </c>
      <c r="BP922" t="s">
        <v>74</v>
      </c>
      <c r="BQ922" t="s">
        <v>74</v>
      </c>
      <c r="BR922" t="s">
        <v>104</v>
      </c>
      <c r="BS922" t="s">
        <v>17686</v>
      </c>
      <c r="BT922" t="str">
        <f>HYPERLINK("https%3A%2F%2Fwww.webofscience.com%2Fwos%2Fwoscc%2Ffull-record%2FWOS:000445313300018","View Full Record in Web of Science")</f>
        <v>View Full Record in Web of Science</v>
      </c>
    </row>
    <row r="923" spans="1:72" x14ac:dyDescent="0.15">
      <c r="A923" t="s">
        <v>72</v>
      </c>
      <c r="B923" t="s">
        <v>17687</v>
      </c>
      <c r="C923" t="s">
        <v>74</v>
      </c>
      <c r="D923" t="s">
        <v>74</v>
      </c>
      <c r="E923" t="s">
        <v>74</v>
      </c>
      <c r="F923" t="s">
        <v>17688</v>
      </c>
      <c r="G923" t="s">
        <v>74</v>
      </c>
      <c r="H923" t="s">
        <v>74</v>
      </c>
      <c r="I923" t="s">
        <v>17689</v>
      </c>
      <c r="J923" t="s">
        <v>17690</v>
      </c>
      <c r="K923" t="s">
        <v>74</v>
      </c>
      <c r="L923" t="s">
        <v>74</v>
      </c>
      <c r="M923" t="s">
        <v>78</v>
      </c>
      <c r="N923" t="s">
        <v>79</v>
      </c>
      <c r="O923" t="s">
        <v>74</v>
      </c>
      <c r="P923" t="s">
        <v>74</v>
      </c>
      <c r="Q923" t="s">
        <v>74</v>
      </c>
      <c r="R923" t="s">
        <v>74</v>
      </c>
      <c r="S923" t="s">
        <v>74</v>
      </c>
      <c r="T923" t="s">
        <v>17691</v>
      </c>
      <c r="U923" t="s">
        <v>17692</v>
      </c>
      <c r="V923" t="s">
        <v>17693</v>
      </c>
      <c r="W923" t="s">
        <v>17694</v>
      </c>
      <c r="X923" t="s">
        <v>17695</v>
      </c>
      <c r="Y923" t="s">
        <v>17696</v>
      </c>
      <c r="Z923" t="s">
        <v>17697</v>
      </c>
      <c r="AA923" t="s">
        <v>74</v>
      </c>
      <c r="AB923" t="s">
        <v>17698</v>
      </c>
      <c r="AC923" t="s">
        <v>17699</v>
      </c>
      <c r="AD923" t="s">
        <v>17700</v>
      </c>
      <c r="AE923" t="s">
        <v>17701</v>
      </c>
      <c r="AF923" t="s">
        <v>74</v>
      </c>
      <c r="AG923">
        <v>23</v>
      </c>
      <c r="AH923">
        <v>6</v>
      </c>
      <c r="AI923">
        <v>6</v>
      </c>
      <c r="AJ923">
        <v>2</v>
      </c>
      <c r="AK923">
        <v>33</v>
      </c>
      <c r="AL923" t="s">
        <v>2519</v>
      </c>
      <c r="AM923" t="s">
        <v>2520</v>
      </c>
      <c r="AN923" t="s">
        <v>3313</v>
      </c>
      <c r="AO923" t="s">
        <v>17702</v>
      </c>
      <c r="AP923" t="s">
        <v>17703</v>
      </c>
      <c r="AQ923" t="s">
        <v>74</v>
      </c>
      <c r="AR923" t="s">
        <v>17704</v>
      </c>
      <c r="AS923" t="s">
        <v>17705</v>
      </c>
      <c r="AT923" t="s">
        <v>14661</v>
      </c>
      <c r="AU923">
        <v>2018</v>
      </c>
      <c r="AV923">
        <v>155</v>
      </c>
      <c r="AW923" t="s">
        <v>74</v>
      </c>
      <c r="AX923" t="s">
        <v>74</v>
      </c>
      <c r="AY923" t="s">
        <v>74</v>
      </c>
      <c r="AZ923" t="s">
        <v>74</v>
      </c>
      <c r="BA923" t="s">
        <v>74</v>
      </c>
      <c r="BB923">
        <v>11</v>
      </c>
      <c r="BC923">
        <v>19</v>
      </c>
      <c r="BD923" t="s">
        <v>74</v>
      </c>
      <c r="BE923" t="s">
        <v>17706</v>
      </c>
      <c r="BF923" t="str">
        <f>HYPERLINK("http://dx.doi.org/10.1016/j.coldregions.2018.07.006","http://dx.doi.org/10.1016/j.coldregions.2018.07.006")</f>
        <v>http://dx.doi.org/10.1016/j.coldregions.2018.07.006</v>
      </c>
      <c r="BG923" t="s">
        <v>74</v>
      </c>
      <c r="BH923" t="s">
        <v>74</v>
      </c>
      <c r="BI923">
        <v>9</v>
      </c>
      <c r="BJ923" t="s">
        <v>11327</v>
      </c>
      <c r="BK923" t="s">
        <v>101</v>
      </c>
      <c r="BL923" t="s">
        <v>11328</v>
      </c>
      <c r="BM923" t="s">
        <v>17707</v>
      </c>
      <c r="BN923" t="s">
        <v>74</v>
      </c>
      <c r="BO923" t="s">
        <v>74</v>
      </c>
      <c r="BP923" t="s">
        <v>74</v>
      </c>
      <c r="BQ923" t="s">
        <v>74</v>
      </c>
      <c r="BR923" t="s">
        <v>104</v>
      </c>
      <c r="BS923" t="s">
        <v>17708</v>
      </c>
      <c r="BT923" t="str">
        <f>HYPERLINK("https%3A%2F%2Fwww.webofscience.com%2Fwos%2Fwoscc%2Ffull-record%2FWOS:000444514700002","View Full Record in Web of Science")</f>
        <v>View Full Record in Web of Science</v>
      </c>
    </row>
    <row r="924" spans="1:72" x14ac:dyDescent="0.15">
      <c r="A924" t="s">
        <v>72</v>
      </c>
      <c r="B924" t="s">
        <v>17709</v>
      </c>
      <c r="C924" t="s">
        <v>74</v>
      </c>
      <c r="D924" t="s">
        <v>74</v>
      </c>
      <c r="E924" t="s">
        <v>74</v>
      </c>
      <c r="F924" t="s">
        <v>17710</v>
      </c>
      <c r="G924" t="s">
        <v>74</v>
      </c>
      <c r="H924" t="s">
        <v>74</v>
      </c>
      <c r="I924" t="s">
        <v>17711</v>
      </c>
      <c r="J924" t="s">
        <v>10926</v>
      </c>
      <c r="K924" t="s">
        <v>74</v>
      </c>
      <c r="L924" t="s">
        <v>74</v>
      </c>
      <c r="M924" t="s">
        <v>78</v>
      </c>
      <c r="N924" t="s">
        <v>79</v>
      </c>
      <c r="O924" t="s">
        <v>74</v>
      </c>
      <c r="P924" t="s">
        <v>74</v>
      </c>
      <c r="Q924" t="s">
        <v>74</v>
      </c>
      <c r="R924" t="s">
        <v>74</v>
      </c>
      <c r="S924" t="s">
        <v>74</v>
      </c>
      <c r="T924" t="s">
        <v>17712</v>
      </c>
      <c r="U924" t="s">
        <v>17713</v>
      </c>
      <c r="V924" t="s">
        <v>17714</v>
      </c>
      <c r="W924" t="s">
        <v>17715</v>
      </c>
      <c r="X924" t="s">
        <v>17716</v>
      </c>
      <c r="Y924" t="s">
        <v>17717</v>
      </c>
      <c r="Z924" t="s">
        <v>17718</v>
      </c>
      <c r="AA924" t="s">
        <v>74</v>
      </c>
      <c r="AB924" t="s">
        <v>17719</v>
      </c>
      <c r="AC924" t="s">
        <v>17720</v>
      </c>
      <c r="AD924" t="s">
        <v>17721</v>
      </c>
      <c r="AE924" t="s">
        <v>17722</v>
      </c>
      <c r="AF924" t="s">
        <v>74</v>
      </c>
      <c r="AG924">
        <v>26</v>
      </c>
      <c r="AH924">
        <v>51</v>
      </c>
      <c r="AI924">
        <v>57</v>
      </c>
      <c r="AJ924">
        <v>3</v>
      </c>
      <c r="AK924">
        <v>15</v>
      </c>
      <c r="AL924" t="s">
        <v>2519</v>
      </c>
      <c r="AM924" t="s">
        <v>2520</v>
      </c>
      <c r="AN924" t="s">
        <v>3313</v>
      </c>
      <c r="AO924" t="s">
        <v>10939</v>
      </c>
      <c r="AP924" t="s">
        <v>10940</v>
      </c>
      <c r="AQ924" t="s">
        <v>74</v>
      </c>
      <c r="AR924" t="s">
        <v>10941</v>
      </c>
      <c r="AS924" t="s">
        <v>10942</v>
      </c>
      <c r="AT924" t="s">
        <v>14661</v>
      </c>
      <c r="AU924">
        <v>2018</v>
      </c>
      <c r="AV924">
        <v>207</v>
      </c>
      <c r="AW924" t="s">
        <v>74</v>
      </c>
      <c r="AX924" t="s">
        <v>74</v>
      </c>
      <c r="AY924" t="s">
        <v>74</v>
      </c>
      <c r="AZ924" t="s">
        <v>74</v>
      </c>
      <c r="BA924" t="s">
        <v>74</v>
      </c>
      <c r="BB924">
        <v>49</v>
      </c>
      <c r="BC924">
        <v>54</v>
      </c>
      <c r="BD924" t="s">
        <v>74</v>
      </c>
      <c r="BE924" t="s">
        <v>17723</v>
      </c>
      <c r="BF924" t="str">
        <f>HYPERLINK("http://dx.doi.org/10.1016/j.fishres.2018.05.028","http://dx.doi.org/10.1016/j.fishres.2018.05.028")</f>
        <v>http://dx.doi.org/10.1016/j.fishres.2018.05.028</v>
      </c>
      <c r="BG924" t="s">
        <v>74</v>
      </c>
      <c r="BH924" t="s">
        <v>74</v>
      </c>
      <c r="BI924">
        <v>6</v>
      </c>
      <c r="BJ924" t="s">
        <v>625</v>
      </c>
      <c r="BK924" t="s">
        <v>101</v>
      </c>
      <c r="BL924" t="s">
        <v>625</v>
      </c>
      <c r="BM924" t="s">
        <v>17724</v>
      </c>
      <c r="BN924" t="s">
        <v>74</v>
      </c>
      <c r="BO924" t="s">
        <v>404</v>
      </c>
      <c r="BP924" t="s">
        <v>74</v>
      </c>
      <c r="BQ924" t="s">
        <v>74</v>
      </c>
      <c r="BR924" t="s">
        <v>104</v>
      </c>
      <c r="BS924" t="s">
        <v>17725</v>
      </c>
      <c r="BT924" t="str">
        <f>HYPERLINK("https%3A%2F%2Fwww.webofscience.com%2Fwos%2Fwoscc%2Ffull-record%2FWOS:000442059900006","View Full Record in Web of Science")</f>
        <v>View Full Record in Web of Science</v>
      </c>
    </row>
    <row r="925" spans="1:72" x14ac:dyDescent="0.15">
      <c r="A925" t="s">
        <v>72</v>
      </c>
      <c r="B925" t="s">
        <v>17726</v>
      </c>
      <c r="C925" t="s">
        <v>74</v>
      </c>
      <c r="D925" t="s">
        <v>74</v>
      </c>
      <c r="E925" t="s">
        <v>74</v>
      </c>
      <c r="F925" t="s">
        <v>17727</v>
      </c>
      <c r="G925" t="s">
        <v>74</v>
      </c>
      <c r="H925" t="s">
        <v>74</v>
      </c>
      <c r="I925" t="s">
        <v>17728</v>
      </c>
      <c r="J925" t="s">
        <v>17729</v>
      </c>
      <c r="K925" t="s">
        <v>74</v>
      </c>
      <c r="L925" t="s">
        <v>74</v>
      </c>
      <c r="M925" t="s">
        <v>78</v>
      </c>
      <c r="N925" t="s">
        <v>79</v>
      </c>
      <c r="O925" t="s">
        <v>74</v>
      </c>
      <c r="P925" t="s">
        <v>74</v>
      </c>
      <c r="Q925" t="s">
        <v>74</v>
      </c>
      <c r="R925" t="s">
        <v>74</v>
      </c>
      <c r="S925" t="s">
        <v>74</v>
      </c>
      <c r="T925" t="s">
        <v>17730</v>
      </c>
      <c r="U925" t="s">
        <v>17731</v>
      </c>
      <c r="V925" t="s">
        <v>17732</v>
      </c>
      <c r="W925" t="s">
        <v>17733</v>
      </c>
      <c r="X925" t="s">
        <v>17734</v>
      </c>
      <c r="Y925" t="s">
        <v>17735</v>
      </c>
      <c r="Z925" t="s">
        <v>17736</v>
      </c>
      <c r="AA925" t="s">
        <v>17737</v>
      </c>
      <c r="AB925" t="s">
        <v>17738</v>
      </c>
      <c r="AC925" t="s">
        <v>17739</v>
      </c>
      <c r="AD925" t="s">
        <v>17740</v>
      </c>
      <c r="AE925" t="s">
        <v>17741</v>
      </c>
      <c r="AF925" t="s">
        <v>74</v>
      </c>
      <c r="AG925">
        <v>41</v>
      </c>
      <c r="AH925">
        <v>64</v>
      </c>
      <c r="AI925">
        <v>68</v>
      </c>
      <c r="AJ925">
        <v>1</v>
      </c>
      <c r="AK925">
        <v>62</v>
      </c>
      <c r="AL925" t="s">
        <v>6139</v>
      </c>
      <c r="AM925" t="s">
        <v>3353</v>
      </c>
      <c r="AN925" t="s">
        <v>6140</v>
      </c>
      <c r="AO925" t="s">
        <v>17742</v>
      </c>
      <c r="AP925" t="s">
        <v>17743</v>
      </c>
      <c r="AQ925" t="s">
        <v>74</v>
      </c>
      <c r="AR925" t="s">
        <v>17744</v>
      </c>
      <c r="AS925" t="s">
        <v>17745</v>
      </c>
      <c r="AT925" t="s">
        <v>16131</v>
      </c>
      <c r="AU925">
        <v>2018</v>
      </c>
      <c r="AV925">
        <v>265</v>
      </c>
      <c r="AW925" t="s">
        <v>74</v>
      </c>
      <c r="AX925" t="s">
        <v>74</v>
      </c>
      <c r="AY925" t="s">
        <v>74</v>
      </c>
      <c r="AZ925" t="s">
        <v>74</v>
      </c>
      <c r="BA925" t="s">
        <v>74</v>
      </c>
      <c r="BB925">
        <v>70</v>
      </c>
      <c r="BC925">
        <v>77</v>
      </c>
      <c r="BD925" t="s">
        <v>74</v>
      </c>
      <c r="BE925" t="s">
        <v>17746</v>
      </c>
      <c r="BF925" t="str">
        <f>HYPERLINK("http://dx.doi.org/10.1016/j.foodchem.2018.05.060","http://dx.doi.org/10.1016/j.foodchem.2018.05.060")</f>
        <v>http://dx.doi.org/10.1016/j.foodchem.2018.05.060</v>
      </c>
      <c r="BG925" t="s">
        <v>74</v>
      </c>
      <c r="BH925" t="s">
        <v>74</v>
      </c>
      <c r="BI925">
        <v>8</v>
      </c>
      <c r="BJ925" t="s">
        <v>17747</v>
      </c>
      <c r="BK925" t="s">
        <v>101</v>
      </c>
      <c r="BL925" t="s">
        <v>17748</v>
      </c>
      <c r="BM925" t="s">
        <v>17749</v>
      </c>
      <c r="BN925">
        <v>29884396</v>
      </c>
      <c r="BO925" t="s">
        <v>1089</v>
      </c>
      <c r="BP925" t="s">
        <v>74</v>
      </c>
      <c r="BQ925" t="s">
        <v>74</v>
      </c>
      <c r="BR925" t="s">
        <v>104</v>
      </c>
      <c r="BS925" t="s">
        <v>17750</v>
      </c>
      <c r="BT925" t="str">
        <f>HYPERLINK("https%3A%2F%2Fwww.webofscience.com%2Fwos%2Fwoscc%2Ffull-record%2FWOS:000434462000010","View Full Record in Web of Science")</f>
        <v>View Full Record in Web of Science</v>
      </c>
    </row>
    <row r="926" spans="1:72" x14ac:dyDescent="0.15">
      <c r="A926" t="s">
        <v>72</v>
      </c>
      <c r="B926" t="s">
        <v>17751</v>
      </c>
      <c r="C926" t="s">
        <v>74</v>
      </c>
      <c r="D926" t="s">
        <v>74</v>
      </c>
      <c r="E926" t="s">
        <v>74</v>
      </c>
      <c r="F926" t="s">
        <v>17752</v>
      </c>
      <c r="G926" t="s">
        <v>74</v>
      </c>
      <c r="H926" t="s">
        <v>74</v>
      </c>
      <c r="I926" t="s">
        <v>17753</v>
      </c>
      <c r="J926" t="s">
        <v>8076</v>
      </c>
      <c r="K926" t="s">
        <v>74</v>
      </c>
      <c r="L926" t="s">
        <v>74</v>
      </c>
      <c r="M926" t="s">
        <v>78</v>
      </c>
      <c r="N926" t="s">
        <v>79</v>
      </c>
      <c r="O926" t="s">
        <v>74</v>
      </c>
      <c r="P926" t="s">
        <v>74</v>
      </c>
      <c r="Q926" t="s">
        <v>74</v>
      </c>
      <c r="R926" t="s">
        <v>74</v>
      </c>
      <c r="S926" t="s">
        <v>74</v>
      </c>
      <c r="T926" t="s">
        <v>74</v>
      </c>
      <c r="U926" t="s">
        <v>17754</v>
      </c>
      <c r="V926" t="s">
        <v>17755</v>
      </c>
      <c r="W926" t="s">
        <v>17756</v>
      </c>
      <c r="X926" t="s">
        <v>17757</v>
      </c>
      <c r="Y926" t="s">
        <v>17758</v>
      </c>
      <c r="Z926" t="s">
        <v>17759</v>
      </c>
      <c r="AA926" t="s">
        <v>2056</v>
      </c>
      <c r="AB926" t="s">
        <v>17760</v>
      </c>
      <c r="AC926" t="s">
        <v>17761</v>
      </c>
      <c r="AD926" t="s">
        <v>17762</v>
      </c>
      <c r="AE926" t="s">
        <v>17763</v>
      </c>
      <c r="AF926" t="s">
        <v>74</v>
      </c>
      <c r="AG926">
        <v>39</v>
      </c>
      <c r="AH926">
        <v>4</v>
      </c>
      <c r="AI926">
        <v>5</v>
      </c>
      <c r="AJ926">
        <v>0</v>
      </c>
      <c r="AK926">
        <v>11</v>
      </c>
      <c r="AL926" t="s">
        <v>8088</v>
      </c>
      <c r="AM926" t="s">
        <v>8089</v>
      </c>
      <c r="AN926" t="s">
        <v>8090</v>
      </c>
      <c r="AO926" t="s">
        <v>8091</v>
      </c>
      <c r="AP926" t="s">
        <v>74</v>
      </c>
      <c r="AQ926" t="s">
        <v>74</v>
      </c>
      <c r="AR926" t="s">
        <v>8076</v>
      </c>
      <c r="AS926" t="s">
        <v>8092</v>
      </c>
      <c r="AT926" t="s">
        <v>17764</v>
      </c>
      <c r="AU926">
        <v>2018</v>
      </c>
      <c r="AV926">
        <v>13</v>
      </c>
      <c r="AW926">
        <v>10</v>
      </c>
      <c r="AX926" t="s">
        <v>74</v>
      </c>
      <c r="AY926" t="s">
        <v>74</v>
      </c>
      <c r="AZ926" t="s">
        <v>74</v>
      </c>
      <c r="BA926" t="s">
        <v>74</v>
      </c>
      <c r="BB926" t="s">
        <v>74</v>
      </c>
      <c r="BC926" t="s">
        <v>74</v>
      </c>
      <c r="BD926" t="s">
        <v>17765</v>
      </c>
      <c r="BE926" t="s">
        <v>17766</v>
      </c>
      <c r="BF926" t="str">
        <f>HYPERLINK("http://dx.doi.org/10.1371/journal.pone.0206598","http://dx.doi.org/10.1371/journal.pone.0206598")</f>
        <v>http://dx.doi.org/10.1371/journal.pone.0206598</v>
      </c>
      <c r="BG926" t="s">
        <v>74</v>
      </c>
      <c r="BH926" t="s">
        <v>74</v>
      </c>
      <c r="BI926">
        <v>13</v>
      </c>
      <c r="BJ926" t="s">
        <v>855</v>
      </c>
      <c r="BK926" t="s">
        <v>101</v>
      </c>
      <c r="BL926" t="s">
        <v>856</v>
      </c>
      <c r="BM926" t="s">
        <v>17767</v>
      </c>
      <c r="BN926">
        <v>30379958</v>
      </c>
      <c r="BO926" t="s">
        <v>3454</v>
      </c>
      <c r="BP926" t="s">
        <v>74</v>
      </c>
      <c r="BQ926" t="s">
        <v>74</v>
      </c>
      <c r="BR926" t="s">
        <v>104</v>
      </c>
      <c r="BS926" t="s">
        <v>17768</v>
      </c>
      <c r="BT926" t="str">
        <f>HYPERLINK("https%3A%2F%2Fwww.webofscience.com%2Fwos%2Fwoscc%2Ffull-record%2FWOS:000448823700136","View Full Record in Web of Science")</f>
        <v>View Full Record in Web of Science</v>
      </c>
    </row>
    <row r="927" spans="1:72" x14ac:dyDescent="0.15">
      <c r="A927" t="s">
        <v>72</v>
      </c>
      <c r="B927" t="s">
        <v>17769</v>
      </c>
      <c r="C927" t="s">
        <v>74</v>
      </c>
      <c r="D927" t="s">
        <v>74</v>
      </c>
      <c r="E927" t="s">
        <v>74</v>
      </c>
      <c r="F927" t="s">
        <v>17770</v>
      </c>
      <c r="G927" t="s">
        <v>74</v>
      </c>
      <c r="H927" t="s">
        <v>74</v>
      </c>
      <c r="I927" t="s">
        <v>17771</v>
      </c>
      <c r="J927" t="s">
        <v>17772</v>
      </c>
      <c r="K927" t="s">
        <v>74</v>
      </c>
      <c r="L927" t="s">
        <v>74</v>
      </c>
      <c r="M927" t="s">
        <v>78</v>
      </c>
      <c r="N927" t="s">
        <v>79</v>
      </c>
      <c r="O927" t="s">
        <v>74</v>
      </c>
      <c r="P927" t="s">
        <v>74</v>
      </c>
      <c r="Q927" t="s">
        <v>74</v>
      </c>
      <c r="R927" t="s">
        <v>74</v>
      </c>
      <c r="S927" t="s">
        <v>74</v>
      </c>
      <c r="T927" t="s">
        <v>17773</v>
      </c>
      <c r="U927" t="s">
        <v>17774</v>
      </c>
      <c r="V927" t="s">
        <v>17775</v>
      </c>
      <c r="W927" t="s">
        <v>17776</v>
      </c>
      <c r="X927" t="s">
        <v>17777</v>
      </c>
      <c r="Y927" t="s">
        <v>17778</v>
      </c>
      <c r="Z927" t="s">
        <v>17779</v>
      </c>
      <c r="AA927" t="s">
        <v>17780</v>
      </c>
      <c r="AB927" t="s">
        <v>17781</v>
      </c>
      <c r="AC927" t="s">
        <v>17782</v>
      </c>
      <c r="AD927" t="s">
        <v>17783</v>
      </c>
      <c r="AE927" t="s">
        <v>17784</v>
      </c>
      <c r="AF927" t="s">
        <v>74</v>
      </c>
      <c r="AG927">
        <v>51</v>
      </c>
      <c r="AH927">
        <v>33</v>
      </c>
      <c r="AI927">
        <v>37</v>
      </c>
      <c r="AJ927">
        <v>3</v>
      </c>
      <c r="AK927">
        <v>16</v>
      </c>
      <c r="AL927" t="s">
        <v>17785</v>
      </c>
      <c r="AM927" t="s">
        <v>17786</v>
      </c>
      <c r="AN927" t="s">
        <v>17787</v>
      </c>
      <c r="AO927" t="s">
        <v>17788</v>
      </c>
      <c r="AP927" t="s">
        <v>17789</v>
      </c>
      <c r="AQ927" t="s">
        <v>74</v>
      </c>
      <c r="AR927" t="s">
        <v>17772</v>
      </c>
      <c r="AS927" t="s">
        <v>17790</v>
      </c>
      <c r="AT927" t="s">
        <v>17791</v>
      </c>
      <c r="AU927">
        <v>2019</v>
      </c>
      <c r="AV927">
        <v>19</v>
      </c>
      <c r="AW927">
        <v>2</v>
      </c>
      <c r="AX927" t="s">
        <v>74</v>
      </c>
      <c r="AY927" t="s">
        <v>74</v>
      </c>
      <c r="AZ927" t="s">
        <v>74</v>
      </c>
      <c r="BA927" t="s">
        <v>74</v>
      </c>
      <c r="BB927">
        <v>170</v>
      </c>
      <c r="BC927">
        <v>182</v>
      </c>
      <c r="BD927" t="s">
        <v>74</v>
      </c>
      <c r="BE927" t="s">
        <v>17792</v>
      </c>
      <c r="BF927" t="str">
        <f>HYPERLINK("http://dx.doi.org/10.1089/ast.2017.1728","http://dx.doi.org/10.1089/ast.2017.1728")</f>
        <v>http://dx.doi.org/10.1089/ast.2017.1728</v>
      </c>
      <c r="BG927" t="s">
        <v>74</v>
      </c>
      <c r="BH927" t="s">
        <v>17793</v>
      </c>
      <c r="BI927">
        <v>13</v>
      </c>
      <c r="BJ927" t="s">
        <v>17794</v>
      </c>
      <c r="BK927" t="s">
        <v>101</v>
      </c>
      <c r="BL927" t="s">
        <v>17795</v>
      </c>
      <c r="BM927" t="s">
        <v>17796</v>
      </c>
      <c r="BN927">
        <v>30376361</v>
      </c>
      <c r="BO927" t="s">
        <v>404</v>
      </c>
      <c r="BP927" t="s">
        <v>74</v>
      </c>
      <c r="BQ927" t="s">
        <v>74</v>
      </c>
      <c r="BR927" t="s">
        <v>104</v>
      </c>
      <c r="BS927" t="s">
        <v>17797</v>
      </c>
      <c r="BT927" t="str">
        <f>HYPERLINK("https%3A%2F%2Fwww.webofscience.com%2Fwos%2Fwoscc%2Ffull-record%2FWOS:000448645000001","View Full Record in Web of Science")</f>
        <v>View Full Record in Web of Science</v>
      </c>
    </row>
    <row r="928" spans="1:72" x14ac:dyDescent="0.15">
      <c r="A928" t="s">
        <v>72</v>
      </c>
      <c r="B928" t="s">
        <v>17798</v>
      </c>
      <c r="C928" t="s">
        <v>74</v>
      </c>
      <c r="D928" t="s">
        <v>74</v>
      </c>
      <c r="E928" t="s">
        <v>74</v>
      </c>
      <c r="F928" t="s">
        <v>17799</v>
      </c>
      <c r="G928" t="s">
        <v>74</v>
      </c>
      <c r="H928" t="s">
        <v>74</v>
      </c>
      <c r="I928" t="s">
        <v>17800</v>
      </c>
      <c r="J928" t="s">
        <v>17801</v>
      </c>
      <c r="K928" t="s">
        <v>74</v>
      </c>
      <c r="L928" t="s">
        <v>74</v>
      </c>
      <c r="M928" t="s">
        <v>78</v>
      </c>
      <c r="N928" t="s">
        <v>79</v>
      </c>
      <c r="O928" t="s">
        <v>74</v>
      </c>
      <c r="P928" t="s">
        <v>74</v>
      </c>
      <c r="Q928" t="s">
        <v>74</v>
      </c>
      <c r="R928" t="s">
        <v>74</v>
      </c>
      <c r="S928" t="s">
        <v>74</v>
      </c>
      <c r="T928" t="s">
        <v>17802</v>
      </c>
      <c r="U928" t="s">
        <v>17803</v>
      </c>
      <c r="V928" t="s">
        <v>17804</v>
      </c>
      <c r="W928" t="s">
        <v>17805</v>
      </c>
      <c r="X928" t="s">
        <v>17806</v>
      </c>
      <c r="Y928" t="s">
        <v>17807</v>
      </c>
      <c r="Z928" t="s">
        <v>17808</v>
      </c>
      <c r="AA928" t="s">
        <v>17809</v>
      </c>
      <c r="AB928" t="s">
        <v>17810</v>
      </c>
      <c r="AC928" t="s">
        <v>17811</v>
      </c>
      <c r="AD928" t="s">
        <v>17812</v>
      </c>
      <c r="AE928" t="s">
        <v>17813</v>
      </c>
      <c r="AF928" t="s">
        <v>74</v>
      </c>
      <c r="AG928">
        <v>79</v>
      </c>
      <c r="AH928">
        <v>27</v>
      </c>
      <c r="AI928">
        <v>29</v>
      </c>
      <c r="AJ928">
        <v>0</v>
      </c>
      <c r="AK928">
        <v>15</v>
      </c>
      <c r="AL928" t="s">
        <v>2519</v>
      </c>
      <c r="AM928" t="s">
        <v>2520</v>
      </c>
      <c r="AN928" t="s">
        <v>3313</v>
      </c>
      <c r="AO928" t="s">
        <v>17814</v>
      </c>
      <c r="AP928" t="s">
        <v>17815</v>
      </c>
      <c r="AQ928" t="s">
        <v>74</v>
      </c>
      <c r="AR928" t="s">
        <v>17801</v>
      </c>
      <c r="AS928" t="s">
        <v>17816</v>
      </c>
      <c r="AT928" t="s">
        <v>17817</v>
      </c>
      <c r="AU928">
        <v>2018</v>
      </c>
      <c r="AV928">
        <v>746</v>
      </c>
      <c r="AW928" t="s">
        <v>74</v>
      </c>
      <c r="AX928" t="s">
        <v>74</v>
      </c>
      <c r="AY928" t="s">
        <v>74</v>
      </c>
      <c r="AZ928" t="s">
        <v>4266</v>
      </c>
      <c r="BA928" t="s">
        <v>74</v>
      </c>
      <c r="BB928">
        <v>412</v>
      </c>
      <c r="BC928">
        <v>424</v>
      </c>
      <c r="BD928" t="s">
        <v>74</v>
      </c>
      <c r="BE928" t="s">
        <v>17818</v>
      </c>
      <c r="BF928" t="str">
        <f>HYPERLINK("http://dx.doi.org/10.1016/j.tecto.2017.06.012","http://dx.doi.org/10.1016/j.tecto.2017.06.012")</f>
        <v>http://dx.doi.org/10.1016/j.tecto.2017.06.012</v>
      </c>
      <c r="BG928" t="s">
        <v>74</v>
      </c>
      <c r="BH928" t="s">
        <v>74</v>
      </c>
      <c r="BI928">
        <v>13</v>
      </c>
      <c r="BJ928" t="s">
        <v>746</v>
      </c>
      <c r="BK928" t="s">
        <v>101</v>
      </c>
      <c r="BL928" t="s">
        <v>746</v>
      </c>
      <c r="BM928" t="s">
        <v>17819</v>
      </c>
      <c r="BN928" t="s">
        <v>74</v>
      </c>
      <c r="BO928" t="s">
        <v>74</v>
      </c>
      <c r="BP928" t="s">
        <v>74</v>
      </c>
      <c r="BQ928" t="s">
        <v>74</v>
      </c>
      <c r="BR928" t="s">
        <v>104</v>
      </c>
      <c r="BS928" t="s">
        <v>17820</v>
      </c>
      <c r="BT928" t="str">
        <f>HYPERLINK("https%3A%2F%2Fwww.webofscience.com%2Fwos%2Fwoscc%2Ffull-record%2FWOS:000453495600027","View Full Record in Web of Science")</f>
        <v>View Full Record in Web of Science</v>
      </c>
    </row>
    <row r="929" spans="1:72" x14ac:dyDescent="0.15">
      <c r="A929" t="s">
        <v>72</v>
      </c>
      <c r="B929" t="s">
        <v>17821</v>
      </c>
      <c r="C929" t="s">
        <v>74</v>
      </c>
      <c r="D929" t="s">
        <v>74</v>
      </c>
      <c r="E929" t="s">
        <v>74</v>
      </c>
      <c r="F929" t="s">
        <v>17822</v>
      </c>
      <c r="G929" t="s">
        <v>74</v>
      </c>
      <c r="H929" t="s">
        <v>74</v>
      </c>
      <c r="I929" t="s">
        <v>17823</v>
      </c>
      <c r="J929" t="s">
        <v>17824</v>
      </c>
      <c r="K929" t="s">
        <v>74</v>
      </c>
      <c r="L929" t="s">
        <v>74</v>
      </c>
      <c r="M929" t="s">
        <v>78</v>
      </c>
      <c r="N929" t="s">
        <v>79</v>
      </c>
      <c r="O929" t="s">
        <v>74</v>
      </c>
      <c r="P929" t="s">
        <v>74</v>
      </c>
      <c r="Q929" t="s">
        <v>74</v>
      </c>
      <c r="R929" t="s">
        <v>74</v>
      </c>
      <c r="S929" t="s">
        <v>74</v>
      </c>
      <c r="T929" t="s">
        <v>74</v>
      </c>
      <c r="U929" t="s">
        <v>17825</v>
      </c>
      <c r="V929" t="s">
        <v>17826</v>
      </c>
      <c r="W929" t="s">
        <v>17827</v>
      </c>
      <c r="X929" t="s">
        <v>17828</v>
      </c>
      <c r="Y929" t="s">
        <v>17829</v>
      </c>
      <c r="Z929" t="s">
        <v>17830</v>
      </c>
      <c r="AA929" t="s">
        <v>17831</v>
      </c>
      <c r="AB929" t="s">
        <v>17832</v>
      </c>
      <c r="AC929" t="s">
        <v>17833</v>
      </c>
      <c r="AD929" t="s">
        <v>17834</v>
      </c>
      <c r="AE929" t="s">
        <v>17835</v>
      </c>
      <c r="AF929" t="s">
        <v>74</v>
      </c>
      <c r="AG929">
        <v>27</v>
      </c>
      <c r="AH929">
        <v>6</v>
      </c>
      <c r="AI929">
        <v>6</v>
      </c>
      <c r="AJ929">
        <v>1</v>
      </c>
      <c r="AK929">
        <v>15</v>
      </c>
      <c r="AL929" t="s">
        <v>7866</v>
      </c>
      <c r="AM929" t="s">
        <v>7867</v>
      </c>
      <c r="AN929" t="s">
        <v>7868</v>
      </c>
      <c r="AO929" t="s">
        <v>17836</v>
      </c>
      <c r="AP929" t="s">
        <v>17837</v>
      </c>
      <c r="AQ929" t="s">
        <v>74</v>
      </c>
      <c r="AR929" t="s">
        <v>17838</v>
      </c>
      <c r="AS929" t="s">
        <v>17839</v>
      </c>
      <c r="AT929" t="s">
        <v>17817</v>
      </c>
      <c r="AU929">
        <v>2018</v>
      </c>
      <c r="AV929">
        <v>11</v>
      </c>
      <c r="AW929">
        <v>11</v>
      </c>
      <c r="AX929" t="s">
        <v>74</v>
      </c>
      <c r="AY929" t="s">
        <v>74</v>
      </c>
      <c r="AZ929" t="s">
        <v>74</v>
      </c>
      <c r="BA929" t="s">
        <v>74</v>
      </c>
      <c r="BB929">
        <v>5981</v>
      </c>
      <c r="BC929">
        <v>6002</v>
      </c>
      <c r="BD929" t="s">
        <v>74</v>
      </c>
      <c r="BE929" t="s">
        <v>17840</v>
      </c>
      <c r="BF929" t="str">
        <f>HYPERLINK("http://dx.doi.org/10.5194/amt-11-5981-2018","http://dx.doi.org/10.5194/amt-11-5981-2018")</f>
        <v>http://dx.doi.org/10.5194/amt-11-5981-2018</v>
      </c>
      <c r="BG929" t="s">
        <v>74</v>
      </c>
      <c r="BH929" t="s">
        <v>74</v>
      </c>
      <c r="BI929">
        <v>22</v>
      </c>
      <c r="BJ929" t="s">
        <v>3037</v>
      </c>
      <c r="BK929" t="s">
        <v>101</v>
      </c>
      <c r="BL929" t="s">
        <v>3037</v>
      </c>
      <c r="BM929" t="s">
        <v>17841</v>
      </c>
      <c r="BN929" t="s">
        <v>74</v>
      </c>
      <c r="BO929" t="s">
        <v>1556</v>
      </c>
      <c r="BP929" t="s">
        <v>74</v>
      </c>
      <c r="BQ929" t="s">
        <v>74</v>
      </c>
      <c r="BR929" t="s">
        <v>104</v>
      </c>
      <c r="BS929" t="s">
        <v>17842</v>
      </c>
      <c r="BT929" t="str">
        <f>HYPERLINK("https%3A%2F%2Fwww.webofscience.com%2Fwos%2Fwoscc%2Ffull-record%2FWOS:000448702400003","View Full Record in Web of Science")</f>
        <v>View Full Record in Web of Science</v>
      </c>
    </row>
    <row r="930" spans="1:72" x14ac:dyDescent="0.15">
      <c r="A930" t="s">
        <v>72</v>
      </c>
      <c r="B930" t="s">
        <v>17843</v>
      </c>
      <c r="C930" t="s">
        <v>74</v>
      </c>
      <c r="D930" t="s">
        <v>74</v>
      </c>
      <c r="E930" t="s">
        <v>74</v>
      </c>
      <c r="F930" t="s">
        <v>17844</v>
      </c>
      <c r="G930" t="s">
        <v>74</v>
      </c>
      <c r="H930" t="s">
        <v>74</v>
      </c>
      <c r="I930" t="s">
        <v>17845</v>
      </c>
      <c r="J930" t="s">
        <v>8055</v>
      </c>
      <c r="K930" t="s">
        <v>74</v>
      </c>
      <c r="L930" t="s">
        <v>74</v>
      </c>
      <c r="M930" t="s">
        <v>78</v>
      </c>
      <c r="N930" t="s">
        <v>1003</v>
      </c>
      <c r="O930" t="s">
        <v>74</v>
      </c>
      <c r="P930" t="s">
        <v>74</v>
      </c>
      <c r="Q930" t="s">
        <v>74</v>
      </c>
      <c r="R930" t="s">
        <v>74</v>
      </c>
      <c r="S930" t="s">
        <v>74</v>
      </c>
      <c r="T930" t="s">
        <v>17846</v>
      </c>
      <c r="U930" t="s">
        <v>17847</v>
      </c>
      <c r="V930" t="s">
        <v>17848</v>
      </c>
      <c r="W930" t="s">
        <v>17849</v>
      </c>
      <c r="X930" t="s">
        <v>17850</v>
      </c>
      <c r="Y930" t="s">
        <v>17851</v>
      </c>
      <c r="Z930" t="s">
        <v>17852</v>
      </c>
      <c r="AA930" t="s">
        <v>17853</v>
      </c>
      <c r="AB930" t="s">
        <v>17854</v>
      </c>
      <c r="AC930" t="s">
        <v>17855</v>
      </c>
      <c r="AD930" t="s">
        <v>17856</v>
      </c>
      <c r="AE930" t="s">
        <v>17857</v>
      </c>
      <c r="AF930" t="s">
        <v>74</v>
      </c>
      <c r="AG930">
        <v>277</v>
      </c>
      <c r="AH930">
        <v>85</v>
      </c>
      <c r="AI930">
        <v>88</v>
      </c>
      <c r="AJ930">
        <v>6</v>
      </c>
      <c r="AK930">
        <v>85</v>
      </c>
      <c r="AL930" t="s">
        <v>7949</v>
      </c>
      <c r="AM930" t="s">
        <v>7950</v>
      </c>
      <c r="AN930" t="s">
        <v>7951</v>
      </c>
      <c r="AO930" t="s">
        <v>8066</v>
      </c>
      <c r="AP930" t="s">
        <v>74</v>
      </c>
      <c r="AQ930" t="s">
        <v>74</v>
      </c>
      <c r="AR930" t="s">
        <v>8067</v>
      </c>
      <c r="AS930" t="s">
        <v>8068</v>
      </c>
      <c r="AT930" t="s">
        <v>17817</v>
      </c>
      <c r="AU930">
        <v>2018</v>
      </c>
      <c r="AV930">
        <v>9</v>
      </c>
      <c r="AW930" t="s">
        <v>74</v>
      </c>
      <c r="AX930" t="s">
        <v>74</v>
      </c>
      <c r="AY930" t="s">
        <v>74</v>
      </c>
      <c r="AZ930" t="s">
        <v>74</v>
      </c>
      <c r="BA930" t="s">
        <v>74</v>
      </c>
      <c r="BB930" t="s">
        <v>74</v>
      </c>
      <c r="BC930" t="s">
        <v>74</v>
      </c>
      <c r="BD930">
        <v>2309</v>
      </c>
      <c r="BE930" t="s">
        <v>17858</v>
      </c>
      <c r="BF930" t="str">
        <f>HYPERLINK("http://dx.doi.org/10.3389/fmicb.2018.02309","http://dx.doi.org/10.3389/fmicb.2018.02309")</f>
        <v>http://dx.doi.org/10.3389/fmicb.2018.02309</v>
      </c>
      <c r="BG930" t="s">
        <v>74</v>
      </c>
      <c r="BH930" t="s">
        <v>74</v>
      </c>
      <c r="BI930">
        <v>25</v>
      </c>
      <c r="BJ930" t="s">
        <v>4119</v>
      </c>
      <c r="BK930" t="s">
        <v>101</v>
      </c>
      <c r="BL930" t="s">
        <v>4119</v>
      </c>
      <c r="BM930" t="s">
        <v>17859</v>
      </c>
      <c r="BN930">
        <v>30425685</v>
      </c>
      <c r="BO930" t="s">
        <v>221</v>
      </c>
      <c r="BP930" t="s">
        <v>74</v>
      </c>
      <c r="BQ930" t="s">
        <v>74</v>
      </c>
      <c r="BR930" t="s">
        <v>104</v>
      </c>
      <c r="BS930" t="s">
        <v>17860</v>
      </c>
      <c r="BT930" t="str">
        <f>HYPERLINK("https%3A%2F%2Fwww.webofscience.com%2Fwos%2Fwoscc%2Ffull-record%2FWOS:000448646600001","View Full Record in Web of Science")</f>
        <v>View Full Record in Web of Science</v>
      </c>
    </row>
    <row r="931" spans="1:72" x14ac:dyDescent="0.15">
      <c r="A931" t="s">
        <v>72</v>
      </c>
      <c r="B931" t="s">
        <v>17861</v>
      </c>
      <c r="C931" t="s">
        <v>74</v>
      </c>
      <c r="D931" t="s">
        <v>74</v>
      </c>
      <c r="E931" t="s">
        <v>74</v>
      </c>
      <c r="F931" t="s">
        <v>17862</v>
      </c>
      <c r="G931" t="s">
        <v>74</v>
      </c>
      <c r="H931" t="s">
        <v>74</v>
      </c>
      <c r="I931" t="s">
        <v>17863</v>
      </c>
      <c r="J931" t="s">
        <v>7735</v>
      </c>
      <c r="K931" t="s">
        <v>74</v>
      </c>
      <c r="L931" t="s">
        <v>74</v>
      </c>
      <c r="M931" t="s">
        <v>78</v>
      </c>
      <c r="N931" t="s">
        <v>79</v>
      </c>
      <c r="O931" t="s">
        <v>74</v>
      </c>
      <c r="P931" t="s">
        <v>74</v>
      </c>
      <c r="Q931" t="s">
        <v>74</v>
      </c>
      <c r="R931" t="s">
        <v>74</v>
      </c>
      <c r="S931" t="s">
        <v>74</v>
      </c>
      <c r="T931" t="s">
        <v>74</v>
      </c>
      <c r="U931" t="s">
        <v>17864</v>
      </c>
      <c r="V931" t="s">
        <v>17865</v>
      </c>
      <c r="W931" t="s">
        <v>17866</v>
      </c>
      <c r="X931" t="s">
        <v>17867</v>
      </c>
      <c r="Y931" t="s">
        <v>17868</v>
      </c>
      <c r="Z931" t="s">
        <v>17869</v>
      </c>
      <c r="AA931" t="s">
        <v>74</v>
      </c>
      <c r="AB931" t="s">
        <v>17870</v>
      </c>
      <c r="AC931" t="s">
        <v>17871</v>
      </c>
      <c r="AD931" t="s">
        <v>17872</v>
      </c>
      <c r="AE931" t="s">
        <v>17873</v>
      </c>
      <c r="AF931" t="s">
        <v>74</v>
      </c>
      <c r="AG931">
        <v>9</v>
      </c>
      <c r="AH931">
        <v>7</v>
      </c>
      <c r="AI931">
        <v>7</v>
      </c>
      <c r="AJ931">
        <v>0</v>
      </c>
      <c r="AK931">
        <v>3</v>
      </c>
      <c r="AL931" t="s">
        <v>4034</v>
      </c>
      <c r="AM931" t="s">
        <v>4035</v>
      </c>
      <c r="AN931" t="s">
        <v>4036</v>
      </c>
      <c r="AO931" t="s">
        <v>7748</v>
      </c>
      <c r="AP931" t="s">
        <v>7749</v>
      </c>
      <c r="AQ931" t="s">
        <v>74</v>
      </c>
      <c r="AR931" t="s">
        <v>7750</v>
      </c>
      <c r="AS931" t="s">
        <v>7751</v>
      </c>
      <c r="AT931" t="s">
        <v>17874</v>
      </c>
      <c r="AU931">
        <v>2018</v>
      </c>
      <c r="AV931">
        <v>45</v>
      </c>
      <c r="AW931">
        <v>20</v>
      </c>
      <c r="AX931" t="s">
        <v>74</v>
      </c>
      <c r="AY931" t="s">
        <v>74</v>
      </c>
      <c r="AZ931" t="s">
        <v>74</v>
      </c>
      <c r="BA931" t="s">
        <v>74</v>
      </c>
      <c r="BB931">
        <v>11173</v>
      </c>
      <c r="BC931">
        <v>11176</v>
      </c>
      <c r="BD931" t="s">
        <v>74</v>
      </c>
      <c r="BE931" t="s">
        <v>17875</v>
      </c>
      <c r="BF931" t="str">
        <f>HYPERLINK("http://dx.doi.org/10.1029/2018GL080366","http://dx.doi.org/10.1029/2018GL080366")</f>
        <v>http://dx.doi.org/10.1029/2018GL080366</v>
      </c>
      <c r="BG931" t="s">
        <v>74</v>
      </c>
      <c r="BH931" t="s">
        <v>74</v>
      </c>
      <c r="BI931">
        <v>4</v>
      </c>
      <c r="BJ931" t="s">
        <v>884</v>
      </c>
      <c r="BK931" t="s">
        <v>101</v>
      </c>
      <c r="BL931" t="s">
        <v>528</v>
      </c>
      <c r="BM931" t="s">
        <v>17876</v>
      </c>
      <c r="BN931" t="s">
        <v>74</v>
      </c>
      <c r="BO931" t="s">
        <v>162</v>
      </c>
      <c r="BP931" t="s">
        <v>74</v>
      </c>
      <c r="BQ931" t="s">
        <v>74</v>
      </c>
      <c r="BR931" t="s">
        <v>104</v>
      </c>
      <c r="BS931" t="s">
        <v>17877</v>
      </c>
      <c r="BT931" t="str">
        <f>HYPERLINK("https%3A%2F%2Fwww.webofscience.com%2Fwos%2Fwoscc%2Ffull-record%2FWOS:000451510500043","View Full Record in Web of Science")</f>
        <v>View Full Record in Web of Science</v>
      </c>
    </row>
    <row r="932" spans="1:72" x14ac:dyDescent="0.15">
      <c r="A932" t="s">
        <v>72</v>
      </c>
      <c r="B932" t="s">
        <v>17878</v>
      </c>
      <c r="C932" t="s">
        <v>74</v>
      </c>
      <c r="D932" t="s">
        <v>74</v>
      </c>
      <c r="E932" t="s">
        <v>74</v>
      </c>
      <c r="F932" t="s">
        <v>17879</v>
      </c>
      <c r="G932" t="s">
        <v>74</v>
      </c>
      <c r="H932" t="s">
        <v>74</v>
      </c>
      <c r="I932" t="s">
        <v>17880</v>
      </c>
      <c r="J932" t="s">
        <v>7735</v>
      </c>
      <c r="K932" t="s">
        <v>74</v>
      </c>
      <c r="L932" t="s">
        <v>74</v>
      </c>
      <c r="M932" t="s">
        <v>78</v>
      </c>
      <c r="N932" t="s">
        <v>79</v>
      </c>
      <c r="O932" t="s">
        <v>74</v>
      </c>
      <c r="P932" t="s">
        <v>74</v>
      </c>
      <c r="Q932" t="s">
        <v>74</v>
      </c>
      <c r="R932" t="s">
        <v>74</v>
      </c>
      <c r="S932" t="s">
        <v>74</v>
      </c>
      <c r="T932" t="s">
        <v>74</v>
      </c>
      <c r="U932" t="s">
        <v>17881</v>
      </c>
      <c r="V932" t="s">
        <v>17882</v>
      </c>
      <c r="W932" t="s">
        <v>17883</v>
      </c>
      <c r="X932" t="s">
        <v>17884</v>
      </c>
      <c r="Y932" t="s">
        <v>17885</v>
      </c>
      <c r="Z932" t="s">
        <v>17886</v>
      </c>
      <c r="AA932" t="s">
        <v>17887</v>
      </c>
      <c r="AB932" t="s">
        <v>17888</v>
      </c>
      <c r="AC932" t="s">
        <v>17889</v>
      </c>
      <c r="AD932" t="s">
        <v>17890</v>
      </c>
      <c r="AE932" t="s">
        <v>17891</v>
      </c>
      <c r="AF932" t="s">
        <v>74</v>
      </c>
      <c r="AG932">
        <v>61</v>
      </c>
      <c r="AH932">
        <v>24</v>
      </c>
      <c r="AI932">
        <v>29</v>
      </c>
      <c r="AJ932">
        <v>1</v>
      </c>
      <c r="AK932">
        <v>11</v>
      </c>
      <c r="AL932" t="s">
        <v>4034</v>
      </c>
      <c r="AM932" t="s">
        <v>4035</v>
      </c>
      <c r="AN932" t="s">
        <v>4036</v>
      </c>
      <c r="AO932" t="s">
        <v>7748</v>
      </c>
      <c r="AP932" t="s">
        <v>7749</v>
      </c>
      <c r="AQ932" t="s">
        <v>74</v>
      </c>
      <c r="AR932" t="s">
        <v>7750</v>
      </c>
      <c r="AS932" t="s">
        <v>7751</v>
      </c>
      <c r="AT932" t="s">
        <v>17874</v>
      </c>
      <c r="AU932">
        <v>2018</v>
      </c>
      <c r="AV932">
        <v>45</v>
      </c>
      <c r="AW932">
        <v>20</v>
      </c>
      <c r="AX932" t="s">
        <v>74</v>
      </c>
      <c r="AY932" t="s">
        <v>74</v>
      </c>
      <c r="AZ932" t="s">
        <v>74</v>
      </c>
      <c r="BA932" t="s">
        <v>74</v>
      </c>
      <c r="BB932">
        <v>11187</v>
      </c>
      <c r="BC932">
        <v>11196</v>
      </c>
      <c r="BD932" t="s">
        <v>74</v>
      </c>
      <c r="BE932" t="s">
        <v>17892</v>
      </c>
      <c r="BF932" t="str">
        <f>HYPERLINK("http://dx.doi.org/10.1029/2018GL079665","http://dx.doi.org/10.1029/2018GL079665")</f>
        <v>http://dx.doi.org/10.1029/2018GL079665</v>
      </c>
      <c r="BG932" t="s">
        <v>74</v>
      </c>
      <c r="BH932" t="s">
        <v>74</v>
      </c>
      <c r="BI932">
        <v>10</v>
      </c>
      <c r="BJ932" t="s">
        <v>884</v>
      </c>
      <c r="BK932" t="s">
        <v>101</v>
      </c>
      <c r="BL932" t="s">
        <v>528</v>
      </c>
      <c r="BM932" t="s">
        <v>17876</v>
      </c>
      <c r="BN932" t="s">
        <v>74</v>
      </c>
      <c r="BO932" t="s">
        <v>4470</v>
      </c>
      <c r="BP932" t="s">
        <v>74</v>
      </c>
      <c r="BQ932" t="s">
        <v>74</v>
      </c>
      <c r="BR932" t="s">
        <v>104</v>
      </c>
      <c r="BS932" t="s">
        <v>17893</v>
      </c>
      <c r="BT932" t="str">
        <f>HYPERLINK("https%3A%2F%2Fwww.webofscience.com%2Fwos%2Fwoscc%2Ffull-record%2FWOS:000451510500045","View Full Record in Web of Science")</f>
        <v>View Full Record in Web of Science</v>
      </c>
    </row>
    <row r="933" spans="1:72" x14ac:dyDescent="0.15">
      <c r="A933" t="s">
        <v>72</v>
      </c>
      <c r="B933" t="s">
        <v>17894</v>
      </c>
      <c r="C933" t="s">
        <v>74</v>
      </c>
      <c r="D933" t="s">
        <v>74</v>
      </c>
      <c r="E933" t="s">
        <v>74</v>
      </c>
      <c r="F933" t="s">
        <v>17895</v>
      </c>
      <c r="G933" t="s">
        <v>74</v>
      </c>
      <c r="H933" t="s">
        <v>74</v>
      </c>
      <c r="I933" t="s">
        <v>17896</v>
      </c>
      <c r="J933" t="s">
        <v>7735</v>
      </c>
      <c r="K933" t="s">
        <v>74</v>
      </c>
      <c r="L933" t="s">
        <v>74</v>
      </c>
      <c r="M933" t="s">
        <v>78</v>
      </c>
      <c r="N933" t="s">
        <v>79</v>
      </c>
      <c r="O933" t="s">
        <v>74</v>
      </c>
      <c r="P933" t="s">
        <v>74</v>
      </c>
      <c r="Q933" t="s">
        <v>74</v>
      </c>
      <c r="R933" t="s">
        <v>74</v>
      </c>
      <c r="S933" t="s">
        <v>74</v>
      </c>
      <c r="T933" t="s">
        <v>74</v>
      </c>
      <c r="U933" t="s">
        <v>17897</v>
      </c>
      <c r="V933" t="s">
        <v>17898</v>
      </c>
      <c r="W933" t="s">
        <v>17899</v>
      </c>
      <c r="X933" t="s">
        <v>17900</v>
      </c>
      <c r="Y933" t="s">
        <v>17901</v>
      </c>
      <c r="Z933" t="s">
        <v>17902</v>
      </c>
      <c r="AA933" t="s">
        <v>17903</v>
      </c>
      <c r="AB933" t="s">
        <v>17904</v>
      </c>
      <c r="AC933" t="s">
        <v>17905</v>
      </c>
      <c r="AD933" t="s">
        <v>17906</v>
      </c>
      <c r="AE933" t="s">
        <v>17907</v>
      </c>
      <c r="AF933" t="s">
        <v>74</v>
      </c>
      <c r="AG933">
        <v>23</v>
      </c>
      <c r="AH933">
        <v>25</v>
      </c>
      <c r="AI933">
        <v>27</v>
      </c>
      <c r="AJ933">
        <v>6</v>
      </c>
      <c r="AK933">
        <v>31</v>
      </c>
      <c r="AL933" t="s">
        <v>4034</v>
      </c>
      <c r="AM933" t="s">
        <v>4035</v>
      </c>
      <c r="AN933" t="s">
        <v>4036</v>
      </c>
      <c r="AO933" t="s">
        <v>7748</v>
      </c>
      <c r="AP933" t="s">
        <v>7749</v>
      </c>
      <c r="AQ933" t="s">
        <v>74</v>
      </c>
      <c r="AR933" t="s">
        <v>7750</v>
      </c>
      <c r="AS933" t="s">
        <v>7751</v>
      </c>
      <c r="AT933" t="s">
        <v>17874</v>
      </c>
      <c r="AU933">
        <v>2018</v>
      </c>
      <c r="AV933">
        <v>45</v>
      </c>
      <c r="AW933">
        <v>20</v>
      </c>
      <c r="AX933" t="s">
        <v>74</v>
      </c>
      <c r="AY933" t="s">
        <v>74</v>
      </c>
      <c r="AZ933" t="s">
        <v>74</v>
      </c>
      <c r="BA933" t="s">
        <v>74</v>
      </c>
      <c r="BB933">
        <v>11227</v>
      </c>
      <c r="BC933">
        <v>11234</v>
      </c>
      <c r="BD933" t="s">
        <v>74</v>
      </c>
      <c r="BE933" t="s">
        <v>17908</v>
      </c>
      <c r="BF933" t="str">
        <f>HYPERLINK("http://dx.doi.org/10.1029/2018GL080140","http://dx.doi.org/10.1029/2018GL080140")</f>
        <v>http://dx.doi.org/10.1029/2018GL080140</v>
      </c>
      <c r="BG933" t="s">
        <v>74</v>
      </c>
      <c r="BH933" t="s">
        <v>74</v>
      </c>
      <c r="BI933">
        <v>8</v>
      </c>
      <c r="BJ933" t="s">
        <v>884</v>
      </c>
      <c r="BK933" t="s">
        <v>101</v>
      </c>
      <c r="BL933" t="s">
        <v>528</v>
      </c>
      <c r="BM933" t="s">
        <v>17876</v>
      </c>
      <c r="BN933" t="s">
        <v>74</v>
      </c>
      <c r="BO933" t="s">
        <v>4470</v>
      </c>
      <c r="BP933" t="s">
        <v>74</v>
      </c>
      <c r="BQ933" t="s">
        <v>74</v>
      </c>
      <c r="BR933" t="s">
        <v>104</v>
      </c>
      <c r="BS933" t="s">
        <v>17909</v>
      </c>
      <c r="BT933" t="str">
        <f>HYPERLINK("https%3A%2F%2Fwww.webofscience.com%2Fwos%2Fwoscc%2Ffull-record%2FWOS:000451510500049","View Full Record in Web of Science")</f>
        <v>View Full Record in Web of Science</v>
      </c>
    </row>
    <row r="934" spans="1:72" x14ac:dyDescent="0.15">
      <c r="A934" t="s">
        <v>72</v>
      </c>
      <c r="B934" t="s">
        <v>17910</v>
      </c>
      <c r="C934" t="s">
        <v>74</v>
      </c>
      <c r="D934" t="s">
        <v>74</v>
      </c>
      <c r="E934" t="s">
        <v>74</v>
      </c>
      <c r="F934" t="s">
        <v>17911</v>
      </c>
      <c r="G934" t="s">
        <v>74</v>
      </c>
      <c r="H934" t="s">
        <v>74</v>
      </c>
      <c r="I934" t="s">
        <v>17912</v>
      </c>
      <c r="J934" t="s">
        <v>7735</v>
      </c>
      <c r="K934" t="s">
        <v>74</v>
      </c>
      <c r="L934" t="s">
        <v>74</v>
      </c>
      <c r="M934" t="s">
        <v>78</v>
      </c>
      <c r="N934" t="s">
        <v>79</v>
      </c>
      <c r="O934" t="s">
        <v>74</v>
      </c>
      <c r="P934" t="s">
        <v>74</v>
      </c>
      <c r="Q934" t="s">
        <v>74</v>
      </c>
      <c r="R934" t="s">
        <v>74</v>
      </c>
      <c r="S934" t="s">
        <v>74</v>
      </c>
      <c r="T934" t="s">
        <v>74</v>
      </c>
      <c r="U934" t="s">
        <v>17913</v>
      </c>
      <c r="V934" t="s">
        <v>17914</v>
      </c>
      <c r="W934" t="s">
        <v>17915</v>
      </c>
      <c r="X934" t="s">
        <v>17916</v>
      </c>
      <c r="Y934" t="s">
        <v>17917</v>
      </c>
      <c r="Z934" t="s">
        <v>17918</v>
      </c>
      <c r="AA934" t="s">
        <v>17919</v>
      </c>
      <c r="AB934" t="s">
        <v>17920</v>
      </c>
      <c r="AC934" t="s">
        <v>17921</v>
      </c>
      <c r="AD934" t="s">
        <v>17922</v>
      </c>
      <c r="AE934" t="s">
        <v>17923</v>
      </c>
      <c r="AF934" t="s">
        <v>74</v>
      </c>
      <c r="AG934">
        <v>55</v>
      </c>
      <c r="AH934">
        <v>15</v>
      </c>
      <c r="AI934">
        <v>15</v>
      </c>
      <c r="AJ934">
        <v>2</v>
      </c>
      <c r="AK934">
        <v>17</v>
      </c>
      <c r="AL934" t="s">
        <v>4034</v>
      </c>
      <c r="AM934" t="s">
        <v>4035</v>
      </c>
      <c r="AN934" t="s">
        <v>4036</v>
      </c>
      <c r="AO934" t="s">
        <v>7748</v>
      </c>
      <c r="AP934" t="s">
        <v>7749</v>
      </c>
      <c r="AQ934" t="s">
        <v>74</v>
      </c>
      <c r="AR934" t="s">
        <v>7750</v>
      </c>
      <c r="AS934" t="s">
        <v>7751</v>
      </c>
      <c r="AT934" t="s">
        <v>17874</v>
      </c>
      <c r="AU934">
        <v>2018</v>
      </c>
      <c r="AV934">
        <v>45</v>
      </c>
      <c r="AW934">
        <v>20</v>
      </c>
      <c r="AX934" t="s">
        <v>74</v>
      </c>
      <c r="AY934" t="s">
        <v>74</v>
      </c>
      <c r="AZ934" t="s">
        <v>74</v>
      </c>
      <c r="BA934" t="s">
        <v>74</v>
      </c>
      <c r="BB934">
        <v>11247</v>
      </c>
      <c r="BC934">
        <v>11256</v>
      </c>
      <c r="BD934" t="s">
        <v>74</v>
      </c>
      <c r="BE934" t="s">
        <v>17924</v>
      </c>
      <c r="BF934" t="str">
        <f>HYPERLINK("http://dx.doi.org/10.1029/2018GL080074","http://dx.doi.org/10.1029/2018GL080074")</f>
        <v>http://dx.doi.org/10.1029/2018GL080074</v>
      </c>
      <c r="BG934" t="s">
        <v>74</v>
      </c>
      <c r="BH934" t="s">
        <v>74</v>
      </c>
      <c r="BI934">
        <v>10</v>
      </c>
      <c r="BJ934" t="s">
        <v>884</v>
      </c>
      <c r="BK934" t="s">
        <v>101</v>
      </c>
      <c r="BL934" t="s">
        <v>528</v>
      </c>
      <c r="BM934" t="s">
        <v>17876</v>
      </c>
      <c r="BN934" t="s">
        <v>74</v>
      </c>
      <c r="BO934" t="s">
        <v>5627</v>
      </c>
      <c r="BP934" t="s">
        <v>74</v>
      </c>
      <c r="BQ934" t="s">
        <v>74</v>
      </c>
      <c r="BR934" t="s">
        <v>104</v>
      </c>
      <c r="BS934" t="s">
        <v>17925</v>
      </c>
      <c r="BT934" t="str">
        <f>HYPERLINK("https%3A%2F%2Fwww.webofscience.com%2Fwos%2Fwoscc%2Ffull-record%2FWOS:000451510500051","View Full Record in Web of Science")</f>
        <v>View Full Record in Web of Science</v>
      </c>
    </row>
    <row r="935" spans="1:72" x14ac:dyDescent="0.15">
      <c r="A935" t="s">
        <v>72</v>
      </c>
      <c r="B935" t="s">
        <v>17926</v>
      </c>
      <c r="C935" t="s">
        <v>74</v>
      </c>
      <c r="D935" t="s">
        <v>74</v>
      </c>
      <c r="E935" t="s">
        <v>74</v>
      </c>
      <c r="F935" t="s">
        <v>17927</v>
      </c>
      <c r="G935" t="s">
        <v>74</v>
      </c>
      <c r="H935" t="s">
        <v>74</v>
      </c>
      <c r="I935" t="s">
        <v>17928</v>
      </c>
      <c r="J935" t="s">
        <v>7735</v>
      </c>
      <c r="K935" t="s">
        <v>74</v>
      </c>
      <c r="L935" t="s">
        <v>74</v>
      </c>
      <c r="M935" t="s">
        <v>78</v>
      </c>
      <c r="N935" t="s">
        <v>79</v>
      </c>
      <c r="O935" t="s">
        <v>74</v>
      </c>
      <c r="P935" t="s">
        <v>74</v>
      </c>
      <c r="Q935" t="s">
        <v>74</v>
      </c>
      <c r="R935" t="s">
        <v>74</v>
      </c>
      <c r="S935" t="s">
        <v>74</v>
      </c>
      <c r="T935" t="s">
        <v>74</v>
      </c>
      <c r="U935" t="s">
        <v>17929</v>
      </c>
      <c r="V935" t="s">
        <v>17930</v>
      </c>
      <c r="W935" t="s">
        <v>17931</v>
      </c>
      <c r="X935" t="s">
        <v>17932</v>
      </c>
      <c r="Y935" t="s">
        <v>17933</v>
      </c>
      <c r="Z935" t="s">
        <v>17934</v>
      </c>
      <c r="AA935" t="s">
        <v>17935</v>
      </c>
      <c r="AB935" t="s">
        <v>17936</v>
      </c>
      <c r="AC935" t="s">
        <v>17937</v>
      </c>
      <c r="AD935" t="s">
        <v>17938</v>
      </c>
      <c r="AE935" t="s">
        <v>17939</v>
      </c>
      <c r="AF935" t="s">
        <v>74</v>
      </c>
      <c r="AG935">
        <v>32</v>
      </c>
      <c r="AH935">
        <v>55</v>
      </c>
      <c r="AI935">
        <v>58</v>
      </c>
      <c r="AJ935">
        <v>1</v>
      </c>
      <c r="AK935">
        <v>12</v>
      </c>
      <c r="AL935" t="s">
        <v>4034</v>
      </c>
      <c r="AM935" t="s">
        <v>4035</v>
      </c>
      <c r="AN935" t="s">
        <v>4036</v>
      </c>
      <c r="AO935" t="s">
        <v>7748</v>
      </c>
      <c r="AP935" t="s">
        <v>7749</v>
      </c>
      <c r="AQ935" t="s">
        <v>74</v>
      </c>
      <c r="AR935" t="s">
        <v>7750</v>
      </c>
      <c r="AS935" t="s">
        <v>7751</v>
      </c>
      <c r="AT935" t="s">
        <v>17874</v>
      </c>
      <c r="AU935">
        <v>2018</v>
      </c>
      <c r="AV935">
        <v>45</v>
      </c>
      <c r="AW935">
        <v>20</v>
      </c>
      <c r="AX935" t="s">
        <v>74</v>
      </c>
      <c r="AY935" t="s">
        <v>74</v>
      </c>
      <c r="AZ935" t="s">
        <v>74</v>
      </c>
      <c r="BA935" t="s">
        <v>74</v>
      </c>
      <c r="BB935">
        <v>11293</v>
      </c>
      <c r="BC935">
        <v>11299</v>
      </c>
      <c r="BD935" t="s">
        <v>74</v>
      </c>
      <c r="BE935" t="s">
        <v>17940</v>
      </c>
      <c r="BF935" t="str">
        <f>HYPERLINK("http://dx.doi.org/10.1029/2018GL080171","http://dx.doi.org/10.1029/2018GL080171")</f>
        <v>http://dx.doi.org/10.1029/2018GL080171</v>
      </c>
      <c r="BG935" t="s">
        <v>74</v>
      </c>
      <c r="BH935" t="s">
        <v>74</v>
      </c>
      <c r="BI935">
        <v>7</v>
      </c>
      <c r="BJ935" t="s">
        <v>884</v>
      </c>
      <c r="BK935" t="s">
        <v>101</v>
      </c>
      <c r="BL935" t="s">
        <v>528</v>
      </c>
      <c r="BM935" t="s">
        <v>17876</v>
      </c>
      <c r="BN935" t="s">
        <v>74</v>
      </c>
      <c r="BO935" t="s">
        <v>5797</v>
      </c>
      <c r="BP935" t="s">
        <v>74</v>
      </c>
      <c r="BQ935" t="s">
        <v>74</v>
      </c>
      <c r="BR935" t="s">
        <v>104</v>
      </c>
      <c r="BS935" t="s">
        <v>17941</v>
      </c>
      <c r="BT935" t="str">
        <f>HYPERLINK("https%3A%2F%2Fwww.webofscience.com%2Fwos%2Fwoscc%2Ffull-record%2FWOS:000451510500056","View Full Record in Web of Science")</f>
        <v>View Full Record in Web of Science</v>
      </c>
    </row>
    <row r="936" spans="1:72" x14ac:dyDescent="0.15">
      <c r="A936" t="s">
        <v>72</v>
      </c>
      <c r="B936" t="s">
        <v>17942</v>
      </c>
      <c r="C936" t="s">
        <v>74</v>
      </c>
      <c r="D936" t="s">
        <v>74</v>
      </c>
      <c r="E936" t="s">
        <v>74</v>
      </c>
      <c r="F936" t="s">
        <v>17943</v>
      </c>
      <c r="G936" t="s">
        <v>74</v>
      </c>
      <c r="H936" t="s">
        <v>74</v>
      </c>
      <c r="I936" t="s">
        <v>17944</v>
      </c>
      <c r="J936" t="s">
        <v>7735</v>
      </c>
      <c r="K936" t="s">
        <v>74</v>
      </c>
      <c r="L936" t="s">
        <v>74</v>
      </c>
      <c r="M936" t="s">
        <v>78</v>
      </c>
      <c r="N936" t="s">
        <v>79</v>
      </c>
      <c r="O936" t="s">
        <v>74</v>
      </c>
      <c r="P936" t="s">
        <v>74</v>
      </c>
      <c r="Q936" t="s">
        <v>74</v>
      </c>
      <c r="R936" t="s">
        <v>74</v>
      </c>
      <c r="S936" t="s">
        <v>74</v>
      </c>
      <c r="T936" t="s">
        <v>74</v>
      </c>
      <c r="U936" t="s">
        <v>17945</v>
      </c>
      <c r="V936" t="s">
        <v>17946</v>
      </c>
      <c r="W936" t="s">
        <v>17947</v>
      </c>
      <c r="X936" t="s">
        <v>17948</v>
      </c>
      <c r="Y936" t="s">
        <v>17949</v>
      </c>
      <c r="Z936" t="s">
        <v>17950</v>
      </c>
      <c r="AA936" t="s">
        <v>17951</v>
      </c>
      <c r="AB936" t="s">
        <v>17952</v>
      </c>
      <c r="AC936" t="s">
        <v>17953</v>
      </c>
      <c r="AD936" t="s">
        <v>17954</v>
      </c>
      <c r="AE936" t="s">
        <v>17955</v>
      </c>
      <c r="AF936" t="s">
        <v>74</v>
      </c>
      <c r="AG936">
        <v>39</v>
      </c>
      <c r="AH936">
        <v>24</v>
      </c>
      <c r="AI936">
        <v>24</v>
      </c>
      <c r="AJ936">
        <v>1</v>
      </c>
      <c r="AK936">
        <v>10</v>
      </c>
      <c r="AL936" t="s">
        <v>4034</v>
      </c>
      <c r="AM936" t="s">
        <v>4035</v>
      </c>
      <c r="AN936" t="s">
        <v>4036</v>
      </c>
      <c r="AO936" t="s">
        <v>7748</v>
      </c>
      <c r="AP936" t="s">
        <v>7749</v>
      </c>
      <c r="AQ936" t="s">
        <v>74</v>
      </c>
      <c r="AR936" t="s">
        <v>7750</v>
      </c>
      <c r="AS936" t="s">
        <v>7751</v>
      </c>
      <c r="AT936" t="s">
        <v>17874</v>
      </c>
      <c r="AU936">
        <v>2018</v>
      </c>
      <c r="AV936">
        <v>45</v>
      </c>
      <c r="AW936">
        <v>20</v>
      </c>
      <c r="AX936" t="s">
        <v>74</v>
      </c>
      <c r="AY936" t="s">
        <v>74</v>
      </c>
      <c r="AZ936" t="s">
        <v>74</v>
      </c>
      <c r="BA936" t="s">
        <v>74</v>
      </c>
      <c r="BB936">
        <v>11406</v>
      </c>
      <c r="BC936">
        <v>11413</v>
      </c>
      <c r="BD936" t="s">
        <v>74</v>
      </c>
      <c r="BE936" t="s">
        <v>17956</v>
      </c>
      <c r="BF936" t="str">
        <f>HYPERLINK("http://dx.doi.org/10.1029/2018GL079037","http://dx.doi.org/10.1029/2018GL079037")</f>
        <v>http://dx.doi.org/10.1029/2018GL079037</v>
      </c>
      <c r="BG936" t="s">
        <v>74</v>
      </c>
      <c r="BH936" t="s">
        <v>74</v>
      </c>
      <c r="BI936">
        <v>8</v>
      </c>
      <c r="BJ936" t="s">
        <v>884</v>
      </c>
      <c r="BK936" t="s">
        <v>101</v>
      </c>
      <c r="BL936" t="s">
        <v>528</v>
      </c>
      <c r="BM936" t="s">
        <v>17876</v>
      </c>
      <c r="BN936" t="s">
        <v>74</v>
      </c>
      <c r="BO936" t="s">
        <v>4426</v>
      </c>
      <c r="BP936" t="s">
        <v>74</v>
      </c>
      <c r="BQ936" t="s">
        <v>74</v>
      </c>
      <c r="BR936" t="s">
        <v>104</v>
      </c>
      <c r="BS936" t="s">
        <v>17957</v>
      </c>
      <c r="BT936" t="str">
        <f>HYPERLINK("https%3A%2F%2Fwww.webofscience.com%2Fwos%2Fwoscc%2Ffull-record%2FWOS:000451510500069","View Full Record in Web of Science")</f>
        <v>View Full Record in Web of Science</v>
      </c>
    </row>
    <row r="937" spans="1:72" x14ac:dyDescent="0.15">
      <c r="A937" t="s">
        <v>72</v>
      </c>
      <c r="B937" t="s">
        <v>17958</v>
      </c>
      <c r="C937" t="s">
        <v>74</v>
      </c>
      <c r="D937" t="s">
        <v>74</v>
      </c>
      <c r="E937" t="s">
        <v>74</v>
      </c>
      <c r="F937" t="s">
        <v>17959</v>
      </c>
      <c r="G937" t="s">
        <v>74</v>
      </c>
      <c r="H937" t="s">
        <v>74</v>
      </c>
      <c r="I937" t="s">
        <v>17960</v>
      </c>
      <c r="J937" t="s">
        <v>8449</v>
      </c>
      <c r="K937" t="s">
        <v>74</v>
      </c>
      <c r="L937" t="s">
        <v>74</v>
      </c>
      <c r="M937" t="s">
        <v>78</v>
      </c>
      <c r="N937" t="s">
        <v>79</v>
      </c>
      <c r="O937" t="s">
        <v>74</v>
      </c>
      <c r="P937" t="s">
        <v>74</v>
      </c>
      <c r="Q937" t="s">
        <v>74</v>
      </c>
      <c r="R937" t="s">
        <v>74</v>
      </c>
      <c r="S937" t="s">
        <v>74</v>
      </c>
      <c r="T937" t="s">
        <v>17961</v>
      </c>
      <c r="U937" t="s">
        <v>17962</v>
      </c>
      <c r="V937" t="s">
        <v>17963</v>
      </c>
      <c r="W937" t="s">
        <v>17964</v>
      </c>
      <c r="X937" t="s">
        <v>17965</v>
      </c>
      <c r="Y937" t="s">
        <v>17966</v>
      </c>
      <c r="Z937" t="s">
        <v>17967</v>
      </c>
      <c r="AA937" t="s">
        <v>17968</v>
      </c>
      <c r="AB937" t="s">
        <v>17969</v>
      </c>
      <c r="AC937" t="s">
        <v>17970</v>
      </c>
      <c r="AD937" t="s">
        <v>17971</v>
      </c>
      <c r="AE937" t="s">
        <v>17972</v>
      </c>
      <c r="AF937" t="s">
        <v>74</v>
      </c>
      <c r="AG937">
        <v>98</v>
      </c>
      <c r="AH937">
        <v>24</v>
      </c>
      <c r="AI937">
        <v>25</v>
      </c>
      <c r="AJ937">
        <v>0</v>
      </c>
      <c r="AK937">
        <v>24</v>
      </c>
      <c r="AL937" t="s">
        <v>7949</v>
      </c>
      <c r="AM937" t="s">
        <v>7950</v>
      </c>
      <c r="AN937" t="s">
        <v>7951</v>
      </c>
      <c r="AO937" t="s">
        <v>74</v>
      </c>
      <c r="AP937" t="s">
        <v>8462</v>
      </c>
      <c r="AQ937" t="s">
        <v>74</v>
      </c>
      <c r="AR937" t="s">
        <v>8463</v>
      </c>
      <c r="AS937" t="s">
        <v>8464</v>
      </c>
      <c r="AT937" t="s">
        <v>17973</v>
      </c>
      <c r="AU937">
        <v>2018</v>
      </c>
      <c r="AV937">
        <v>5</v>
      </c>
      <c r="AW937" t="s">
        <v>74</v>
      </c>
      <c r="AX937" t="s">
        <v>74</v>
      </c>
      <c r="AY937" t="s">
        <v>74</v>
      </c>
      <c r="AZ937" t="s">
        <v>74</v>
      </c>
      <c r="BA937" t="s">
        <v>74</v>
      </c>
      <c r="BB937" t="s">
        <v>74</v>
      </c>
      <c r="BC937" t="s">
        <v>74</v>
      </c>
      <c r="BD937">
        <v>381</v>
      </c>
      <c r="BE937" t="s">
        <v>17974</v>
      </c>
      <c r="BF937" t="str">
        <f>HYPERLINK("http://dx.doi.org/10.3389/fmars.2018.00381","http://dx.doi.org/10.3389/fmars.2018.00381")</f>
        <v>http://dx.doi.org/10.3389/fmars.2018.00381</v>
      </c>
      <c r="BG937" t="s">
        <v>74</v>
      </c>
      <c r="BH937" t="s">
        <v>74</v>
      </c>
      <c r="BI937">
        <v>14</v>
      </c>
      <c r="BJ937" t="s">
        <v>3360</v>
      </c>
      <c r="BK937" t="s">
        <v>101</v>
      </c>
      <c r="BL937" t="s">
        <v>3361</v>
      </c>
      <c r="BM937" t="s">
        <v>17975</v>
      </c>
      <c r="BN937" t="s">
        <v>74</v>
      </c>
      <c r="BO937" t="s">
        <v>221</v>
      </c>
      <c r="BP937" t="s">
        <v>74</v>
      </c>
      <c r="BQ937" t="s">
        <v>74</v>
      </c>
      <c r="BR937" t="s">
        <v>104</v>
      </c>
      <c r="BS937" t="s">
        <v>17976</v>
      </c>
      <c r="BT937" t="str">
        <f>HYPERLINK("https%3A%2F%2Fwww.webofscience.com%2Fwos%2Fwoscc%2Ffull-record%2FWOS:000457533200001","View Full Record in Web of Science")</f>
        <v>View Full Record in Web of Science</v>
      </c>
    </row>
    <row r="938" spans="1:72" x14ac:dyDescent="0.15">
      <c r="A938" t="s">
        <v>72</v>
      </c>
      <c r="B938" t="s">
        <v>17977</v>
      </c>
      <c r="C938" t="s">
        <v>74</v>
      </c>
      <c r="D938" t="s">
        <v>74</v>
      </c>
      <c r="E938" t="s">
        <v>74</v>
      </c>
      <c r="F938" t="s">
        <v>17978</v>
      </c>
      <c r="G938" t="s">
        <v>74</v>
      </c>
      <c r="H938" t="s">
        <v>74</v>
      </c>
      <c r="I938" t="s">
        <v>17979</v>
      </c>
      <c r="J938" t="s">
        <v>8182</v>
      </c>
      <c r="K938" t="s">
        <v>74</v>
      </c>
      <c r="L938" t="s">
        <v>74</v>
      </c>
      <c r="M938" t="s">
        <v>78</v>
      </c>
      <c r="N938" t="s">
        <v>79</v>
      </c>
      <c r="O938" t="s">
        <v>74</v>
      </c>
      <c r="P938" t="s">
        <v>74</v>
      </c>
      <c r="Q938" t="s">
        <v>74</v>
      </c>
      <c r="R938" t="s">
        <v>74</v>
      </c>
      <c r="S938" t="s">
        <v>74</v>
      </c>
      <c r="T938" t="s">
        <v>74</v>
      </c>
      <c r="U938" t="s">
        <v>17980</v>
      </c>
      <c r="V938" t="s">
        <v>17981</v>
      </c>
      <c r="W938" t="s">
        <v>17982</v>
      </c>
      <c r="X938" t="s">
        <v>17983</v>
      </c>
      <c r="Y938" t="s">
        <v>17984</v>
      </c>
      <c r="Z938" t="s">
        <v>17985</v>
      </c>
      <c r="AA938" t="s">
        <v>17986</v>
      </c>
      <c r="AB938" t="s">
        <v>17987</v>
      </c>
      <c r="AC938" t="s">
        <v>74</v>
      </c>
      <c r="AD938" t="s">
        <v>74</v>
      </c>
      <c r="AE938" t="s">
        <v>74</v>
      </c>
      <c r="AF938" t="s">
        <v>74</v>
      </c>
      <c r="AG938">
        <v>235</v>
      </c>
      <c r="AH938">
        <v>10</v>
      </c>
      <c r="AI938">
        <v>11</v>
      </c>
      <c r="AJ938">
        <v>4</v>
      </c>
      <c r="AK938">
        <v>21</v>
      </c>
      <c r="AL938" t="s">
        <v>7866</v>
      </c>
      <c r="AM938" t="s">
        <v>7867</v>
      </c>
      <c r="AN938" t="s">
        <v>7868</v>
      </c>
      <c r="AO938" t="s">
        <v>8194</v>
      </c>
      <c r="AP938" t="s">
        <v>8195</v>
      </c>
      <c r="AQ938" t="s">
        <v>74</v>
      </c>
      <c r="AR938" t="s">
        <v>8196</v>
      </c>
      <c r="AS938" t="s">
        <v>8197</v>
      </c>
      <c r="AT938" t="s">
        <v>17973</v>
      </c>
      <c r="AU938">
        <v>2018</v>
      </c>
      <c r="AV938">
        <v>18</v>
      </c>
      <c r="AW938">
        <v>20</v>
      </c>
      <c r="AX938" t="s">
        <v>74</v>
      </c>
      <c r="AY938" t="s">
        <v>74</v>
      </c>
      <c r="AZ938" t="s">
        <v>74</v>
      </c>
      <c r="BA938" t="s">
        <v>74</v>
      </c>
      <c r="BB938">
        <v>15363</v>
      </c>
      <c r="BC938">
        <v>15386</v>
      </c>
      <c r="BD938" t="s">
        <v>74</v>
      </c>
      <c r="BE938" t="s">
        <v>17988</v>
      </c>
      <c r="BF938" t="str">
        <f>HYPERLINK("http://dx.doi.org/10.5194/acp-18-15363-2018","http://dx.doi.org/10.5194/acp-18-15363-2018")</f>
        <v>http://dx.doi.org/10.5194/acp-18-15363-2018</v>
      </c>
      <c r="BG938" t="s">
        <v>74</v>
      </c>
      <c r="BH938" t="s">
        <v>74</v>
      </c>
      <c r="BI938">
        <v>24</v>
      </c>
      <c r="BJ938" t="s">
        <v>2635</v>
      </c>
      <c r="BK938" t="s">
        <v>101</v>
      </c>
      <c r="BL938" t="s">
        <v>2636</v>
      </c>
      <c r="BM938" t="s">
        <v>17989</v>
      </c>
      <c r="BN938" t="s">
        <v>74</v>
      </c>
      <c r="BO938" t="s">
        <v>4984</v>
      </c>
      <c r="BP938" t="s">
        <v>74</v>
      </c>
      <c r="BQ938" t="s">
        <v>74</v>
      </c>
      <c r="BR938" t="s">
        <v>104</v>
      </c>
      <c r="BS938" t="s">
        <v>17990</v>
      </c>
      <c r="BT938" t="str">
        <f>HYPERLINK("https%3A%2F%2Fwww.webofscience.com%2Fwos%2Fwoscc%2Ffull-record%2FWOS:000448475400001","View Full Record in Web of Science")</f>
        <v>View Full Record in Web of Science</v>
      </c>
    </row>
    <row r="939" spans="1:72" x14ac:dyDescent="0.15">
      <c r="A939" t="s">
        <v>72</v>
      </c>
      <c r="B939" t="s">
        <v>17991</v>
      </c>
      <c r="C939" t="s">
        <v>74</v>
      </c>
      <c r="D939" t="s">
        <v>74</v>
      </c>
      <c r="E939" t="s">
        <v>74</v>
      </c>
      <c r="F939" t="s">
        <v>17992</v>
      </c>
      <c r="G939" t="s">
        <v>74</v>
      </c>
      <c r="H939" t="s">
        <v>74</v>
      </c>
      <c r="I939" t="s">
        <v>17993</v>
      </c>
      <c r="J939" t="s">
        <v>13918</v>
      </c>
      <c r="K939" t="s">
        <v>74</v>
      </c>
      <c r="L939" t="s">
        <v>74</v>
      </c>
      <c r="M939" t="s">
        <v>78</v>
      </c>
      <c r="N939" t="s">
        <v>79</v>
      </c>
      <c r="O939" t="s">
        <v>74</v>
      </c>
      <c r="P939" t="s">
        <v>74</v>
      </c>
      <c r="Q939" t="s">
        <v>74</v>
      </c>
      <c r="R939" t="s">
        <v>74</v>
      </c>
      <c r="S939" t="s">
        <v>74</v>
      </c>
      <c r="T939" t="s">
        <v>17994</v>
      </c>
      <c r="U939" t="s">
        <v>17995</v>
      </c>
      <c r="V939" t="s">
        <v>17996</v>
      </c>
      <c r="W939" t="s">
        <v>17997</v>
      </c>
      <c r="X939" t="s">
        <v>17998</v>
      </c>
      <c r="Y939" t="s">
        <v>17999</v>
      </c>
      <c r="Z939" t="s">
        <v>18000</v>
      </c>
      <c r="AA939" t="s">
        <v>18001</v>
      </c>
      <c r="AB939" t="s">
        <v>18002</v>
      </c>
      <c r="AC939" t="s">
        <v>18003</v>
      </c>
      <c r="AD939" t="s">
        <v>18004</v>
      </c>
      <c r="AE939" t="s">
        <v>18005</v>
      </c>
      <c r="AF939" t="s">
        <v>74</v>
      </c>
      <c r="AG939">
        <v>64</v>
      </c>
      <c r="AH939">
        <v>2</v>
      </c>
      <c r="AI939">
        <v>3</v>
      </c>
      <c r="AJ939">
        <v>0</v>
      </c>
      <c r="AK939">
        <v>19</v>
      </c>
      <c r="AL939" t="s">
        <v>985</v>
      </c>
      <c r="AM939" t="s">
        <v>986</v>
      </c>
      <c r="AN939" t="s">
        <v>987</v>
      </c>
      <c r="AO939" t="s">
        <v>13931</v>
      </c>
      <c r="AP939" t="s">
        <v>13932</v>
      </c>
      <c r="AQ939" t="s">
        <v>74</v>
      </c>
      <c r="AR939" t="s">
        <v>13933</v>
      </c>
      <c r="AS939" t="s">
        <v>13934</v>
      </c>
      <c r="AT939" t="s">
        <v>17973</v>
      </c>
      <c r="AU939">
        <v>2018</v>
      </c>
      <c r="AV939">
        <v>605</v>
      </c>
      <c r="AW939" t="s">
        <v>74</v>
      </c>
      <c r="AX939" t="s">
        <v>74</v>
      </c>
      <c r="AY939" t="s">
        <v>74</v>
      </c>
      <c r="AZ939" t="s">
        <v>74</v>
      </c>
      <c r="BA939" t="s">
        <v>74</v>
      </c>
      <c r="BB939">
        <v>49</v>
      </c>
      <c r="BC939">
        <v>59</v>
      </c>
      <c r="BD939" t="s">
        <v>74</v>
      </c>
      <c r="BE939" t="s">
        <v>18006</v>
      </c>
      <c r="BF939" t="str">
        <f>HYPERLINK("http://dx.doi.org/10.3354/meps12757","http://dx.doi.org/10.3354/meps12757")</f>
        <v>http://dx.doi.org/10.3354/meps12757</v>
      </c>
      <c r="BG939" t="s">
        <v>74</v>
      </c>
      <c r="BH939" t="s">
        <v>74</v>
      </c>
      <c r="BI939">
        <v>11</v>
      </c>
      <c r="BJ939" t="s">
        <v>13936</v>
      </c>
      <c r="BK939" t="s">
        <v>101</v>
      </c>
      <c r="BL939" t="s">
        <v>13937</v>
      </c>
      <c r="BM939" t="s">
        <v>18007</v>
      </c>
      <c r="BN939" t="s">
        <v>74</v>
      </c>
      <c r="BO939" t="s">
        <v>74</v>
      </c>
      <c r="BP939" t="s">
        <v>74</v>
      </c>
      <c r="BQ939" t="s">
        <v>74</v>
      </c>
      <c r="BR939" t="s">
        <v>104</v>
      </c>
      <c r="BS939" t="s">
        <v>18008</v>
      </c>
      <c r="BT939" t="str">
        <f>HYPERLINK("https%3A%2F%2Fwww.webofscience.com%2Fwos%2Fwoscc%2Ffull-record%2FWOS:000449165100004","View Full Record in Web of Science")</f>
        <v>View Full Record in Web of Science</v>
      </c>
    </row>
    <row r="940" spans="1:72" x14ac:dyDescent="0.15">
      <c r="A940" t="s">
        <v>72</v>
      </c>
      <c r="B940" t="s">
        <v>18009</v>
      </c>
      <c r="C940" t="s">
        <v>74</v>
      </c>
      <c r="D940" t="s">
        <v>74</v>
      </c>
      <c r="E940" t="s">
        <v>74</v>
      </c>
      <c r="F940" t="s">
        <v>18010</v>
      </c>
      <c r="G940" t="s">
        <v>74</v>
      </c>
      <c r="H940" t="s">
        <v>74</v>
      </c>
      <c r="I940" t="s">
        <v>18011</v>
      </c>
      <c r="J940" t="s">
        <v>7881</v>
      </c>
      <c r="K940" t="s">
        <v>74</v>
      </c>
      <c r="L940" t="s">
        <v>74</v>
      </c>
      <c r="M940" t="s">
        <v>78</v>
      </c>
      <c r="N940" t="s">
        <v>79</v>
      </c>
      <c r="O940" t="s">
        <v>74</v>
      </c>
      <c r="P940" t="s">
        <v>74</v>
      </c>
      <c r="Q940" t="s">
        <v>74</v>
      </c>
      <c r="R940" t="s">
        <v>74</v>
      </c>
      <c r="S940" t="s">
        <v>74</v>
      </c>
      <c r="T940" t="s">
        <v>74</v>
      </c>
      <c r="U940" t="s">
        <v>18012</v>
      </c>
      <c r="V940" t="s">
        <v>18013</v>
      </c>
      <c r="W940" t="s">
        <v>18014</v>
      </c>
      <c r="X940" t="s">
        <v>18015</v>
      </c>
      <c r="Y940" t="s">
        <v>18016</v>
      </c>
      <c r="Z940" t="s">
        <v>18017</v>
      </c>
      <c r="AA940" t="s">
        <v>18018</v>
      </c>
      <c r="AB940" t="s">
        <v>18019</v>
      </c>
      <c r="AC940" t="s">
        <v>18020</v>
      </c>
      <c r="AD940" t="s">
        <v>18021</v>
      </c>
      <c r="AE940" t="s">
        <v>18022</v>
      </c>
      <c r="AF940" t="s">
        <v>74</v>
      </c>
      <c r="AG940">
        <v>37</v>
      </c>
      <c r="AH940">
        <v>50</v>
      </c>
      <c r="AI940">
        <v>55</v>
      </c>
      <c r="AJ940">
        <v>2</v>
      </c>
      <c r="AK940">
        <v>8</v>
      </c>
      <c r="AL940" t="s">
        <v>7866</v>
      </c>
      <c r="AM940" t="s">
        <v>7867</v>
      </c>
      <c r="AN940" t="s">
        <v>7868</v>
      </c>
      <c r="AO940" t="s">
        <v>7893</v>
      </c>
      <c r="AP940" t="s">
        <v>7894</v>
      </c>
      <c r="AQ940" t="s">
        <v>74</v>
      </c>
      <c r="AR940" t="s">
        <v>7895</v>
      </c>
      <c r="AS940" t="s">
        <v>7896</v>
      </c>
      <c r="AT940" t="s">
        <v>17973</v>
      </c>
      <c r="AU940">
        <v>2018</v>
      </c>
      <c r="AV940">
        <v>11</v>
      </c>
      <c r="AW940">
        <v>10</v>
      </c>
      <c r="AX940" t="s">
        <v>74</v>
      </c>
      <c r="AY940" t="s">
        <v>74</v>
      </c>
      <c r="AZ940" t="s">
        <v>74</v>
      </c>
      <c r="BA940" t="s">
        <v>74</v>
      </c>
      <c r="BB940">
        <v>4339</v>
      </c>
      <c r="BC940">
        <v>4357</v>
      </c>
      <c r="BD940" t="s">
        <v>74</v>
      </c>
      <c r="BE940" t="s">
        <v>18023</v>
      </c>
      <c r="BF940" t="str">
        <f>HYPERLINK("http://dx.doi.org/10.5194/gmd-11-4339-2018","http://dx.doi.org/10.5194/gmd-11-4339-2018")</f>
        <v>http://dx.doi.org/10.5194/gmd-11-4339-2018</v>
      </c>
      <c r="BG940" t="s">
        <v>74</v>
      </c>
      <c r="BH940" t="s">
        <v>74</v>
      </c>
      <c r="BI940">
        <v>19</v>
      </c>
      <c r="BJ940" t="s">
        <v>884</v>
      </c>
      <c r="BK940" t="s">
        <v>101</v>
      </c>
      <c r="BL940" t="s">
        <v>528</v>
      </c>
      <c r="BM940" t="s">
        <v>18024</v>
      </c>
      <c r="BN940" t="s">
        <v>74</v>
      </c>
      <c r="BO940" t="s">
        <v>13572</v>
      </c>
      <c r="BP940" t="s">
        <v>74</v>
      </c>
      <c r="BQ940" t="s">
        <v>74</v>
      </c>
      <c r="BR940" t="s">
        <v>104</v>
      </c>
      <c r="BS940" t="s">
        <v>18025</v>
      </c>
      <c r="BT940" t="str">
        <f>HYPERLINK("https%3A%2F%2Fwww.webofscience.com%2Fwos%2Fwoscc%2Ffull-record%2FWOS:000448397800001","View Full Record in Web of Science")</f>
        <v>View Full Record in Web of Science</v>
      </c>
    </row>
    <row r="941" spans="1:72" x14ac:dyDescent="0.15">
      <c r="A941" t="s">
        <v>72</v>
      </c>
      <c r="B941" t="s">
        <v>18026</v>
      </c>
      <c r="C941" t="s">
        <v>74</v>
      </c>
      <c r="D941" t="s">
        <v>74</v>
      </c>
      <c r="E941" t="s">
        <v>74</v>
      </c>
      <c r="F941" t="s">
        <v>18027</v>
      </c>
      <c r="G941" t="s">
        <v>74</v>
      </c>
      <c r="H941" t="s">
        <v>74</v>
      </c>
      <c r="I941" t="s">
        <v>18028</v>
      </c>
      <c r="J941" t="s">
        <v>13918</v>
      </c>
      <c r="K941" t="s">
        <v>74</v>
      </c>
      <c r="L941" t="s">
        <v>74</v>
      </c>
      <c r="M941" t="s">
        <v>78</v>
      </c>
      <c r="N941" t="s">
        <v>79</v>
      </c>
      <c r="O941" t="s">
        <v>74</v>
      </c>
      <c r="P941" t="s">
        <v>74</v>
      </c>
      <c r="Q941" t="s">
        <v>74</v>
      </c>
      <c r="R941" t="s">
        <v>74</v>
      </c>
      <c r="S941" t="s">
        <v>74</v>
      </c>
      <c r="T941" t="s">
        <v>18029</v>
      </c>
      <c r="U941" t="s">
        <v>18030</v>
      </c>
      <c r="V941" t="s">
        <v>18031</v>
      </c>
      <c r="W941" t="s">
        <v>18032</v>
      </c>
      <c r="X941" t="s">
        <v>18033</v>
      </c>
      <c r="Y941" t="s">
        <v>18034</v>
      </c>
      <c r="Z941" t="s">
        <v>18035</v>
      </c>
      <c r="AA941" t="s">
        <v>18036</v>
      </c>
      <c r="AB941" t="s">
        <v>18037</v>
      </c>
      <c r="AC941" t="s">
        <v>18038</v>
      </c>
      <c r="AD941" t="s">
        <v>18039</v>
      </c>
      <c r="AE941" t="s">
        <v>18040</v>
      </c>
      <c r="AF941" t="s">
        <v>74</v>
      </c>
      <c r="AG941">
        <v>73</v>
      </c>
      <c r="AH941">
        <v>12</v>
      </c>
      <c r="AI941">
        <v>14</v>
      </c>
      <c r="AJ941">
        <v>2</v>
      </c>
      <c r="AK941">
        <v>38</v>
      </c>
      <c r="AL941" t="s">
        <v>985</v>
      </c>
      <c r="AM941" t="s">
        <v>986</v>
      </c>
      <c r="AN941" t="s">
        <v>987</v>
      </c>
      <c r="AO941" t="s">
        <v>13931</v>
      </c>
      <c r="AP941" t="s">
        <v>13932</v>
      </c>
      <c r="AQ941" t="s">
        <v>74</v>
      </c>
      <c r="AR941" t="s">
        <v>13933</v>
      </c>
      <c r="AS941" t="s">
        <v>13934</v>
      </c>
      <c r="AT941" t="s">
        <v>17973</v>
      </c>
      <c r="AU941">
        <v>2018</v>
      </c>
      <c r="AV941">
        <v>605</v>
      </c>
      <c r="AW941" t="s">
        <v>74</v>
      </c>
      <c r="AX941" t="s">
        <v>74</v>
      </c>
      <c r="AY941" t="s">
        <v>74</v>
      </c>
      <c r="AZ941" t="s">
        <v>74</v>
      </c>
      <c r="BA941" t="s">
        <v>74</v>
      </c>
      <c r="BB941">
        <v>151</v>
      </c>
      <c r="BC941">
        <v>164</v>
      </c>
      <c r="BD941" t="s">
        <v>74</v>
      </c>
      <c r="BE941" t="s">
        <v>18041</v>
      </c>
      <c r="BF941" t="str">
        <f>HYPERLINK("http://dx.doi.org/10.3354/meps12749","http://dx.doi.org/10.3354/meps12749")</f>
        <v>http://dx.doi.org/10.3354/meps12749</v>
      </c>
      <c r="BG941" t="s">
        <v>74</v>
      </c>
      <c r="BH941" t="s">
        <v>74</v>
      </c>
      <c r="BI941">
        <v>14</v>
      </c>
      <c r="BJ941" t="s">
        <v>13936</v>
      </c>
      <c r="BK941" t="s">
        <v>101</v>
      </c>
      <c r="BL941" t="s">
        <v>13937</v>
      </c>
      <c r="BM941" t="s">
        <v>18007</v>
      </c>
      <c r="BN941" t="s">
        <v>74</v>
      </c>
      <c r="BO941" t="s">
        <v>74</v>
      </c>
      <c r="BP941" t="s">
        <v>74</v>
      </c>
      <c r="BQ941" t="s">
        <v>74</v>
      </c>
      <c r="BR941" t="s">
        <v>104</v>
      </c>
      <c r="BS941" t="s">
        <v>18042</v>
      </c>
      <c r="BT941" t="str">
        <f>HYPERLINK("https%3A%2F%2Fwww.webofscience.com%2Fwos%2Fwoscc%2Ffull-record%2FWOS:000449165100012","View Full Record in Web of Science")</f>
        <v>View Full Record in Web of Science</v>
      </c>
    </row>
    <row r="942" spans="1:72" x14ac:dyDescent="0.15">
      <c r="A942" t="s">
        <v>72</v>
      </c>
      <c r="B942" t="s">
        <v>18043</v>
      </c>
      <c r="C942" t="s">
        <v>74</v>
      </c>
      <c r="D942" t="s">
        <v>74</v>
      </c>
      <c r="E942" t="s">
        <v>74</v>
      </c>
      <c r="F942" t="s">
        <v>18044</v>
      </c>
      <c r="G942" t="s">
        <v>74</v>
      </c>
      <c r="H942" t="s">
        <v>74</v>
      </c>
      <c r="I942" t="s">
        <v>18045</v>
      </c>
      <c r="J942" t="s">
        <v>18046</v>
      </c>
      <c r="K942" t="s">
        <v>74</v>
      </c>
      <c r="L942" t="s">
        <v>74</v>
      </c>
      <c r="M942" t="s">
        <v>78</v>
      </c>
      <c r="N942" t="s">
        <v>79</v>
      </c>
      <c r="O942" t="s">
        <v>74</v>
      </c>
      <c r="P942" t="s">
        <v>74</v>
      </c>
      <c r="Q942" t="s">
        <v>74</v>
      </c>
      <c r="R942" t="s">
        <v>74</v>
      </c>
      <c r="S942" t="s">
        <v>74</v>
      </c>
      <c r="T942" t="s">
        <v>18047</v>
      </c>
      <c r="U942" t="s">
        <v>18048</v>
      </c>
      <c r="V942" t="s">
        <v>18049</v>
      </c>
      <c r="W942" t="s">
        <v>18050</v>
      </c>
      <c r="X942" t="s">
        <v>11584</v>
      </c>
      <c r="Y942" t="s">
        <v>18051</v>
      </c>
      <c r="Z942" t="s">
        <v>18052</v>
      </c>
      <c r="AA942" t="s">
        <v>74</v>
      </c>
      <c r="AB942" t="s">
        <v>74</v>
      </c>
      <c r="AC942" t="s">
        <v>74</v>
      </c>
      <c r="AD942" t="s">
        <v>74</v>
      </c>
      <c r="AE942" t="s">
        <v>74</v>
      </c>
      <c r="AF942" t="s">
        <v>74</v>
      </c>
      <c r="AG942">
        <v>32</v>
      </c>
      <c r="AH942">
        <v>20</v>
      </c>
      <c r="AI942">
        <v>24</v>
      </c>
      <c r="AJ942">
        <v>0</v>
      </c>
      <c r="AK942">
        <v>14</v>
      </c>
      <c r="AL942" t="s">
        <v>1473</v>
      </c>
      <c r="AM942" t="s">
        <v>1080</v>
      </c>
      <c r="AN942" t="s">
        <v>1474</v>
      </c>
      <c r="AO942" t="s">
        <v>18053</v>
      </c>
      <c r="AP942" t="s">
        <v>18054</v>
      </c>
      <c r="AQ942" t="s">
        <v>74</v>
      </c>
      <c r="AR942" t="s">
        <v>18055</v>
      </c>
      <c r="AS942" t="s">
        <v>18056</v>
      </c>
      <c r="AT942" t="s">
        <v>18057</v>
      </c>
      <c r="AU942">
        <v>2018</v>
      </c>
      <c r="AV942">
        <v>857</v>
      </c>
      <c r="AW942" t="s">
        <v>74</v>
      </c>
      <c r="AX942" t="s">
        <v>74</v>
      </c>
      <c r="AY942" t="s">
        <v>74</v>
      </c>
      <c r="AZ942" t="s">
        <v>74</v>
      </c>
      <c r="BA942" t="s">
        <v>74</v>
      </c>
      <c r="BB942">
        <v>648</v>
      </c>
      <c r="BC942">
        <v>680</v>
      </c>
      <c r="BD942" t="s">
        <v>74</v>
      </c>
      <c r="BE942" t="s">
        <v>18058</v>
      </c>
      <c r="BF942" t="str">
        <f>HYPERLINK("http://dx.doi.org/10.1017/jfm.2018.742","http://dx.doi.org/10.1017/jfm.2018.742")</f>
        <v>http://dx.doi.org/10.1017/jfm.2018.742</v>
      </c>
      <c r="BG942" t="s">
        <v>74</v>
      </c>
      <c r="BH942" t="s">
        <v>74</v>
      </c>
      <c r="BI942">
        <v>33</v>
      </c>
      <c r="BJ942" t="s">
        <v>18059</v>
      </c>
      <c r="BK942" t="s">
        <v>101</v>
      </c>
      <c r="BL942" t="s">
        <v>18060</v>
      </c>
      <c r="BM942" t="s">
        <v>18061</v>
      </c>
      <c r="BN942" t="s">
        <v>74</v>
      </c>
      <c r="BO942" t="s">
        <v>2948</v>
      </c>
      <c r="BP942" t="s">
        <v>74</v>
      </c>
      <c r="BQ942" t="s">
        <v>74</v>
      </c>
      <c r="BR942" t="s">
        <v>104</v>
      </c>
      <c r="BS942" t="s">
        <v>18062</v>
      </c>
      <c r="BT942" t="str">
        <f>HYPERLINK("https%3A%2F%2Fwww.webofscience.com%2Fwos%2Fwoscc%2Ffull-record%2FWOS:000448379200004","View Full Record in Web of Science")</f>
        <v>View Full Record in Web of Science</v>
      </c>
    </row>
    <row r="943" spans="1:72" x14ac:dyDescent="0.15">
      <c r="A943" t="s">
        <v>72</v>
      </c>
      <c r="B943" t="s">
        <v>18063</v>
      </c>
      <c r="C943" t="s">
        <v>74</v>
      </c>
      <c r="D943" t="s">
        <v>74</v>
      </c>
      <c r="E943" t="s">
        <v>74</v>
      </c>
      <c r="F943" t="s">
        <v>18064</v>
      </c>
      <c r="G943" t="s">
        <v>74</v>
      </c>
      <c r="H943" t="s">
        <v>74</v>
      </c>
      <c r="I943" t="s">
        <v>18065</v>
      </c>
      <c r="J943" t="s">
        <v>18066</v>
      </c>
      <c r="K943" t="s">
        <v>74</v>
      </c>
      <c r="L943" t="s">
        <v>74</v>
      </c>
      <c r="M943" t="s">
        <v>78</v>
      </c>
      <c r="N943" t="s">
        <v>79</v>
      </c>
      <c r="O943" t="s">
        <v>74</v>
      </c>
      <c r="P943" t="s">
        <v>74</v>
      </c>
      <c r="Q943" t="s">
        <v>74</v>
      </c>
      <c r="R943" t="s">
        <v>74</v>
      </c>
      <c r="S943" t="s">
        <v>74</v>
      </c>
      <c r="T943" t="s">
        <v>18067</v>
      </c>
      <c r="U943" t="s">
        <v>18068</v>
      </c>
      <c r="V943" t="s">
        <v>18069</v>
      </c>
      <c r="W943" t="s">
        <v>18070</v>
      </c>
      <c r="X943" t="s">
        <v>18071</v>
      </c>
      <c r="Y943" t="s">
        <v>18072</v>
      </c>
      <c r="Z943" t="s">
        <v>18073</v>
      </c>
      <c r="AA943" t="s">
        <v>18074</v>
      </c>
      <c r="AB943" t="s">
        <v>18075</v>
      </c>
      <c r="AC943" t="s">
        <v>18076</v>
      </c>
      <c r="AD943" t="s">
        <v>18077</v>
      </c>
      <c r="AE943" t="s">
        <v>18078</v>
      </c>
      <c r="AF943" t="s">
        <v>74</v>
      </c>
      <c r="AG943">
        <v>90</v>
      </c>
      <c r="AH943">
        <v>1</v>
      </c>
      <c r="AI943">
        <v>1</v>
      </c>
      <c r="AJ943">
        <v>0</v>
      </c>
      <c r="AK943">
        <v>13</v>
      </c>
      <c r="AL943" t="s">
        <v>210</v>
      </c>
      <c r="AM943" t="s">
        <v>211</v>
      </c>
      <c r="AN943" t="s">
        <v>212</v>
      </c>
      <c r="AO943" t="s">
        <v>18079</v>
      </c>
      <c r="AP943" t="s">
        <v>74</v>
      </c>
      <c r="AQ943" t="s">
        <v>74</v>
      </c>
      <c r="AR943" t="s">
        <v>18080</v>
      </c>
      <c r="AS943" t="s">
        <v>18081</v>
      </c>
      <c r="AT943" t="s">
        <v>18057</v>
      </c>
      <c r="AU943">
        <v>2018</v>
      </c>
      <c r="AV943">
        <v>70</v>
      </c>
      <c r="AW943" t="s">
        <v>74</v>
      </c>
      <c r="AX943" t="s">
        <v>74</v>
      </c>
      <c r="AY943" t="s">
        <v>74</v>
      </c>
      <c r="AZ943" t="s">
        <v>74</v>
      </c>
      <c r="BA943" t="s">
        <v>74</v>
      </c>
      <c r="BB943">
        <v>1</v>
      </c>
      <c r="BC943">
        <v>18</v>
      </c>
      <c r="BD943" t="s">
        <v>74</v>
      </c>
      <c r="BE943" t="s">
        <v>18082</v>
      </c>
      <c r="BF943" t="str">
        <f>HYPERLINK("http://dx.doi.org/10.1080/16000889.2018.1507391","http://dx.doi.org/10.1080/16000889.2018.1507391")</f>
        <v>http://dx.doi.org/10.1080/16000889.2018.1507391</v>
      </c>
      <c r="BG943" t="s">
        <v>74</v>
      </c>
      <c r="BH943" t="s">
        <v>74</v>
      </c>
      <c r="BI943">
        <v>18</v>
      </c>
      <c r="BJ943" t="s">
        <v>3037</v>
      </c>
      <c r="BK943" t="s">
        <v>101</v>
      </c>
      <c r="BL943" t="s">
        <v>3037</v>
      </c>
      <c r="BM943" t="s">
        <v>18083</v>
      </c>
      <c r="BN943" t="s">
        <v>74</v>
      </c>
      <c r="BO943" t="s">
        <v>221</v>
      </c>
      <c r="BP943" t="s">
        <v>74</v>
      </c>
      <c r="BQ943" t="s">
        <v>74</v>
      </c>
      <c r="BR943" t="s">
        <v>104</v>
      </c>
      <c r="BS943" t="s">
        <v>18084</v>
      </c>
      <c r="BT943" t="str">
        <f>HYPERLINK("https%3A%2F%2Fwww.webofscience.com%2Fwos%2Fwoscc%2Ffull-record%2FWOS:000449362100001","View Full Record in Web of Science")</f>
        <v>View Full Record in Web of Science</v>
      </c>
    </row>
    <row r="944" spans="1:72" x14ac:dyDescent="0.15">
      <c r="A944" t="s">
        <v>72</v>
      </c>
      <c r="B944" t="s">
        <v>18085</v>
      </c>
      <c r="C944" t="s">
        <v>74</v>
      </c>
      <c r="D944" t="s">
        <v>74</v>
      </c>
      <c r="E944" t="s">
        <v>74</v>
      </c>
      <c r="F944" t="s">
        <v>18086</v>
      </c>
      <c r="G944" t="s">
        <v>74</v>
      </c>
      <c r="H944" t="s">
        <v>74</v>
      </c>
      <c r="I944" t="s">
        <v>18087</v>
      </c>
      <c r="J944" t="s">
        <v>8920</v>
      </c>
      <c r="K944" t="s">
        <v>74</v>
      </c>
      <c r="L944" t="s">
        <v>74</v>
      </c>
      <c r="M944" t="s">
        <v>78</v>
      </c>
      <c r="N944" t="s">
        <v>79</v>
      </c>
      <c r="O944" t="s">
        <v>74</v>
      </c>
      <c r="P944" t="s">
        <v>74</v>
      </c>
      <c r="Q944" t="s">
        <v>74</v>
      </c>
      <c r="R944" t="s">
        <v>74</v>
      </c>
      <c r="S944" t="s">
        <v>74</v>
      </c>
      <c r="T944" t="s">
        <v>74</v>
      </c>
      <c r="U944" t="s">
        <v>18088</v>
      </c>
      <c r="V944" t="s">
        <v>18089</v>
      </c>
      <c r="W944" t="s">
        <v>18090</v>
      </c>
      <c r="X944" t="s">
        <v>18091</v>
      </c>
      <c r="Y944" t="s">
        <v>18092</v>
      </c>
      <c r="Z944" t="s">
        <v>18093</v>
      </c>
      <c r="AA944" t="s">
        <v>18094</v>
      </c>
      <c r="AB944" t="s">
        <v>18095</v>
      </c>
      <c r="AC944" t="s">
        <v>18096</v>
      </c>
      <c r="AD944" t="s">
        <v>18097</v>
      </c>
      <c r="AE944" t="s">
        <v>18098</v>
      </c>
      <c r="AF944" t="s">
        <v>74</v>
      </c>
      <c r="AG944">
        <v>62</v>
      </c>
      <c r="AH944">
        <v>122</v>
      </c>
      <c r="AI944">
        <v>127</v>
      </c>
      <c r="AJ944">
        <v>8</v>
      </c>
      <c r="AK944">
        <v>182</v>
      </c>
      <c r="AL944" t="s">
        <v>6164</v>
      </c>
      <c r="AM944" t="s">
        <v>3008</v>
      </c>
      <c r="AN944" t="s">
        <v>6165</v>
      </c>
      <c r="AO944" t="s">
        <v>8932</v>
      </c>
      <c r="AP944" t="s">
        <v>8933</v>
      </c>
      <c r="AQ944" t="s">
        <v>74</v>
      </c>
      <c r="AR944" t="s">
        <v>8920</v>
      </c>
      <c r="AS944" t="s">
        <v>8934</v>
      </c>
      <c r="AT944" t="s">
        <v>18057</v>
      </c>
      <c r="AU944">
        <v>2018</v>
      </c>
      <c r="AV944">
        <v>562</v>
      </c>
      <c r="AW944">
        <v>7728</v>
      </c>
      <c r="AX944" t="s">
        <v>74</v>
      </c>
      <c r="AY944" t="s">
        <v>74</v>
      </c>
      <c r="AZ944" t="s">
        <v>74</v>
      </c>
      <c r="BA944" t="s">
        <v>74</v>
      </c>
      <c r="BB944">
        <v>569</v>
      </c>
      <c r="BC944" t="s">
        <v>642</v>
      </c>
      <c r="BD944" t="s">
        <v>74</v>
      </c>
      <c r="BE944" t="s">
        <v>18099</v>
      </c>
      <c r="BF944" t="str">
        <f>HYPERLINK("http://dx.doi.org/10.1038/s41586-018-0614-0","http://dx.doi.org/10.1038/s41586-018-0614-0")</f>
        <v>http://dx.doi.org/10.1038/s41586-018-0614-0</v>
      </c>
      <c r="BG944" t="s">
        <v>74</v>
      </c>
      <c r="BH944" t="s">
        <v>74</v>
      </c>
      <c r="BI944">
        <v>16</v>
      </c>
      <c r="BJ944" t="s">
        <v>855</v>
      </c>
      <c r="BK944" t="s">
        <v>101</v>
      </c>
      <c r="BL944" t="s">
        <v>856</v>
      </c>
      <c r="BM944" t="s">
        <v>18100</v>
      </c>
      <c r="BN944">
        <v>30356182</v>
      </c>
      <c r="BO944" t="s">
        <v>404</v>
      </c>
      <c r="BP944" t="s">
        <v>74</v>
      </c>
      <c r="BQ944" t="s">
        <v>74</v>
      </c>
      <c r="BR944" t="s">
        <v>104</v>
      </c>
      <c r="BS944" t="s">
        <v>18101</v>
      </c>
      <c r="BT944" t="str">
        <f>HYPERLINK("https%3A%2F%2Fwww.webofscience.com%2Fwos%2Fwoscc%2Ffull-record%2FWOS:000448277800054","View Full Record in Web of Science")</f>
        <v>View Full Record in Web of Science</v>
      </c>
    </row>
    <row r="945" spans="1:72" x14ac:dyDescent="0.15">
      <c r="A945" t="s">
        <v>72</v>
      </c>
      <c r="B945" t="s">
        <v>18102</v>
      </c>
      <c r="C945" t="s">
        <v>74</v>
      </c>
      <c r="D945" t="s">
        <v>74</v>
      </c>
      <c r="E945" t="s">
        <v>74</v>
      </c>
      <c r="F945" t="s">
        <v>18103</v>
      </c>
      <c r="G945" t="s">
        <v>74</v>
      </c>
      <c r="H945" t="s">
        <v>74</v>
      </c>
      <c r="I945" t="s">
        <v>18104</v>
      </c>
      <c r="J945" t="s">
        <v>8100</v>
      </c>
      <c r="K945" t="s">
        <v>74</v>
      </c>
      <c r="L945" t="s">
        <v>74</v>
      </c>
      <c r="M945" t="s">
        <v>78</v>
      </c>
      <c r="N945" t="s">
        <v>79</v>
      </c>
      <c r="O945" t="s">
        <v>74</v>
      </c>
      <c r="P945" t="s">
        <v>74</v>
      </c>
      <c r="Q945" t="s">
        <v>74</v>
      </c>
      <c r="R945" t="s">
        <v>74</v>
      </c>
      <c r="S945" t="s">
        <v>74</v>
      </c>
      <c r="T945" t="s">
        <v>74</v>
      </c>
      <c r="U945" t="s">
        <v>18105</v>
      </c>
      <c r="V945" t="s">
        <v>18106</v>
      </c>
      <c r="W945" t="s">
        <v>18107</v>
      </c>
      <c r="X945" t="s">
        <v>18108</v>
      </c>
      <c r="Y945" t="s">
        <v>18109</v>
      </c>
      <c r="Z945" t="s">
        <v>18110</v>
      </c>
      <c r="AA945" t="s">
        <v>18111</v>
      </c>
      <c r="AB945" t="s">
        <v>18112</v>
      </c>
      <c r="AC945" t="s">
        <v>18113</v>
      </c>
      <c r="AD945" t="s">
        <v>18114</v>
      </c>
      <c r="AE945" t="s">
        <v>18115</v>
      </c>
      <c r="AF945" t="s">
        <v>74</v>
      </c>
      <c r="AG945">
        <v>37</v>
      </c>
      <c r="AH945">
        <v>19</v>
      </c>
      <c r="AI945">
        <v>20</v>
      </c>
      <c r="AJ945">
        <v>1</v>
      </c>
      <c r="AK945">
        <v>10</v>
      </c>
      <c r="AL945" t="s">
        <v>7866</v>
      </c>
      <c r="AM945" t="s">
        <v>7867</v>
      </c>
      <c r="AN945" t="s">
        <v>7868</v>
      </c>
      <c r="AO945" t="s">
        <v>8112</v>
      </c>
      <c r="AP945" t="s">
        <v>8113</v>
      </c>
      <c r="AQ945" t="s">
        <v>74</v>
      </c>
      <c r="AR945" t="s">
        <v>8100</v>
      </c>
      <c r="AS945" t="s">
        <v>8114</v>
      </c>
      <c r="AT945" t="s">
        <v>18116</v>
      </c>
      <c r="AU945">
        <v>2018</v>
      </c>
      <c r="AV945">
        <v>12</v>
      </c>
      <c r="AW945">
        <v>10</v>
      </c>
      <c r="AX945" t="s">
        <v>74</v>
      </c>
      <c r="AY945" t="s">
        <v>74</v>
      </c>
      <c r="AZ945" t="s">
        <v>74</v>
      </c>
      <c r="BA945" t="s">
        <v>74</v>
      </c>
      <c r="BB945">
        <v>3361</v>
      </c>
      <c r="BC945">
        <v>3372</v>
      </c>
      <c r="BD945" t="s">
        <v>74</v>
      </c>
      <c r="BE945" t="s">
        <v>18117</v>
      </c>
      <c r="BF945" t="str">
        <f>HYPERLINK("http://dx.doi.org/10.5194/tc-12-3361-2018","http://dx.doi.org/10.5194/tc-12-3361-2018")</f>
        <v>http://dx.doi.org/10.5194/tc-12-3361-2018</v>
      </c>
      <c r="BG945" t="s">
        <v>74</v>
      </c>
      <c r="BH945" t="s">
        <v>74</v>
      </c>
      <c r="BI945">
        <v>12</v>
      </c>
      <c r="BJ945" t="s">
        <v>1480</v>
      </c>
      <c r="BK945" t="s">
        <v>101</v>
      </c>
      <c r="BL945" t="s">
        <v>1481</v>
      </c>
      <c r="BM945" t="s">
        <v>18118</v>
      </c>
      <c r="BN945" t="s">
        <v>74</v>
      </c>
      <c r="BO945" t="s">
        <v>13572</v>
      </c>
      <c r="BP945" t="s">
        <v>74</v>
      </c>
      <c r="BQ945" t="s">
        <v>74</v>
      </c>
      <c r="BR945" t="s">
        <v>104</v>
      </c>
      <c r="BS945" t="s">
        <v>18119</v>
      </c>
      <c r="BT945" t="str">
        <f>HYPERLINK("https%3A%2F%2Fwww.webofscience.com%2Fwos%2Fwoscc%2Ffull-record%2FWOS:000448186800001","View Full Record in Web of Science")</f>
        <v>View Full Record in Web of Science</v>
      </c>
    </row>
    <row r="946" spans="1:72" x14ac:dyDescent="0.15">
      <c r="A946" t="s">
        <v>72</v>
      </c>
      <c r="B946" t="s">
        <v>18120</v>
      </c>
      <c r="C946" t="s">
        <v>74</v>
      </c>
      <c r="D946" t="s">
        <v>74</v>
      </c>
      <c r="E946" t="s">
        <v>74</v>
      </c>
      <c r="F946" t="s">
        <v>18121</v>
      </c>
      <c r="G946" t="s">
        <v>74</v>
      </c>
      <c r="H946" t="s">
        <v>74</v>
      </c>
      <c r="I946" t="s">
        <v>18122</v>
      </c>
      <c r="J946" t="s">
        <v>8160</v>
      </c>
      <c r="K946" t="s">
        <v>74</v>
      </c>
      <c r="L946" t="s">
        <v>74</v>
      </c>
      <c r="M946" t="s">
        <v>78</v>
      </c>
      <c r="N946" t="s">
        <v>79</v>
      </c>
      <c r="O946" t="s">
        <v>74</v>
      </c>
      <c r="P946" t="s">
        <v>74</v>
      </c>
      <c r="Q946" t="s">
        <v>74</v>
      </c>
      <c r="R946" t="s">
        <v>74</v>
      </c>
      <c r="S946" t="s">
        <v>74</v>
      </c>
      <c r="T946" t="s">
        <v>18123</v>
      </c>
      <c r="U946" t="s">
        <v>18124</v>
      </c>
      <c r="V946" t="s">
        <v>18125</v>
      </c>
      <c r="W946" t="s">
        <v>18126</v>
      </c>
      <c r="X946" t="s">
        <v>18127</v>
      </c>
      <c r="Y946" t="s">
        <v>18128</v>
      </c>
      <c r="Z946" t="s">
        <v>18129</v>
      </c>
      <c r="AA946" t="s">
        <v>18130</v>
      </c>
      <c r="AB946" t="s">
        <v>18131</v>
      </c>
      <c r="AC946" t="s">
        <v>18132</v>
      </c>
      <c r="AD946" t="s">
        <v>18133</v>
      </c>
      <c r="AE946" t="s">
        <v>18134</v>
      </c>
      <c r="AF946" t="s">
        <v>74</v>
      </c>
      <c r="AG946">
        <v>37</v>
      </c>
      <c r="AH946">
        <v>8</v>
      </c>
      <c r="AI946">
        <v>10</v>
      </c>
      <c r="AJ946">
        <v>1</v>
      </c>
      <c r="AK946">
        <v>19</v>
      </c>
      <c r="AL946" t="s">
        <v>210</v>
      </c>
      <c r="AM946" t="s">
        <v>211</v>
      </c>
      <c r="AN946" t="s">
        <v>212</v>
      </c>
      <c r="AO946" t="s">
        <v>8169</v>
      </c>
      <c r="AP946" t="s">
        <v>8170</v>
      </c>
      <c r="AQ946" t="s">
        <v>74</v>
      </c>
      <c r="AR946" t="s">
        <v>8171</v>
      </c>
      <c r="AS946" t="s">
        <v>8172</v>
      </c>
      <c r="AT946" t="s">
        <v>18116</v>
      </c>
      <c r="AU946">
        <v>2018</v>
      </c>
      <c r="AV946">
        <v>37</v>
      </c>
      <c r="AW946">
        <v>1</v>
      </c>
      <c r="AX946" t="s">
        <v>74</v>
      </c>
      <c r="AY946" t="s">
        <v>74</v>
      </c>
      <c r="AZ946" t="s">
        <v>74</v>
      </c>
      <c r="BA946" t="s">
        <v>74</v>
      </c>
      <c r="BB946" t="s">
        <v>74</v>
      </c>
      <c r="BC946" t="s">
        <v>74</v>
      </c>
      <c r="BD946">
        <v>1523663</v>
      </c>
      <c r="BE946" t="s">
        <v>18135</v>
      </c>
      <c r="BF946" t="str">
        <f>HYPERLINK("http://dx.doi.org/10.1080/17518369.2018.1523663","http://dx.doi.org/10.1080/17518369.2018.1523663")</f>
        <v>http://dx.doi.org/10.1080/17518369.2018.1523663</v>
      </c>
      <c r="BG946" t="s">
        <v>74</v>
      </c>
      <c r="BH946" t="s">
        <v>74</v>
      </c>
      <c r="BI946">
        <v>12</v>
      </c>
      <c r="BJ946" t="s">
        <v>8175</v>
      </c>
      <c r="BK946" t="s">
        <v>101</v>
      </c>
      <c r="BL946" t="s">
        <v>8176</v>
      </c>
      <c r="BM946" t="s">
        <v>18136</v>
      </c>
      <c r="BN946" t="s">
        <v>74</v>
      </c>
      <c r="BO946" t="s">
        <v>131</v>
      </c>
      <c r="BP946" t="s">
        <v>74</v>
      </c>
      <c r="BQ946" t="s">
        <v>74</v>
      </c>
      <c r="BR946" t="s">
        <v>104</v>
      </c>
      <c r="BS946" t="s">
        <v>18137</v>
      </c>
      <c r="BT946" t="str">
        <f>HYPERLINK("https%3A%2F%2Fwww.webofscience.com%2Fwos%2Fwoscc%2Ffull-record%2FWOS:000448183100001","View Full Record in Web of Science")</f>
        <v>View Full Record in Web of Science</v>
      </c>
    </row>
    <row r="947" spans="1:72" x14ac:dyDescent="0.15">
      <c r="A947" t="s">
        <v>72</v>
      </c>
      <c r="B947" t="s">
        <v>18138</v>
      </c>
      <c r="C947" t="s">
        <v>74</v>
      </c>
      <c r="D947" t="s">
        <v>74</v>
      </c>
      <c r="E947" t="s">
        <v>74</v>
      </c>
      <c r="F947" t="s">
        <v>18139</v>
      </c>
      <c r="G947" t="s">
        <v>74</v>
      </c>
      <c r="H947" t="s">
        <v>74</v>
      </c>
      <c r="I947" t="s">
        <v>18140</v>
      </c>
      <c r="J947" t="s">
        <v>9044</v>
      </c>
      <c r="K947" t="s">
        <v>74</v>
      </c>
      <c r="L947" t="s">
        <v>74</v>
      </c>
      <c r="M947" t="s">
        <v>78</v>
      </c>
      <c r="N947" t="s">
        <v>79</v>
      </c>
      <c r="O947" t="s">
        <v>74</v>
      </c>
      <c r="P947" t="s">
        <v>74</v>
      </c>
      <c r="Q947" t="s">
        <v>74</v>
      </c>
      <c r="R947" t="s">
        <v>74</v>
      </c>
      <c r="S947" t="s">
        <v>74</v>
      </c>
      <c r="T947" t="s">
        <v>18141</v>
      </c>
      <c r="U947" t="s">
        <v>18142</v>
      </c>
      <c r="V947" t="s">
        <v>18143</v>
      </c>
      <c r="W947" t="s">
        <v>18144</v>
      </c>
      <c r="X947" t="s">
        <v>18145</v>
      </c>
      <c r="Y947" t="s">
        <v>18146</v>
      </c>
      <c r="Z947" t="s">
        <v>18147</v>
      </c>
      <c r="AA947" t="s">
        <v>18148</v>
      </c>
      <c r="AB947" t="s">
        <v>18149</v>
      </c>
      <c r="AC947" t="s">
        <v>18150</v>
      </c>
      <c r="AD947" t="s">
        <v>18151</v>
      </c>
      <c r="AE947" t="s">
        <v>18152</v>
      </c>
      <c r="AF947" t="s">
        <v>74</v>
      </c>
      <c r="AG947">
        <v>30</v>
      </c>
      <c r="AH947">
        <v>1</v>
      </c>
      <c r="AI947">
        <v>1</v>
      </c>
      <c r="AJ947">
        <v>0</v>
      </c>
      <c r="AK947">
        <v>4</v>
      </c>
      <c r="AL947" t="s">
        <v>7949</v>
      </c>
      <c r="AM947" t="s">
        <v>7950</v>
      </c>
      <c r="AN947" t="s">
        <v>7951</v>
      </c>
      <c r="AO947" t="s">
        <v>74</v>
      </c>
      <c r="AP947" t="s">
        <v>9057</v>
      </c>
      <c r="AQ947" t="s">
        <v>74</v>
      </c>
      <c r="AR947" t="s">
        <v>9058</v>
      </c>
      <c r="AS947" t="s">
        <v>9059</v>
      </c>
      <c r="AT947" t="s">
        <v>18153</v>
      </c>
      <c r="AU947">
        <v>2018</v>
      </c>
      <c r="AV947">
        <v>6</v>
      </c>
      <c r="AW947" t="s">
        <v>74</v>
      </c>
      <c r="AX947" t="s">
        <v>74</v>
      </c>
      <c r="AY947" t="s">
        <v>74</v>
      </c>
      <c r="AZ947" t="s">
        <v>74</v>
      </c>
      <c r="BA947" t="s">
        <v>74</v>
      </c>
      <c r="BB947" t="s">
        <v>74</v>
      </c>
      <c r="BC947" t="s">
        <v>74</v>
      </c>
      <c r="BD947">
        <v>161</v>
      </c>
      <c r="BE947" t="s">
        <v>18154</v>
      </c>
      <c r="BF947" t="str">
        <f>HYPERLINK("http://dx.doi.org/10.3389/feart.2018.00161","http://dx.doi.org/10.3389/feart.2018.00161")</f>
        <v>http://dx.doi.org/10.3389/feart.2018.00161</v>
      </c>
      <c r="BG947" t="s">
        <v>74</v>
      </c>
      <c r="BH947" t="s">
        <v>74</v>
      </c>
      <c r="BI947">
        <v>11</v>
      </c>
      <c r="BJ947" t="s">
        <v>884</v>
      </c>
      <c r="BK947" t="s">
        <v>101</v>
      </c>
      <c r="BL947" t="s">
        <v>528</v>
      </c>
      <c r="BM947" t="s">
        <v>18155</v>
      </c>
      <c r="BN947" t="s">
        <v>74</v>
      </c>
      <c r="BO947" t="s">
        <v>530</v>
      </c>
      <c r="BP947" t="s">
        <v>74</v>
      </c>
      <c r="BQ947" t="s">
        <v>74</v>
      </c>
      <c r="BR947" t="s">
        <v>104</v>
      </c>
      <c r="BS947" t="s">
        <v>18156</v>
      </c>
      <c r="BT947" t="str">
        <f>HYPERLINK("https%3A%2F%2Fwww.webofscience.com%2Fwos%2Fwoscc%2Ffull-record%2FWOS:000448326300001","View Full Record in Web of Science")</f>
        <v>View Full Record in Web of Science</v>
      </c>
    </row>
    <row r="948" spans="1:72" x14ac:dyDescent="0.15">
      <c r="A948" t="s">
        <v>72</v>
      </c>
      <c r="B948" t="s">
        <v>18157</v>
      </c>
      <c r="C948" t="s">
        <v>74</v>
      </c>
      <c r="D948" t="s">
        <v>74</v>
      </c>
      <c r="E948" t="s">
        <v>74</v>
      </c>
      <c r="F948" t="s">
        <v>18158</v>
      </c>
      <c r="G948" t="s">
        <v>74</v>
      </c>
      <c r="H948" t="s">
        <v>74</v>
      </c>
      <c r="I948" t="s">
        <v>18159</v>
      </c>
      <c r="J948" t="s">
        <v>8976</v>
      </c>
      <c r="K948" t="s">
        <v>74</v>
      </c>
      <c r="L948" t="s">
        <v>74</v>
      </c>
      <c r="M948" t="s">
        <v>78</v>
      </c>
      <c r="N948" t="s">
        <v>1003</v>
      </c>
      <c r="O948" t="s">
        <v>74</v>
      </c>
      <c r="P948" t="s">
        <v>74</v>
      </c>
      <c r="Q948" t="s">
        <v>74</v>
      </c>
      <c r="R948" t="s">
        <v>74</v>
      </c>
      <c r="S948" t="s">
        <v>74</v>
      </c>
      <c r="T948" t="s">
        <v>74</v>
      </c>
      <c r="U948" t="s">
        <v>18160</v>
      </c>
      <c r="V948" t="s">
        <v>18161</v>
      </c>
      <c r="W948" t="s">
        <v>18162</v>
      </c>
      <c r="X948" t="s">
        <v>18163</v>
      </c>
      <c r="Y948" t="s">
        <v>18164</v>
      </c>
      <c r="Z948" t="s">
        <v>18165</v>
      </c>
      <c r="AA948" t="s">
        <v>74</v>
      </c>
      <c r="AB948" t="s">
        <v>18166</v>
      </c>
      <c r="AC948" t="s">
        <v>18167</v>
      </c>
      <c r="AD948" t="s">
        <v>18168</v>
      </c>
      <c r="AE948" t="s">
        <v>18169</v>
      </c>
      <c r="AF948" t="s">
        <v>74</v>
      </c>
      <c r="AG948">
        <v>100</v>
      </c>
      <c r="AH948">
        <v>33</v>
      </c>
      <c r="AI948">
        <v>38</v>
      </c>
      <c r="AJ948">
        <v>2</v>
      </c>
      <c r="AK948">
        <v>8</v>
      </c>
      <c r="AL948" t="s">
        <v>7866</v>
      </c>
      <c r="AM948" t="s">
        <v>7867</v>
      </c>
      <c r="AN948" t="s">
        <v>7868</v>
      </c>
      <c r="AO948" t="s">
        <v>8986</v>
      </c>
      <c r="AP948" t="s">
        <v>8987</v>
      </c>
      <c r="AQ948" t="s">
        <v>74</v>
      </c>
      <c r="AR948" t="s">
        <v>8988</v>
      </c>
      <c r="AS948" t="s">
        <v>8989</v>
      </c>
      <c r="AT948" t="s">
        <v>18153</v>
      </c>
      <c r="AU948">
        <v>2018</v>
      </c>
      <c r="AV948">
        <v>10</v>
      </c>
      <c r="AW948">
        <v>4</v>
      </c>
      <c r="AX948" t="s">
        <v>74</v>
      </c>
      <c r="AY948" t="s">
        <v>74</v>
      </c>
      <c r="AZ948" t="s">
        <v>74</v>
      </c>
      <c r="BA948" t="s">
        <v>74</v>
      </c>
      <c r="BB948">
        <v>1959</v>
      </c>
      <c r="BC948">
        <v>1985</v>
      </c>
      <c r="BD948" t="s">
        <v>74</v>
      </c>
      <c r="BE948" t="s">
        <v>18170</v>
      </c>
      <c r="BF948" t="str">
        <f>HYPERLINK("http://dx.doi.org/10.5194/essd-10-1959-2018","http://dx.doi.org/10.5194/essd-10-1959-2018")</f>
        <v>http://dx.doi.org/10.5194/essd-10-1959-2018</v>
      </c>
      <c r="BG948" t="s">
        <v>74</v>
      </c>
      <c r="BH948" t="s">
        <v>74</v>
      </c>
      <c r="BI948">
        <v>27</v>
      </c>
      <c r="BJ948" t="s">
        <v>7874</v>
      </c>
      <c r="BK948" t="s">
        <v>101</v>
      </c>
      <c r="BL948" t="s">
        <v>7875</v>
      </c>
      <c r="BM948" t="s">
        <v>18171</v>
      </c>
      <c r="BN948" t="s">
        <v>74</v>
      </c>
      <c r="BO948" t="s">
        <v>1556</v>
      </c>
      <c r="BP948" t="s">
        <v>74</v>
      </c>
      <c r="BQ948" t="s">
        <v>74</v>
      </c>
      <c r="BR948" t="s">
        <v>104</v>
      </c>
      <c r="BS948" t="s">
        <v>18172</v>
      </c>
      <c r="BT948" t="str">
        <f>HYPERLINK("https%3A%2F%2Fwww.webofscience.com%2Fwos%2Fwoscc%2Ffull-record%2FWOS:000449024400001","View Full Record in Web of Science")</f>
        <v>View Full Record in Web of Science</v>
      </c>
    </row>
    <row r="949" spans="1:72" x14ac:dyDescent="0.15">
      <c r="A949" t="s">
        <v>72</v>
      </c>
      <c r="B949" t="s">
        <v>18173</v>
      </c>
      <c r="C949" t="s">
        <v>74</v>
      </c>
      <c r="D949" t="s">
        <v>74</v>
      </c>
      <c r="E949" t="s">
        <v>74</v>
      </c>
      <c r="F949" t="s">
        <v>18174</v>
      </c>
      <c r="G949" t="s">
        <v>74</v>
      </c>
      <c r="H949" t="s">
        <v>74</v>
      </c>
      <c r="I949" t="s">
        <v>18175</v>
      </c>
      <c r="J949" t="s">
        <v>198</v>
      </c>
      <c r="K949" t="s">
        <v>74</v>
      </c>
      <c r="L949" t="s">
        <v>74</v>
      </c>
      <c r="M949" t="s">
        <v>78</v>
      </c>
      <c r="N949" t="s">
        <v>79</v>
      </c>
      <c r="O949" t="s">
        <v>74</v>
      </c>
      <c r="P949" t="s">
        <v>74</v>
      </c>
      <c r="Q949" t="s">
        <v>74</v>
      </c>
      <c r="R949" t="s">
        <v>74</v>
      </c>
      <c r="S949" t="s">
        <v>74</v>
      </c>
      <c r="T949" t="s">
        <v>18176</v>
      </c>
      <c r="U949" t="s">
        <v>18177</v>
      </c>
      <c r="V949" t="s">
        <v>18178</v>
      </c>
      <c r="W949" t="s">
        <v>18179</v>
      </c>
      <c r="X949" t="s">
        <v>18180</v>
      </c>
      <c r="Y949" t="s">
        <v>18181</v>
      </c>
      <c r="Z949" t="s">
        <v>18182</v>
      </c>
      <c r="AA949" t="s">
        <v>74</v>
      </c>
      <c r="AB949" t="s">
        <v>18183</v>
      </c>
      <c r="AC949" t="s">
        <v>18184</v>
      </c>
      <c r="AD949" t="s">
        <v>18185</v>
      </c>
      <c r="AE949" t="s">
        <v>18186</v>
      </c>
      <c r="AF949" t="s">
        <v>74</v>
      </c>
      <c r="AG949">
        <v>86</v>
      </c>
      <c r="AH949">
        <v>4</v>
      </c>
      <c r="AI949">
        <v>4</v>
      </c>
      <c r="AJ949">
        <v>2</v>
      </c>
      <c r="AK949">
        <v>13</v>
      </c>
      <c r="AL949" t="s">
        <v>210</v>
      </c>
      <c r="AM949" t="s">
        <v>211</v>
      </c>
      <c r="AN949" t="s">
        <v>212</v>
      </c>
      <c r="AO949" t="s">
        <v>213</v>
      </c>
      <c r="AP949" t="s">
        <v>214</v>
      </c>
      <c r="AQ949" t="s">
        <v>74</v>
      </c>
      <c r="AR949" t="s">
        <v>215</v>
      </c>
      <c r="AS949" t="s">
        <v>216</v>
      </c>
      <c r="AT949" t="s">
        <v>18153</v>
      </c>
      <c r="AU949">
        <v>2018</v>
      </c>
      <c r="AV949">
        <v>50</v>
      </c>
      <c r="AW949">
        <v>1</v>
      </c>
      <c r="AX949" t="s">
        <v>74</v>
      </c>
      <c r="AY949" t="s">
        <v>74</v>
      </c>
      <c r="AZ949" t="s">
        <v>74</v>
      </c>
      <c r="BA949" t="s">
        <v>74</v>
      </c>
      <c r="BB949" t="s">
        <v>74</v>
      </c>
      <c r="BC949" t="s">
        <v>74</v>
      </c>
      <c r="BD949" t="s">
        <v>18187</v>
      </c>
      <c r="BE949" t="s">
        <v>18188</v>
      </c>
      <c r="BF949" t="str">
        <f>HYPERLINK("http://dx.doi.org/10.1080/15230430.2018.1524191","http://dx.doi.org/10.1080/15230430.2018.1524191")</f>
        <v>http://dx.doi.org/10.1080/15230430.2018.1524191</v>
      </c>
      <c r="BG949" t="s">
        <v>74</v>
      </c>
      <c r="BH949" t="s">
        <v>74</v>
      </c>
      <c r="BI949">
        <v>15</v>
      </c>
      <c r="BJ949" t="s">
        <v>218</v>
      </c>
      <c r="BK949" t="s">
        <v>101</v>
      </c>
      <c r="BL949" t="s">
        <v>219</v>
      </c>
      <c r="BM949" t="s">
        <v>18189</v>
      </c>
      <c r="BN949" t="s">
        <v>74</v>
      </c>
      <c r="BO949" t="s">
        <v>131</v>
      </c>
      <c r="BP949" t="s">
        <v>74</v>
      </c>
      <c r="BQ949" t="s">
        <v>74</v>
      </c>
      <c r="BR949" t="s">
        <v>104</v>
      </c>
      <c r="BS949" t="s">
        <v>18190</v>
      </c>
      <c r="BT949" t="str">
        <f>HYPERLINK("https%3A%2F%2Fwww.webofscience.com%2Fwos%2Fwoscc%2Ffull-record%2FWOS:000448921700001","View Full Record in Web of Science")</f>
        <v>View Full Record in Web of Science</v>
      </c>
    </row>
    <row r="950" spans="1:72" x14ac:dyDescent="0.15">
      <c r="A950" t="s">
        <v>72</v>
      </c>
      <c r="B950" t="s">
        <v>18191</v>
      </c>
      <c r="C950" t="s">
        <v>74</v>
      </c>
      <c r="D950" t="s">
        <v>74</v>
      </c>
      <c r="E950" t="s">
        <v>74</v>
      </c>
      <c r="F950" t="s">
        <v>18192</v>
      </c>
      <c r="G950" t="s">
        <v>74</v>
      </c>
      <c r="H950" t="s">
        <v>74</v>
      </c>
      <c r="I950" t="s">
        <v>18193</v>
      </c>
      <c r="J950" t="s">
        <v>13488</v>
      </c>
      <c r="K950" t="s">
        <v>74</v>
      </c>
      <c r="L950" t="s">
        <v>74</v>
      </c>
      <c r="M950" t="s">
        <v>78</v>
      </c>
      <c r="N950" t="s">
        <v>79</v>
      </c>
      <c r="O950" t="s">
        <v>74</v>
      </c>
      <c r="P950" t="s">
        <v>74</v>
      </c>
      <c r="Q950" t="s">
        <v>74</v>
      </c>
      <c r="R950" t="s">
        <v>74</v>
      </c>
      <c r="S950" t="s">
        <v>74</v>
      </c>
      <c r="T950" t="s">
        <v>18194</v>
      </c>
      <c r="U950" t="s">
        <v>18195</v>
      </c>
      <c r="V950" t="s">
        <v>18196</v>
      </c>
      <c r="W950" t="s">
        <v>18197</v>
      </c>
      <c r="X950" t="s">
        <v>18198</v>
      </c>
      <c r="Y950" t="s">
        <v>18199</v>
      </c>
      <c r="Z950" t="s">
        <v>18200</v>
      </c>
      <c r="AA950" t="s">
        <v>18201</v>
      </c>
      <c r="AB950" t="s">
        <v>18202</v>
      </c>
      <c r="AC950" t="s">
        <v>18203</v>
      </c>
      <c r="AD950" t="s">
        <v>18204</v>
      </c>
      <c r="AE950" t="s">
        <v>18205</v>
      </c>
      <c r="AF950" t="s">
        <v>74</v>
      </c>
      <c r="AG950">
        <v>59</v>
      </c>
      <c r="AH950">
        <v>173</v>
      </c>
      <c r="AI950">
        <v>179</v>
      </c>
      <c r="AJ950">
        <v>6</v>
      </c>
      <c r="AK950">
        <v>79</v>
      </c>
      <c r="AL950" t="s">
        <v>13501</v>
      </c>
      <c r="AM950" t="s">
        <v>4035</v>
      </c>
      <c r="AN950" t="s">
        <v>13502</v>
      </c>
      <c r="AO950" t="s">
        <v>13503</v>
      </c>
      <c r="AP950" t="s">
        <v>74</v>
      </c>
      <c r="AQ950" t="s">
        <v>74</v>
      </c>
      <c r="AR950" t="s">
        <v>13504</v>
      </c>
      <c r="AS950" t="s">
        <v>13505</v>
      </c>
      <c r="AT950" t="s">
        <v>18153</v>
      </c>
      <c r="AU950">
        <v>2018</v>
      </c>
      <c r="AV950">
        <v>115</v>
      </c>
      <c r="AW950">
        <v>43</v>
      </c>
      <c r="AX950" t="s">
        <v>74</v>
      </c>
      <c r="AY950" t="s">
        <v>74</v>
      </c>
      <c r="AZ950" t="s">
        <v>74</v>
      </c>
      <c r="BA950" t="s">
        <v>74</v>
      </c>
      <c r="BB950" t="s">
        <v>18206</v>
      </c>
      <c r="BC950" t="s">
        <v>18207</v>
      </c>
      <c r="BD950" t="s">
        <v>74</v>
      </c>
      <c r="BE950" t="s">
        <v>18208</v>
      </c>
      <c r="BF950" t="str">
        <f>HYPERLINK("http://dx.doi.org/10.1073/pnas.1802379115","http://dx.doi.org/10.1073/pnas.1802379115")</f>
        <v>http://dx.doi.org/10.1073/pnas.1802379115</v>
      </c>
      <c r="BG950" t="s">
        <v>74</v>
      </c>
      <c r="BH950" t="s">
        <v>74</v>
      </c>
      <c r="BI950">
        <v>8</v>
      </c>
      <c r="BJ950" t="s">
        <v>855</v>
      </c>
      <c r="BK950" t="s">
        <v>101</v>
      </c>
      <c r="BL950" t="s">
        <v>856</v>
      </c>
      <c r="BM950" t="s">
        <v>18209</v>
      </c>
      <c r="BN950">
        <v>30297399</v>
      </c>
      <c r="BO950" t="s">
        <v>18210</v>
      </c>
      <c r="BP950" t="s">
        <v>4786</v>
      </c>
      <c r="BQ950" t="s">
        <v>4787</v>
      </c>
      <c r="BR950" t="s">
        <v>104</v>
      </c>
      <c r="BS950" t="s">
        <v>18211</v>
      </c>
      <c r="BT950" t="str">
        <f>HYPERLINK("https%3A%2F%2Fwww.webofscience.com%2Fwos%2Fwoscc%2Ffull-record%2FWOS:000448040500030","View Full Record in Web of Science")</f>
        <v>View Full Record in Web of Science</v>
      </c>
    </row>
    <row r="951" spans="1:72" x14ac:dyDescent="0.15">
      <c r="A951" t="s">
        <v>72</v>
      </c>
      <c r="B951" t="s">
        <v>18212</v>
      </c>
      <c r="C951" t="s">
        <v>74</v>
      </c>
      <c r="D951" t="s">
        <v>74</v>
      </c>
      <c r="E951" t="s">
        <v>74</v>
      </c>
      <c r="F951" t="s">
        <v>18213</v>
      </c>
      <c r="G951" t="s">
        <v>74</v>
      </c>
      <c r="H951" t="s">
        <v>74</v>
      </c>
      <c r="I951" t="s">
        <v>18214</v>
      </c>
      <c r="J951" t="s">
        <v>18215</v>
      </c>
      <c r="K951" t="s">
        <v>74</v>
      </c>
      <c r="L951" t="s">
        <v>74</v>
      </c>
      <c r="M951" t="s">
        <v>78</v>
      </c>
      <c r="N951" t="s">
        <v>79</v>
      </c>
      <c r="O951" t="s">
        <v>74</v>
      </c>
      <c r="P951" t="s">
        <v>74</v>
      </c>
      <c r="Q951" t="s">
        <v>74</v>
      </c>
      <c r="R951" t="s">
        <v>74</v>
      </c>
      <c r="S951" t="s">
        <v>74</v>
      </c>
      <c r="T951" t="s">
        <v>74</v>
      </c>
      <c r="U951" t="s">
        <v>74</v>
      </c>
      <c r="V951" t="s">
        <v>18216</v>
      </c>
      <c r="W951" t="s">
        <v>18217</v>
      </c>
      <c r="X951" t="s">
        <v>18218</v>
      </c>
      <c r="Y951" t="s">
        <v>18219</v>
      </c>
      <c r="Z951" t="s">
        <v>18220</v>
      </c>
      <c r="AA951" t="s">
        <v>18221</v>
      </c>
      <c r="AB951" t="s">
        <v>18222</v>
      </c>
      <c r="AC951" t="s">
        <v>18223</v>
      </c>
      <c r="AD951" t="s">
        <v>18224</v>
      </c>
      <c r="AE951" t="s">
        <v>18225</v>
      </c>
      <c r="AF951" t="s">
        <v>74</v>
      </c>
      <c r="AG951">
        <v>0</v>
      </c>
      <c r="AH951">
        <v>2</v>
      </c>
      <c r="AI951">
        <v>3</v>
      </c>
      <c r="AJ951">
        <v>0</v>
      </c>
      <c r="AK951">
        <v>5</v>
      </c>
      <c r="AL951" t="s">
        <v>7866</v>
      </c>
      <c r="AM951" t="s">
        <v>7867</v>
      </c>
      <c r="AN951" t="s">
        <v>7868</v>
      </c>
      <c r="AO951" t="s">
        <v>18226</v>
      </c>
      <c r="AP951" t="s">
        <v>18227</v>
      </c>
      <c r="AQ951" t="s">
        <v>74</v>
      </c>
      <c r="AR951" t="s">
        <v>18228</v>
      </c>
      <c r="AS951" t="s">
        <v>18229</v>
      </c>
      <c r="AT951" t="s">
        <v>18230</v>
      </c>
      <c r="AU951">
        <v>2018</v>
      </c>
      <c r="AV951">
        <v>24</v>
      </c>
      <c r="AW951" t="s">
        <v>74</v>
      </c>
      <c r="AX951" t="s">
        <v>74</v>
      </c>
      <c r="AY951" t="s">
        <v>74</v>
      </c>
      <c r="AZ951" t="s">
        <v>74</v>
      </c>
      <c r="BA951" t="s">
        <v>74</v>
      </c>
      <c r="BB951">
        <v>61</v>
      </c>
      <c r="BC951">
        <v>70</v>
      </c>
      <c r="BD951" t="s">
        <v>74</v>
      </c>
      <c r="BE951" t="s">
        <v>18231</v>
      </c>
      <c r="BF951" t="str">
        <f>HYPERLINK("http://dx.doi.org/10.5194/sd-24-61-2018","http://dx.doi.org/10.5194/sd-24-61-2018")</f>
        <v>http://dx.doi.org/10.5194/sd-24-61-2018</v>
      </c>
      <c r="BG951" t="s">
        <v>74</v>
      </c>
      <c r="BH951" t="s">
        <v>74</v>
      </c>
      <c r="BI951">
        <v>10</v>
      </c>
      <c r="BJ951" t="s">
        <v>884</v>
      </c>
      <c r="BK951" t="s">
        <v>349</v>
      </c>
      <c r="BL951" t="s">
        <v>528</v>
      </c>
      <c r="BM951" t="s">
        <v>18232</v>
      </c>
      <c r="BN951" t="s">
        <v>74</v>
      </c>
      <c r="BO951" t="s">
        <v>10404</v>
      </c>
      <c r="BP951" t="s">
        <v>74</v>
      </c>
      <c r="BQ951" t="s">
        <v>74</v>
      </c>
      <c r="BR951" t="s">
        <v>104</v>
      </c>
      <c r="BS951" t="s">
        <v>18233</v>
      </c>
      <c r="BT951" t="str">
        <f>HYPERLINK("https%3A%2F%2Fwww.webofscience.com%2Fwos%2Fwoscc%2Ffull-record%2FWOS:000447838900005","View Full Record in Web of Science")</f>
        <v>View Full Record in Web of Science</v>
      </c>
    </row>
    <row r="952" spans="1:72" x14ac:dyDescent="0.15">
      <c r="A952" t="s">
        <v>72</v>
      </c>
      <c r="B952" t="s">
        <v>18234</v>
      </c>
      <c r="C952" t="s">
        <v>74</v>
      </c>
      <c r="D952" t="s">
        <v>74</v>
      </c>
      <c r="E952" t="s">
        <v>74</v>
      </c>
      <c r="F952" t="s">
        <v>18235</v>
      </c>
      <c r="G952" t="s">
        <v>74</v>
      </c>
      <c r="H952" t="s">
        <v>74</v>
      </c>
      <c r="I952" t="s">
        <v>18236</v>
      </c>
      <c r="J952" t="s">
        <v>198</v>
      </c>
      <c r="K952" t="s">
        <v>74</v>
      </c>
      <c r="L952" t="s">
        <v>74</v>
      </c>
      <c r="M952" t="s">
        <v>78</v>
      </c>
      <c r="N952" t="s">
        <v>3800</v>
      </c>
      <c r="O952" t="s">
        <v>74</v>
      </c>
      <c r="P952" t="s">
        <v>74</v>
      </c>
      <c r="Q952" t="s">
        <v>74</v>
      </c>
      <c r="R952" t="s">
        <v>74</v>
      </c>
      <c r="S952" t="s">
        <v>74</v>
      </c>
      <c r="T952" t="s">
        <v>74</v>
      </c>
      <c r="U952" t="s">
        <v>74</v>
      </c>
      <c r="V952" t="s">
        <v>74</v>
      </c>
      <c r="W952" t="s">
        <v>74</v>
      </c>
      <c r="X952" t="s">
        <v>74</v>
      </c>
      <c r="Y952" t="s">
        <v>74</v>
      </c>
      <c r="Z952" t="s">
        <v>74</v>
      </c>
      <c r="AA952" t="s">
        <v>74</v>
      </c>
      <c r="AB952" t="s">
        <v>74</v>
      </c>
      <c r="AC952" t="s">
        <v>74</v>
      </c>
      <c r="AD952" t="s">
        <v>74</v>
      </c>
      <c r="AE952" t="s">
        <v>74</v>
      </c>
      <c r="AF952" t="s">
        <v>74</v>
      </c>
      <c r="AG952">
        <v>1</v>
      </c>
      <c r="AH952">
        <v>0</v>
      </c>
      <c r="AI952">
        <v>0</v>
      </c>
      <c r="AJ952">
        <v>0</v>
      </c>
      <c r="AK952">
        <v>3</v>
      </c>
      <c r="AL952" t="s">
        <v>210</v>
      </c>
      <c r="AM952" t="s">
        <v>211</v>
      </c>
      <c r="AN952" t="s">
        <v>212</v>
      </c>
      <c r="AO952" t="s">
        <v>213</v>
      </c>
      <c r="AP952" t="s">
        <v>214</v>
      </c>
      <c r="AQ952" t="s">
        <v>74</v>
      </c>
      <c r="AR952" t="s">
        <v>215</v>
      </c>
      <c r="AS952" t="s">
        <v>216</v>
      </c>
      <c r="AT952" t="s">
        <v>18230</v>
      </c>
      <c r="AU952">
        <v>2018</v>
      </c>
      <c r="AV952">
        <v>50</v>
      </c>
      <c r="AW952">
        <v>1</v>
      </c>
      <c r="AX952" t="s">
        <v>74</v>
      </c>
      <c r="AY952" t="s">
        <v>74</v>
      </c>
      <c r="AZ952" t="s">
        <v>74</v>
      </c>
      <c r="BA952" t="s">
        <v>74</v>
      </c>
      <c r="BB952" t="s">
        <v>74</v>
      </c>
      <c r="BC952" t="s">
        <v>74</v>
      </c>
      <c r="BD952" t="s">
        <v>18237</v>
      </c>
      <c r="BE952" t="s">
        <v>18238</v>
      </c>
      <c r="BF952" t="str">
        <f>HYPERLINK("http://dx.doi.org/10.1080/15230430.2018.1535123","http://dx.doi.org/10.1080/15230430.2018.1535123")</f>
        <v>http://dx.doi.org/10.1080/15230430.2018.1535123</v>
      </c>
      <c r="BG952" t="s">
        <v>74</v>
      </c>
      <c r="BH952" t="s">
        <v>74</v>
      </c>
      <c r="BI952">
        <v>1</v>
      </c>
      <c r="BJ952" t="s">
        <v>218</v>
      </c>
      <c r="BK952" t="s">
        <v>101</v>
      </c>
      <c r="BL952" t="s">
        <v>219</v>
      </c>
      <c r="BM952" t="s">
        <v>18239</v>
      </c>
      <c r="BN952" t="s">
        <v>74</v>
      </c>
      <c r="BO952" t="s">
        <v>131</v>
      </c>
      <c r="BP952" t="s">
        <v>74</v>
      </c>
      <c r="BQ952" t="s">
        <v>74</v>
      </c>
      <c r="BR952" t="s">
        <v>104</v>
      </c>
      <c r="BS952" t="s">
        <v>18240</v>
      </c>
      <c r="BT952" t="str">
        <f>HYPERLINK("https%3A%2F%2Fwww.webofscience.com%2Fwos%2Fwoscc%2Ffull-record%2FWOS:000448921300001","View Full Record in Web of Science")</f>
        <v>View Full Record in Web of Science</v>
      </c>
    </row>
    <row r="953" spans="1:72" x14ac:dyDescent="0.15">
      <c r="A953" t="s">
        <v>72</v>
      </c>
      <c r="B953" t="s">
        <v>18241</v>
      </c>
      <c r="C953" t="s">
        <v>74</v>
      </c>
      <c r="D953" t="s">
        <v>74</v>
      </c>
      <c r="E953" t="s">
        <v>74</v>
      </c>
      <c r="F953" t="s">
        <v>18242</v>
      </c>
      <c r="G953" t="s">
        <v>74</v>
      </c>
      <c r="H953" t="s">
        <v>74</v>
      </c>
      <c r="I953" t="s">
        <v>18243</v>
      </c>
      <c r="J953" t="s">
        <v>18215</v>
      </c>
      <c r="K953" t="s">
        <v>74</v>
      </c>
      <c r="L953" t="s">
        <v>74</v>
      </c>
      <c r="M953" t="s">
        <v>78</v>
      </c>
      <c r="N953" t="s">
        <v>79</v>
      </c>
      <c r="O953" t="s">
        <v>74</v>
      </c>
      <c r="P953" t="s">
        <v>74</v>
      </c>
      <c r="Q953" t="s">
        <v>74</v>
      </c>
      <c r="R953" t="s">
        <v>74</v>
      </c>
      <c r="S953" t="s">
        <v>74</v>
      </c>
      <c r="T953" t="s">
        <v>74</v>
      </c>
      <c r="U953" t="s">
        <v>18244</v>
      </c>
      <c r="V953" t="s">
        <v>18245</v>
      </c>
      <c r="W953" t="s">
        <v>18246</v>
      </c>
      <c r="X953" t="s">
        <v>18247</v>
      </c>
      <c r="Y953" t="s">
        <v>18248</v>
      </c>
      <c r="Z953" t="s">
        <v>18249</v>
      </c>
      <c r="AA953" t="s">
        <v>18250</v>
      </c>
      <c r="AB953" t="s">
        <v>18251</v>
      </c>
      <c r="AC953" t="s">
        <v>18252</v>
      </c>
      <c r="AD953" t="s">
        <v>18253</v>
      </c>
      <c r="AE953" t="s">
        <v>18254</v>
      </c>
      <c r="AF953" t="s">
        <v>74</v>
      </c>
      <c r="AG953">
        <v>28</v>
      </c>
      <c r="AH953">
        <v>3</v>
      </c>
      <c r="AI953">
        <v>3</v>
      </c>
      <c r="AJ953">
        <v>0</v>
      </c>
      <c r="AK953">
        <v>4</v>
      </c>
      <c r="AL953" t="s">
        <v>7866</v>
      </c>
      <c r="AM953" t="s">
        <v>7867</v>
      </c>
      <c r="AN953" t="s">
        <v>7868</v>
      </c>
      <c r="AO953" t="s">
        <v>18226</v>
      </c>
      <c r="AP953" t="s">
        <v>18227</v>
      </c>
      <c r="AQ953" t="s">
        <v>74</v>
      </c>
      <c r="AR953" t="s">
        <v>18228</v>
      </c>
      <c r="AS953" t="s">
        <v>18229</v>
      </c>
      <c r="AT953" t="s">
        <v>18230</v>
      </c>
      <c r="AU953">
        <v>2018</v>
      </c>
      <c r="AV953">
        <v>24</v>
      </c>
      <c r="AW953" t="s">
        <v>74</v>
      </c>
      <c r="AX953" t="s">
        <v>74</v>
      </c>
      <c r="AY953" t="s">
        <v>74</v>
      </c>
      <c r="AZ953" t="s">
        <v>74</v>
      </c>
      <c r="BA953" t="s">
        <v>74</v>
      </c>
      <c r="BB953">
        <v>41</v>
      </c>
      <c r="BC953">
        <v>50</v>
      </c>
      <c r="BD953" t="s">
        <v>74</v>
      </c>
      <c r="BE953" t="s">
        <v>18255</v>
      </c>
      <c r="BF953" t="str">
        <f>HYPERLINK("http://dx.doi.org/10.5194/sd-24-41-2018","http://dx.doi.org/10.5194/sd-24-41-2018")</f>
        <v>http://dx.doi.org/10.5194/sd-24-41-2018</v>
      </c>
      <c r="BG953" t="s">
        <v>74</v>
      </c>
      <c r="BH953" t="s">
        <v>74</v>
      </c>
      <c r="BI953">
        <v>10</v>
      </c>
      <c r="BJ953" t="s">
        <v>884</v>
      </c>
      <c r="BK953" t="s">
        <v>349</v>
      </c>
      <c r="BL953" t="s">
        <v>528</v>
      </c>
      <c r="BM953" t="s">
        <v>18232</v>
      </c>
      <c r="BN953" t="s">
        <v>74</v>
      </c>
      <c r="BO953" t="s">
        <v>131</v>
      </c>
      <c r="BP953" t="s">
        <v>74</v>
      </c>
      <c r="BQ953" t="s">
        <v>74</v>
      </c>
      <c r="BR953" t="s">
        <v>104</v>
      </c>
      <c r="BS953" t="s">
        <v>18256</v>
      </c>
      <c r="BT953" t="str">
        <f>HYPERLINK("https%3A%2F%2Fwww.webofscience.com%2Fwos%2Fwoscc%2Ffull-record%2FWOS:000447838900003","View Full Record in Web of Science")</f>
        <v>View Full Record in Web of Science</v>
      </c>
    </row>
    <row r="954" spans="1:72" x14ac:dyDescent="0.15">
      <c r="A954" t="s">
        <v>72</v>
      </c>
      <c r="B954" t="s">
        <v>18257</v>
      </c>
      <c r="C954" t="s">
        <v>74</v>
      </c>
      <c r="D954" t="s">
        <v>74</v>
      </c>
      <c r="E954" t="s">
        <v>74</v>
      </c>
      <c r="F954" t="s">
        <v>18258</v>
      </c>
      <c r="G954" t="s">
        <v>74</v>
      </c>
      <c r="H954" t="s">
        <v>74</v>
      </c>
      <c r="I954" t="s">
        <v>18259</v>
      </c>
      <c r="J954" t="s">
        <v>17824</v>
      </c>
      <c r="K954" t="s">
        <v>74</v>
      </c>
      <c r="L954" t="s">
        <v>74</v>
      </c>
      <c r="M954" t="s">
        <v>78</v>
      </c>
      <c r="N954" t="s">
        <v>79</v>
      </c>
      <c r="O954" t="s">
        <v>74</v>
      </c>
      <c r="P954" t="s">
        <v>74</v>
      </c>
      <c r="Q954" t="s">
        <v>74</v>
      </c>
      <c r="R954" t="s">
        <v>74</v>
      </c>
      <c r="S954" t="s">
        <v>74</v>
      </c>
      <c r="T954" t="s">
        <v>74</v>
      </c>
      <c r="U954" t="s">
        <v>18260</v>
      </c>
      <c r="V954" t="s">
        <v>18261</v>
      </c>
      <c r="W954" t="s">
        <v>18262</v>
      </c>
      <c r="X954" t="s">
        <v>18263</v>
      </c>
      <c r="Y954" t="s">
        <v>18264</v>
      </c>
      <c r="Z954" t="s">
        <v>18265</v>
      </c>
      <c r="AA954" t="s">
        <v>74</v>
      </c>
      <c r="AB954" t="s">
        <v>18266</v>
      </c>
      <c r="AC954" t="s">
        <v>18267</v>
      </c>
      <c r="AD954" t="s">
        <v>18268</v>
      </c>
      <c r="AE954" t="s">
        <v>18269</v>
      </c>
      <c r="AF954" t="s">
        <v>74</v>
      </c>
      <c r="AG954">
        <v>26</v>
      </c>
      <c r="AH954">
        <v>8</v>
      </c>
      <c r="AI954">
        <v>8</v>
      </c>
      <c r="AJ954">
        <v>0</v>
      </c>
      <c r="AK954">
        <v>5</v>
      </c>
      <c r="AL954" t="s">
        <v>7866</v>
      </c>
      <c r="AM954" t="s">
        <v>7867</v>
      </c>
      <c r="AN954" t="s">
        <v>7868</v>
      </c>
      <c r="AO954" t="s">
        <v>17836</v>
      </c>
      <c r="AP954" t="s">
        <v>17837</v>
      </c>
      <c r="AQ954" t="s">
        <v>74</v>
      </c>
      <c r="AR954" t="s">
        <v>17838</v>
      </c>
      <c r="AS954" t="s">
        <v>17839</v>
      </c>
      <c r="AT954" t="s">
        <v>18270</v>
      </c>
      <c r="AU954">
        <v>2018</v>
      </c>
      <c r="AV954">
        <v>11</v>
      </c>
      <c r="AW954">
        <v>10</v>
      </c>
      <c r="AX954" t="s">
        <v>74</v>
      </c>
      <c r="AY954" t="s">
        <v>74</v>
      </c>
      <c r="AZ954" t="s">
        <v>74</v>
      </c>
      <c r="BA954" t="s">
        <v>74</v>
      </c>
      <c r="BB954">
        <v>5781</v>
      </c>
      <c r="BC954">
        <v>5795</v>
      </c>
      <c r="BD954" t="s">
        <v>74</v>
      </c>
      <c r="BE954" t="s">
        <v>18271</v>
      </c>
      <c r="BF954" t="str">
        <f>HYPERLINK("http://dx.doi.org/10.5194/amt-11-5781-2018","http://dx.doi.org/10.5194/amt-11-5781-2018")</f>
        <v>http://dx.doi.org/10.5194/amt-11-5781-2018</v>
      </c>
      <c r="BG954" t="s">
        <v>74</v>
      </c>
      <c r="BH954" t="s">
        <v>74</v>
      </c>
      <c r="BI954">
        <v>15</v>
      </c>
      <c r="BJ954" t="s">
        <v>3037</v>
      </c>
      <c r="BK954" t="s">
        <v>101</v>
      </c>
      <c r="BL954" t="s">
        <v>3037</v>
      </c>
      <c r="BM954" t="s">
        <v>18272</v>
      </c>
      <c r="BN954" t="s">
        <v>74</v>
      </c>
      <c r="BO954" t="s">
        <v>530</v>
      </c>
      <c r="BP954" t="s">
        <v>74</v>
      </c>
      <c r="BQ954" t="s">
        <v>74</v>
      </c>
      <c r="BR954" t="s">
        <v>104</v>
      </c>
      <c r="BS954" t="s">
        <v>18273</v>
      </c>
      <c r="BT954" t="str">
        <f>HYPERLINK("https%3A%2F%2Fwww.webofscience.com%2Fwos%2Fwoscc%2Ffull-record%2FWOS:000447779200002","View Full Record in Web of Science")</f>
        <v>View Full Record in Web of Science</v>
      </c>
    </row>
    <row r="955" spans="1:72" x14ac:dyDescent="0.15">
      <c r="A955" t="s">
        <v>72</v>
      </c>
      <c r="B955" t="s">
        <v>18274</v>
      </c>
      <c r="C955" t="s">
        <v>74</v>
      </c>
      <c r="D955" t="s">
        <v>74</v>
      </c>
      <c r="E955" t="s">
        <v>74</v>
      </c>
      <c r="F955" t="s">
        <v>18275</v>
      </c>
      <c r="G955" t="s">
        <v>74</v>
      </c>
      <c r="H955" t="s">
        <v>74</v>
      </c>
      <c r="I955" t="s">
        <v>18276</v>
      </c>
      <c r="J955" t="s">
        <v>13203</v>
      </c>
      <c r="K955" t="s">
        <v>74</v>
      </c>
      <c r="L955" t="s">
        <v>74</v>
      </c>
      <c r="M955" t="s">
        <v>78</v>
      </c>
      <c r="N955" t="s">
        <v>79</v>
      </c>
      <c r="O955" t="s">
        <v>74</v>
      </c>
      <c r="P955" t="s">
        <v>74</v>
      </c>
      <c r="Q955" t="s">
        <v>74</v>
      </c>
      <c r="R955" t="s">
        <v>74</v>
      </c>
      <c r="S955" t="s">
        <v>74</v>
      </c>
      <c r="T955" t="s">
        <v>74</v>
      </c>
      <c r="U955" t="s">
        <v>18277</v>
      </c>
      <c r="V955" t="s">
        <v>18278</v>
      </c>
      <c r="W955" t="s">
        <v>18279</v>
      </c>
      <c r="X955" t="s">
        <v>18280</v>
      </c>
      <c r="Y955" t="s">
        <v>18281</v>
      </c>
      <c r="Z955" t="s">
        <v>74</v>
      </c>
      <c r="AA955" t="s">
        <v>18282</v>
      </c>
      <c r="AB955" t="s">
        <v>18283</v>
      </c>
      <c r="AC955" t="s">
        <v>18284</v>
      </c>
      <c r="AD955" t="s">
        <v>18285</v>
      </c>
      <c r="AE955" t="s">
        <v>18286</v>
      </c>
      <c r="AF955" t="s">
        <v>74</v>
      </c>
      <c r="AG955">
        <v>39</v>
      </c>
      <c r="AH955">
        <v>99</v>
      </c>
      <c r="AI955">
        <v>110</v>
      </c>
      <c r="AJ955">
        <v>0</v>
      </c>
      <c r="AK955">
        <v>13</v>
      </c>
      <c r="AL955" t="s">
        <v>13215</v>
      </c>
      <c r="AM955" t="s">
        <v>13216</v>
      </c>
      <c r="AN955" t="s">
        <v>13217</v>
      </c>
      <c r="AO955" t="s">
        <v>13218</v>
      </c>
      <c r="AP955" t="s">
        <v>13219</v>
      </c>
      <c r="AQ955" t="s">
        <v>74</v>
      </c>
      <c r="AR955" t="s">
        <v>13220</v>
      </c>
      <c r="AS955" t="s">
        <v>13221</v>
      </c>
      <c r="AT955" t="s">
        <v>18287</v>
      </c>
      <c r="AU955">
        <v>2018</v>
      </c>
      <c r="AV955">
        <v>121</v>
      </c>
      <c r="AW955">
        <v>16</v>
      </c>
      <c r="AX955" t="s">
        <v>74</v>
      </c>
      <c r="AY955" t="s">
        <v>74</v>
      </c>
      <c r="AZ955" t="s">
        <v>74</v>
      </c>
      <c r="BA955" t="s">
        <v>74</v>
      </c>
      <c r="BB955" t="s">
        <v>74</v>
      </c>
      <c r="BC955" t="s">
        <v>74</v>
      </c>
      <c r="BD955">
        <v>161102</v>
      </c>
      <c r="BE955" t="s">
        <v>18288</v>
      </c>
      <c r="BF955" t="str">
        <f>HYPERLINK("http://dx.doi.org/10.1103/PhysRevLett.121.161102","http://dx.doi.org/10.1103/PhysRevLett.121.161102")</f>
        <v>http://dx.doi.org/10.1103/PhysRevLett.121.161102</v>
      </c>
      <c r="BG955" t="s">
        <v>74</v>
      </c>
      <c r="BH955" t="s">
        <v>74</v>
      </c>
      <c r="BI955">
        <v>6</v>
      </c>
      <c r="BJ955" t="s">
        <v>2448</v>
      </c>
      <c r="BK955" t="s">
        <v>101</v>
      </c>
      <c r="BL955" t="s">
        <v>2449</v>
      </c>
      <c r="BM955" t="s">
        <v>18289</v>
      </c>
      <c r="BN955">
        <v>30387639</v>
      </c>
      <c r="BO955" t="s">
        <v>18290</v>
      </c>
      <c r="BP955" t="s">
        <v>74</v>
      </c>
      <c r="BQ955" t="s">
        <v>74</v>
      </c>
      <c r="BR955" t="s">
        <v>104</v>
      </c>
      <c r="BS955" t="s">
        <v>18291</v>
      </c>
      <c r="BT955" t="str">
        <f>HYPERLINK("https%3A%2F%2Fwww.webofscience.com%2Fwos%2Fwoscc%2Ffull-record%2FWOS:000447627600002","View Full Record in Web of Science")</f>
        <v>View Full Record in Web of Science</v>
      </c>
    </row>
    <row r="956" spans="1:72" x14ac:dyDescent="0.15">
      <c r="A956" t="s">
        <v>72</v>
      </c>
      <c r="B956" t="s">
        <v>18292</v>
      </c>
      <c r="C956" t="s">
        <v>74</v>
      </c>
      <c r="D956" t="s">
        <v>74</v>
      </c>
      <c r="E956" t="s">
        <v>74</v>
      </c>
      <c r="F956" t="s">
        <v>18293</v>
      </c>
      <c r="G956" t="s">
        <v>74</v>
      </c>
      <c r="H956" t="s">
        <v>74</v>
      </c>
      <c r="I956" t="s">
        <v>18294</v>
      </c>
      <c r="J956" t="s">
        <v>198</v>
      </c>
      <c r="K956" t="s">
        <v>74</v>
      </c>
      <c r="L956" t="s">
        <v>74</v>
      </c>
      <c r="M956" t="s">
        <v>78</v>
      </c>
      <c r="N956" t="s">
        <v>79</v>
      </c>
      <c r="O956" t="s">
        <v>74</v>
      </c>
      <c r="P956" t="s">
        <v>74</v>
      </c>
      <c r="Q956" t="s">
        <v>74</v>
      </c>
      <c r="R956" t="s">
        <v>74</v>
      </c>
      <c r="S956" t="s">
        <v>74</v>
      </c>
      <c r="T956" t="s">
        <v>18295</v>
      </c>
      <c r="U956" t="s">
        <v>18296</v>
      </c>
      <c r="V956" t="s">
        <v>18297</v>
      </c>
      <c r="W956" t="s">
        <v>18298</v>
      </c>
      <c r="X956" t="s">
        <v>18299</v>
      </c>
      <c r="Y956" t="s">
        <v>18300</v>
      </c>
      <c r="Z956" t="s">
        <v>18301</v>
      </c>
      <c r="AA956" t="s">
        <v>18302</v>
      </c>
      <c r="AB956" t="s">
        <v>18303</v>
      </c>
      <c r="AC956" t="s">
        <v>18304</v>
      </c>
      <c r="AD956" t="s">
        <v>18305</v>
      </c>
      <c r="AE956" t="s">
        <v>18306</v>
      </c>
      <c r="AF956" t="s">
        <v>74</v>
      </c>
      <c r="AG956">
        <v>35</v>
      </c>
      <c r="AH956">
        <v>7</v>
      </c>
      <c r="AI956">
        <v>7</v>
      </c>
      <c r="AJ956">
        <v>3</v>
      </c>
      <c r="AK956">
        <v>13</v>
      </c>
      <c r="AL956" t="s">
        <v>210</v>
      </c>
      <c r="AM956" t="s">
        <v>211</v>
      </c>
      <c r="AN956" t="s">
        <v>212</v>
      </c>
      <c r="AO956" t="s">
        <v>213</v>
      </c>
      <c r="AP956" t="s">
        <v>214</v>
      </c>
      <c r="AQ956" t="s">
        <v>74</v>
      </c>
      <c r="AR956" t="s">
        <v>215</v>
      </c>
      <c r="AS956" t="s">
        <v>216</v>
      </c>
      <c r="AT956" t="s">
        <v>18307</v>
      </c>
      <c r="AU956">
        <v>2018</v>
      </c>
      <c r="AV956">
        <v>50</v>
      </c>
      <c r="AW956">
        <v>1</v>
      </c>
      <c r="AX956" t="s">
        <v>74</v>
      </c>
      <c r="AY956" t="s">
        <v>74</v>
      </c>
      <c r="AZ956" t="s">
        <v>74</v>
      </c>
      <c r="BA956" t="s">
        <v>74</v>
      </c>
      <c r="BB956" t="s">
        <v>74</v>
      </c>
      <c r="BC956" t="s">
        <v>74</v>
      </c>
      <c r="BD956" t="s">
        <v>18308</v>
      </c>
      <c r="BE956" t="s">
        <v>18309</v>
      </c>
      <c r="BF956" t="str">
        <f>HYPERLINK("http://dx.doi.org/10.1080/15230430.2018.1523638","http://dx.doi.org/10.1080/15230430.2018.1523638")</f>
        <v>http://dx.doi.org/10.1080/15230430.2018.1523638</v>
      </c>
      <c r="BG956" t="s">
        <v>74</v>
      </c>
      <c r="BH956" t="s">
        <v>74</v>
      </c>
      <c r="BI956">
        <v>13</v>
      </c>
      <c r="BJ956" t="s">
        <v>218</v>
      </c>
      <c r="BK956" t="s">
        <v>101</v>
      </c>
      <c r="BL956" t="s">
        <v>219</v>
      </c>
      <c r="BM956" t="s">
        <v>18310</v>
      </c>
      <c r="BN956" t="s">
        <v>74</v>
      </c>
      <c r="BO956" t="s">
        <v>193</v>
      </c>
      <c r="BP956" t="s">
        <v>74</v>
      </c>
      <c r="BQ956" t="s">
        <v>74</v>
      </c>
      <c r="BR956" t="s">
        <v>104</v>
      </c>
      <c r="BS956" t="s">
        <v>18311</v>
      </c>
      <c r="BT956" t="str">
        <f>HYPERLINK("https%3A%2F%2Fwww.webofscience.com%2Fwos%2Fwoscc%2Ffull-record%2FWOS:000448920900001","View Full Record in Web of Science")</f>
        <v>View Full Record in Web of Science</v>
      </c>
    </row>
    <row r="957" spans="1:72" x14ac:dyDescent="0.15">
      <c r="A957" t="s">
        <v>72</v>
      </c>
      <c r="B957" t="s">
        <v>18312</v>
      </c>
      <c r="C957" t="s">
        <v>74</v>
      </c>
      <c r="D957" t="s">
        <v>74</v>
      </c>
      <c r="E957" t="s">
        <v>74</v>
      </c>
      <c r="F957" t="s">
        <v>18313</v>
      </c>
      <c r="G957" t="s">
        <v>74</v>
      </c>
      <c r="H957" t="s">
        <v>74</v>
      </c>
      <c r="I957" t="s">
        <v>18314</v>
      </c>
      <c r="J957" t="s">
        <v>7735</v>
      </c>
      <c r="K957" t="s">
        <v>74</v>
      </c>
      <c r="L957" t="s">
        <v>74</v>
      </c>
      <c r="M957" t="s">
        <v>78</v>
      </c>
      <c r="N957" t="s">
        <v>79</v>
      </c>
      <c r="O957" t="s">
        <v>74</v>
      </c>
      <c r="P957" t="s">
        <v>74</v>
      </c>
      <c r="Q957" t="s">
        <v>74</v>
      </c>
      <c r="R957" t="s">
        <v>74</v>
      </c>
      <c r="S957" t="s">
        <v>74</v>
      </c>
      <c r="T957" t="s">
        <v>74</v>
      </c>
      <c r="U957" t="s">
        <v>18315</v>
      </c>
      <c r="V957" t="s">
        <v>18316</v>
      </c>
      <c r="W957" t="s">
        <v>18317</v>
      </c>
      <c r="X957" t="s">
        <v>18318</v>
      </c>
      <c r="Y957" t="s">
        <v>18319</v>
      </c>
      <c r="Z957" t="s">
        <v>18320</v>
      </c>
      <c r="AA957" t="s">
        <v>18321</v>
      </c>
      <c r="AB957" t="s">
        <v>18322</v>
      </c>
      <c r="AC957" t="s">
        <v>18323</v>
      </c>
      <c r="AD957" t="s">
        <v>18324</v>
      </c>
      <c r="AE957" t="s">
        <v>18325</v>
      </c>
      <c r="AF957" t="s">
        <v>74</v>
      </c>
      <c r="AG957">
        <v>43</v>
      </c>
      <c r="AH957">
        <v>35</v>
      </c>
      <c r="AI957">
        <v>39</v>
      </c>
      <c r="AJ957">
        <v>1</v>
      </c>
      <c r="AK957">
        <v>13</v>
      </c>
      <c r="AL957" t="s">
        <v>4034</v>
      </c>
      <c r="AM957" t="s">
        <v>4035</v>
      </c>
      <c r="AN957" t="s">
        <v>4036</v>
      </c>
      <c r="AO957" t="s">
        <v>7748</v>
      </c>
      <c r="AP957" t="s">
        <v>7749</v>
      </c>
      <c r="AQ957" t="s">
        <v>74</v>
      </c>
      <c r="AR957" t="s">
        <v>7750</v>
      </c>
      <c r="AS957" t="s">
        <v>7751</v>
      </c>
      <c r="AT957" t="s">
        <v>18326</v>
      </c>
      <c r="AU957">
        <v>2018</v>
      </c>
      <c r="AV957">
        <v>45</v>
      </c>
      <c r="AW957">
        <v>19</v>
      </c>
      <c r="AX957" t="s">
        <v>74</v>
      </c>
      <c r="AY957" t="s">
        <v>74</v>
      </c>
      <c r="AZ957" t="s">
        <v>74</v>
      </c>
      <c r="BA957" t="s">
        <v>74</v>
      </c>
      <c r="BB957">
        <v>10474</v>
      </c>
      <c r="BC957">
        <v>10481</v>
      </c>
      <c r="BD957" t="s">
        <v>74</v>
      </c>
      <c r="BE957" t="s">
        <v>18327</v>
      </c>
      <c r="BF957" t="str">
        <f>HYPERLINK("http://dx.doi.org/10.1029/2018GL079787","http://dx.doi.org/10.1029/2018GL079787")</f>
        <v>http://dx.doi.org/10.1029/2018GL079787</v>
      </c>
      <c r="BG957" t="s">
        <v>74</v>
      </c>
      <c r="BH957" t="s">
        <v>74</v>
      </c>
      <c r="BI957">
        <v>8</v>
      </c>
      <c r="BJ957" t="s">
        <v>884</v>
      </c>
      <c r="BK957" t="s">
        <v>101</v>
      </c>
      <c r="BL957" t="s">
        <v>528</v>
      </c>
      <c r="BM957" t="s">
        <v>18328</v>
      </c>
      <c r="BN957" t="s">
        <v>74</v>
      </c>
      <c r="BO957" t="s">
        <v>5627</v>
      </c>
      <c r="BP957" t="s">
        <v>74</v>
      </c>
      <c r="BQ957" t="s">
        <v>74</v>
      </c>
      <c r="BR957" t="s">
        <v>104</v>
      </c>
      <c r="BS957" t="s">
        <v>18329</v>
      </c>
      <c r="BT957" t="str">
        <f>HYPERLINK("https%3A%2F%2Fwww.webofscience.com%2Fwos%2Fwoscc%2Ffull-record%2FWOS:000448656800051","View Full Record in Web of Science")</f>
        <v>View Full Record in Web of Science</v>
      </c>
    </row>
    <row r="958" spans="1:72" x14ac:dyDescent="0.15">
      <c r="A958" t="s">
        <v>72</v>
      </c>
      <c r="B958" t="s">
        <v>18330</v>
      </c>
      <c r="C958" t="s">
        <v>74</v>
      </c>
      <c r="D958" t="s">
        <v>74</v>
      </c>
      <c r="E958" t="s">
        <v>74</v>
      </c>
      <c r="F958" t="s">
        <v>18331</v>
      </c>
      <c r="G958" t="s">
        <v>74</v>
      </c>
      <c r="H958" t="s">
        <v>74</v>
      </c>
      <c r="I958" t="s">
        <v>18332</v>
      </c>
      <c r="J958" t="s">
        <v>7792</v>
      </c>
      <c r="K958" t="s">
        <v>74</v>
      </c>
      <c r="L958" t="s">
        <v>74</v>
      </c>
      <c r="M958" t="s">
        <v>78</v>
      </c>
      <c r="N958" t="s">
        <v>79</v>
      </c>
      <c r="O958" t="s">
        <v>74</v>
      </c>
      <c r="P958" t="s">
        <v>74</v>
      </c>
      <c r="Q958" t="s">
        <v>74</v>
      </c>
      <c r="R958" t="s">
        <v>74</v>
      </c>
      <c r="S958" t="s">
        <v>74</v>
      </c>
      <c r="T958" t="s">
        <v>74</v>
      </c>
      <c r="U958" t="s">
        <v>18333</v>
      </c>
      <c r="V958" t="s">
        <v>18334</v>
      </c>
      <c r="W958" t="s">
        <v>18335</v>
      </c>
      <c r="X958" t="s">
        <v>16483</v>
      </c>
      <c r="Y958" t="s">
        <v>18336</v>
      </c>
      <c r="Z958" t="s">
        <v>18337</v>
      </c>
      <c r="AA958" t="s">
        <v>18338</v>
      </c>
      <c r="AB958" t="s">
        <v>18339</v>
      </c>
      <c r="AC958" t="s">
        <v>18340</v>
      </c>
      <c r="AD958" t="s">
        <v>18340</v>
      </c>
      <c r="AE958" t="s">
        <v>18341</v>
      </c>
      <c r="AF958" t="s">
        <v>74</v>
      </c>
      <c r="AG958">
        <v>35</v>
      </c>
      <c r="AH958">
        <v>5</v>
      </c>
      <c r="AI958">
        <v>5</v>
      </c>
      <c r="AJ958">
        <v>0</v>
      </c>
      <c r="AK958">
        <v>5</v>
      </c>
      <c r="AL958" t="s">
        <v>4034</v>
      </c>
      <c r="AM958" t="s">
        <v>4035</v>
      </c>
      <c r="AN958" t="s">
        <v>4036</v>
      </c>
      <c r="AO958" t="s">
        <v>7805</v>
      </c>
      <c r="AP958" t="s">
        <v>7806</v>
      </c>
      <c r="AQ958" t="s">
        <v>74</v>
      </c>
      <c r="AR958" t="s">
        <v>7807</v>
      </c>
      <c r="AS958" t="s">
        <v>7808</v>
      </c>
      <c r="AT958" t="s">
        <v>18326</v>
      </c>
      <c r="AU958">
        <v>2018</v>
      </c>
      <c r="AV958">
        <v>123</v>
      </c>
      <c r="AW958">
        <v>19</v>
      </c>
      <c r="AX958" t="s">
        <v>74</v>
      </c>
      <c r="AY958" t="s">
        <v>74</v>
      </c>
      <c r="AZ958" t="s">
        <v>74</v>
      </c>
      <c r="BA958" t="s">
        <v>74</v>
      </c>
      <c r="BB958">
        <v>10830</v>
      </c>
      <c r="BC958">
        <v>10841</v>
      </c>
      <c r="BD958" t="s">
        <v>74</v>
      </c>
      <c r="BE958" t="s">
        <v>18342</v>
      </c>
      <c r="BF958" t="str">
        <f>HYPERLINK("http://dx.doi.org/10.1029/2018JD028629","http://dx.doi.org/10.1029/2018JD028629")</f>
        <v>http://dx.doi.org/10.1029/2018JD028629</v>
      </c>
      <c r="BG958" t="s">
        <v>74</v>
      </c>
      <c r="BH958" t="s">
        <v>74</v>
      </c>
      <c r="BI958">
        <v>12</v>
      </c>
      <c r="BJ958" t="s">
        <v>3037</v>
      </c>
      <c r="BK958" t="s">
        <v>101</v>
      </c>
      <c r="BL958" t="s">
        <v>3037</v>
      </c>
      <c r="BM958" t="s">
        <v>18343</v>
      </c>
      <c r="BN958" t="s">
        <v>74</v>
      </c>
      <c r="BO958" t="s">
        <v>74</v>
      </c>
      <c r="BP958" t="s">
        <v>74</v>
      </c>
      <c r="BQ958" t="s">
        <v>74</v>
      </c>
      <c r="BR958" t="s">
        <v>104</v>
      </c>
      <c r="BS958" t="s">
        <v>18344</v>
      </c>
      <c r="BT958" t="str">
        <f>HYPERLINK("https%3A%2F%2Fwww.webofscience.com%2Fwos%2Fwoscc%2Ffull-record%2FWOS:000448374800002","View Full Record in Web of Science")</f>
        <v>View Full Record in Web of Science</v>
      </c>
    </row>
    <row r="959" spans="1:72" x14ac:dyDescent="0.15">
      <c r="A959" t="s">
        <v>72</v>
      </c>
      <c r="B959" t="s">
        <v>18345</v>
      </c>
      <c r="C959" t="s">
        <v>74</v>
      </c>
      <c r="D959" t="s">
        <v>74</v>
      </c>
      <c r="E959" t="s">
        <v>74</v>
      </c>
      <c r="F959" t="s">
        <v>18346</v>
      </c>
      <c r="G959" t="s">
        <v>74</v>
      </c>
      <c r="H959" t="s">
        <v>74</v>
      </c>
      <c r="I959" t="s">
        <v>18347</v>
      </c>
      <c r="J959" t="s">
        <v>17801</v>
      </c>
      <c r="K959" t="s">
        <v>74</v>
      </c>
      <c r="L959" t="s">
        <v>74</v>
      </c>
      <c r="M959" t="s">
        <v>78</v>
      </c>
      <c r="N959" t="s">
        <v>79</v>
      </c>
      <c r="O959" t="s">
        <v>74</v>
      </c>
      <c r="P959" t="s">
        <v>74</v>
      </c>
      <c r="Q959" t="s">
        <v>74</v>
      </c>
      <c r="R959" t="s">
        <v>74</v>
      </c>
      <c r="S959" t="s">
        <v>74</v>
      </c>
      <c r="T959" t="s">
        <v>18348</v>
      </c>
      <c r="U959" t="s">
        <v>18349</v>
      </c>
      <c r="V959" t="s">
        <v>18350</v>
      </c>
      <c r="W959" t="s">
        <v>18351</v>
      </c>
      <c r="X959" t="s">
        <v>18352</v>
      </c>
      <c r="Y959" t="s">
        <v>18353</v>
      </c>
      <c r="Z959" t="s">
        <v>18354</v>
      </c>
      <c r="AA959" t="s">
        <v>18355</v>
      </c>
      <c r="AB959" t="s">
        <v>18356</v>
      </c>
      <c r="AC959" t="s">
        <v>18357</v>
      </c>
      <c r="AD959" t="s">
        <v>18358</v>
      </c>
      <c r="AE959" t="s">
        <v>18359</v>
      </c>
      <c r="AF959" t="s">
        <v>74</v>
      </c>
      <c r="AG959">
        <v>97</v>
      </c>
      <c r="AH959">
        <v>10</v>
      </c>
      <c r="AI959">
        <v>11</v>
      </c>
      <c r="AJ959">
        <v>0</v>
      </c>
      <c r="AK959">
        <v>7</v>
      </c>
      <c r="AL959" t="s">
        <v>2519</v>
      </c>
      <c r="AM959" t="s">
        <v>2520</v>
      </c>
      <c r="AN959" t="s">
        <v>3313</v>
      </c>
      <c r="AO959" t="s">
        <v>17814</v>
      </c>
      <c r="AP959" t="s">
        <v>17815</v>
      </c>
      <c r="AQ959" t="s">
        <v>74</v>
      </c>
      <c r="AR959" t="s">
        <v>17801</v>
      </c>
      <c r="AS959" t="s">
        <v>17816</v>
      </c>
      <c r="AT959" t="s">
        <v>18326</v>
      </c>
      <c r="AU959">
        <v>2018</v>
      </c>
      <c r="AV959">
        <v>745</v>
      </c>
      <c r="AW959" t="s">
        <v>74</v>
      </c>
      <c r="AX959" t="s">
        <v>74</v>
      </c>
      <c r="AY959" t="s">
        <v>74</v>
      </c>
      <c r="AZ959" t="s">
        <v>74</v>
      </c>
      <c r="BA959" t="s">
        <v>74</v>
      </c>
      <c r="BB959">
        <v>229</v>
      </c>
      <c r="BC959">
        <v>244</v>
      </c>
      <c r="BD959" t="s">
        <v>74</v>
      </c>
      <c r="BE959" t="s">
        <v>18360</v>
      </c>
      <c r="BF959" t="str">
        <f>HYPERLINK("http://dx.doi.org/10.1016/j.tecto.2018.08.017","http://dx.doi.org/10.1016/j.tecto.2018.08.017")</f>
        <v>http://dx.doi.org/10.1016/j.tecto.2018.08.017</v>
      </c>
      <c r="BG959" t="s">
        <v>74</v>
      </c>
      <c r="BH959" t="s">
        <v>74</v>
      </c>
      <c r="BI959">
        <v>16</v>
      </c>
      <c r="BJ959" t="s">
        <v>746</v>
      </c>
      <c r="BK959" t="s">
        <v>101</v>
      </c>
      <c r="BL959" t="s">
        <v>746</v>
      </c>
      <c r="BM959" t="s">
        <v>18361</v>
      </c>
      <c r="BN959" t="s">
        <v>74</v>
      </c>
      <c r="BO959" t="s">
        <v>74</v>
      </c>
      <c r="BP959" t="s">
        <v>74</v>
      </c>
      <c r="BQ959" t="s">
        <v>74</v>
      </c>
      <c r="BR959" t="s">
        <v>104</v>
      </c>
      <c r="BS959" t="s">
        <v>18362</v>
      </c>
      <c r="BT959" t="str">
        <f>HYPERLINK("https%3A%2F%2Fwww.webofscience.com%2Fwos%2Fwoscc%2Ffull-record%2FWOS:000449241500013","View Full Record in Web of Science")</f>
        <v>View Full Record in Web of Science</v>
      </c>
    </row>
    <row r="960" spans="1:72" x14ac:dyDescent="0.15">
      <c r="A960" t="s">
        <v>72</v>
      </c>
      <c r="B960" t="s">
        <v>18363</v>
      </c>
      <c r="C960" t="s">
        <v>74</v>
      </c>
      <c r="D960" t="s">
        <v>74</v>
      </c>
      <c r="E960" t="s">
        <v>74</v>
      </c>
      <c r="F960" t="s">
        <v>18364</v>
      </c>
      <c r="G960" t="s">
        <v>74</v>
      </c>
      <c r="H960" t="s">
        <v>74</v>
      </c>
      <c r="I960" t="s">
        <v>18365</v>
      </c>
      <c r="J960" t="s">
        <v>18366</v>
      </c>
      <c r="K960" t="s">
        <v>74</v>
      </c>
      <c r="L960" t="s">
        <v>74</v>
      </c>
      <c r="M960" t="s">
        <v>78</v>
      </c>
      <c r="N960" t="s">
        <v>9300</v>
      </c>
      <c r="O960" t="s">
        <v>74</v>
      </c>
      <c r="P960" t="s">
        <v>74</v>
      </c>
      <c r="Q960" t="s">
        <v>74</v>
      </c>
      <c r="R960" t="s">
        <v>74</v>
      </c>
      <c r="S960" t="s">
        <v>74</v>
      </c>
      <c r="T960" t="s">
        <v>74</v>
      </c>
      <c r="U960" t="s">
        <v>18367</v>
      </c>
      <c r="V960" t="s">
        <v>18368</v>
      </c>
      <c r="W960" t="s">
        <v>18369</v>
      </c>
      <c r="X960" t="s">
        <v>18370</v>
      </c>
      <c r="Y960" t="s">
        <v>18371</v>
      </c>
      <c r="Z960" t="s">
        <v>18372</v>
      </c>
      <c r="AA960" t="s">
        <v>18373</v>
      </c>
      <c r="AB960" t="s">
        <v>18374</v>
      </c>
      <c r="AC960" t="s">
        <v>18375</v>
      </c>
      <c r="AD960" t="s">
        <v>18376</v>
      </c>
      <c r="AE960" t="s">
        <v>18377</v>
      </c>
      <c r="AF960" t="s">
        <v>74</v>
      </c>
      <c r="AG960">
        <v>61</v>
      </c>
      <c r="AH960">
        <v>13</v>
      </c>
      <c r="AI960">
        <v>13</v>
      </c>
      <c r="AJ960">
        <v>3</v>
      </c>
      <c r="AK960">
        <v>9</v>
      </c>
      <c r="AL960" t="s">
        <v>6185</v>
      </c>
      <c r="AM960" t="s">
        <v>6186</v>
      </c>
      <c r="AN960" t="s">
        <v>6187</v>
      </c>
      <c r="AO960" t="s">
        <v>74</v>
      </c>
      <c r="AP960" t="s">
        <v>18378</v>
      </c>
      <c r="AQ960" t="s">
        <v>74</v>
      </c>
      <c r="AR960" t="s">
        <v>18379</v>
      </c>
      <c r="AS960" t="s">
        <v>18380</v>
      </c>
      <c r="AT960" t="s">
        <v>18326</v>
      </c>
      <c r="AU960">
        <v>2018</v>
      </c>
      <c r="AV960">
        <v>5</v>
      </c>
      <c r="AW960" t="s">
        <v>74</v>
      </c>
      <c r="AX960" t="s">
        <v>74</v>
      </c>
      <c r="AY960" t="s">
        <v>74</v>
      </c>
      <c r="AZ960" t="s">
        <v>74</v>
      </c>
      <c r="BA960" t="s">
        <v>74</v>
      </c>
      <c r="BB960" t="s">
        <v>74</v>
      </c>
      <c r="BC960" t="s">
        <v>74</v>
      </c>
      <c r="BD960">
        <v>180207</v>
      </c>
      <c r="BE960" t="s">
        <v>18381</v>
      </c>
      <c r="BF960" t="str">
        <f>HYPERLINK("http://dx.doi.org/10.1038/sdata.2018.207","http://dx.doi.org/10.1038/sdata.2018.207")</f>
        <v>http://dx.doi.org/10.1038/sdata.2018.207</v>
      </c>
      <c r="BG960" t="s">
        <v>74</v>
      </c>
      <c r="BH960" t="s">
        <v>74</v>
      </c>
      <c r="BI960">
        <v>8</v>
      </c>
      <c r="BJ960" t="s">
        <v>855</v>
      </c>
      <c r="BK960" t="s">
        <v>101</v>
      </c>
      <c r="BL960" t="s">
        <v>856</v>
      </c>
      <c r="BM960" t="s">
        <v>18382</v>
      </c>
      <c r="BN960">
        <v>30325350</v>
      </c>
      <c r="BO960" t="s">
        <v>10404</v>
      </c>
      <c r="BP960" t="s">
        <v>74</v>
      </c>
      <c r="BQ960" t="s">
        <v>74</v>
      </c>
      <c r="BR960" t="s">
        <v>104</v>
      </c>
      <c r="BS960" t="s">
        <v>18383</v>
      </c>
      <c r="BT960" t="str">
        <f>HYPERLINK("https%3A%2F%2Fwww.webofscience.com%2Fwos%2Fwoscc%2Ffull-record%2FWOS:000447364300001","View Full Record in Web of Science")</f>
        <v>View Full Record in Web of Science</v>
      </c>
    </row>
    <row r="961" spans="1:72" x14ac:dyDescent="0.15">
      <c r="A961" t="s">
        <v>72</v>
      </c>
      <c r="B961" t="s">
        <v>18384</v>
      </c>
      <c r="C961" t="s">
        <v>74</v>
      </c>
      <c r="D961" t="s">
        <v>74</v>
      </c>
      <c r="E961" t="s">
        <v>74</v>
      </c>
      <c r="F961" t="s">
        <v>18385</v>
      </c>
      <c r="G961" t="s">
        <v>74</v>
      </c>
      <c r="H961" t="s">
        <v>74</v>
      </c>
      <c r="I961" t="s">
        <v>18386</v>
      </c>
      <c r="J961" t="s">
        <v>18387</v>
      </c>
      <c r="K961" t="s">
        <v>74</v>
      </c>
      <c r="L961" t="s">
        <v>74</v>
      </c>
      <c r="M961" t="s">
        <v>78</v>
      </c>
      <c r="N961" t="s">
        <v>79</v>
      </c>
      <c r="O961" t="s">
        <v>74</v>
      </c>
      <c r="P961" t="s">
        <v>74</v>
      </c>
      <c r="Q961" t="s">
        <v>74</v>
      </c>
      <c r="R961" t="s">
        <v>74</v>
      </c>
      <c r="S961" t="s">
        <v>74</v>
      </c>
      <c r="T961" t="s">
        <v>18388</v>
      </c>
      <c r="U961" t="s">
        <v>18389</v>
      </c>
      <c r="V961" t="s">
        <v>18390</v>
      </c>
      <c r="W961" t="s">
        <v>18391</v>
      </c>
      <c r="X961" t="s">
        <v>18392</v>
      </c>
      <c r="Y961" t="s">
        <v>18393</v>
      </c>
      <c r="Z961" t="s">
        <v>18394</v>
      </c>
      <c r="AA961" t="s">
        <v>18395</v>
      </c>
      <c r="AB961" t="s">
        <v>18396</v>
      </c>
      <c r="AC961" t="s">
        <v>18397</v>
      </c>
      <c r="AD961" t="s">
        <v>18398</v>
      </c>
      <c r="AE961" t="s">
        <v>18399</v>
      </c>
      <c r="AF961" t="s">
        <v>74</v>
      </c>
      <c r="AG961">
        <v>31</v>
      </c>
      <c r="AH961">
        <v>21</v>
      </c>
      <c r="AI961">
        <v>22</v>
      </c>
      <c r="AJ961">
        <v>4</v>
      </c>
      <c r="AK961">
        <v>68</v>
      </c>
      <c r="AL961" t="s">
        <v>7701</v>
      </c>
      <c r="AM961" t="s">
        <v>3008</v>
      </c>
      <c r="AN961" t="s">
        <v>7702</v>
      </c>
      <c r="AO961" t="s">
        <v>18400</v>
      </c>
      <c r="AP961" t="s">
        <v>18401</v>
      </c>
      <c r="AQ961" t="s">
        <v>74</v>
      </c>
      <c r="AR961" t="s">
        <v>18402</v>
      </c>
      <c r="AS961" t="s">
        <v>18403</v>
      </c>
      <c r="AT961" t="s">
        <v>18404</v>
      </c>
      <c r="AU961">
        <v>2018</v>
      </c>
      <c r="AV961">
        <v>224</v>
      </c>
      <c r="AW961" t="s">
        <v>74</v>
      </c>
      <c r="AX961" t="s">
        <v>74</v>
      </c>
      <c r="AY961" t="s">
        <v>74</v>
      </c>
      <c r="AZ961" t="s">
        <v>74</v>
      </c>
      <c r="BA961" t="s">
        <v>74</v>
      </c>
      <c r="BB961">
        <v>122</v>
      </c>
      <c r="BC961">
        <v>129</v>
      </c>
      <c r="BD961" t="s">
        <v>74</v>
      </c>
      <c r="BE961" t="s">
        <v>18405</v>
      </c>
      <c r="BF961" t="str">
        <f>HYPERLINK("http://dx.doi.org/10.1016/j.jenvman.2018.07.020","http://dx.doi.org/10.1016/j.jenvman.2018.07.020")</f>
        <v>http://dx.doi.org/10.1016/j.jenvman.2018.07.020</v>
      </c>
      <c r="BG961" t="s">
        <v>74</v>
      </c>
      <c r="BH961" t="s">
        <v>74</v>
      </c>
      <c r="BI961">
        <v>8</v>
      </c>
      <c r="BJ961" t="s">
        <v>798</v>
      </c>
      <c r="BK961" t="s">
        <v>101</v>
      </c>
      <c r="BL961" t="s">
        <v>799</v>
      </c>
      <c r="BM961" t="s">
        <v>18406</v>
      </c>
      <c r="BN961">
        <v>30036806</v>
      </c>
      <c r="BO961" t="s">
        <v>74</v>
      </c>
      <c r="BP961" t="s">
        <v>74</v>
      </c>
      <c r="BQ961" t="s">
        <v>74</v>
      </c>
      <c r="BR961" t="s">
        <v>104</v>
      </c>
      <c r="BS961" t="s">
        <v>18407</v>
      </c>
      <c r="BT961" t="str">
        <f>HYPERLINK("https%3A%2F%2Fwww.webofscience.com%2Fwos%2Fwoscc%2Ffull-record%2FWOS:000442058700014","View Full Record in Web of Science")</f>
        <v>View Full Record in Web of Science</v>
      </c>
    </row>
    <row r="962" spans="1:72" x14ac:dyDescent="0.15">
      <c r="A962" t="s">
        <v>72</v>
      </c>
      <c r="B962" t="s">
        <v>18408</v>
      </c>
      <c r="C962" t="s">
        <v>74</v>
      </c>
      <c r="D962" t="s">
        <v>74</v>
      </c>
      <c r="E962" t="s">
        <v>74</v>
      </c>
      <c r="F962" t="s">
        <v>18409</v>
      </c>
      <c r="G962" t="s">
        <v>74</v>
      </c>
      <c r="H962" t="s">
        <v>74</v>
      </c>
      <c r="I962" t="s">
        <v>18410</v>
      </c>
      <c r="J962" t="s">
        <v>18411</v>
      </c>
      <c r="K962" t="s">
        <v>74</v>
      </c>
      <c r="L962" t="s">
        <v>74</v>
      </c>
      <c r="M962" t="s">
        <v>78</v>
      </c>
      <c r="N962" t="s">
        <v>79</v>
      </c>
      <c r="O962" t="s">
        <v>74</v>
      </c>
      <c r="P962" t="s">
        <v>74</v>
      </c>
      <c r="Q962" t="s">
        <v>74</v>
      </c>
      <c r="R962" t="s">
        <v>74</v>
      </c>
      <c r="S962" t="s">
        <v>74</v>
      </c>
      <c r="T962" t="s">
        <v>18412</v>
      </c>
      <c r="U962" t="s">
        <v>18413</v>
      </c>
      <c r="V962" t="s">
        <v>18414</v>
      </c>
      <c r="W962" t="s">
        <v>18415</v>
      </c>
      <c r="X962" t="s">
        <v>18416</v>
      </c>
      <c r="Y962" t="s">
        <v>18417</v>
      </c>
      <c r="Z962" t="s">
        <v>18418</v>
      </c>
      <c r="AA962" t="s">
        <v>18419</v>
      </c>
      <c r="AB962" t="s">
        <v>18420</v>
      </c>
      <c r="AC962" t="s">
        <v>18421</v>
      </c>
      <c r="AD962" t="s">
        <v>18422</v>
      </c>
      <c r="AE962" t="s">
        <v>18423</v>
      </c>
      <c r="AF962" t="s">
        <v>74</v>
      </c>
      <c r="AG962">
        <v>77</v>
      </c>
      <c r="AH962">
        <v>13</v>
      </c>
      <c r="AI962">
        <v>13</v>
      </c>
      <c r="AJ962">
        <v>0</v>
      </c>
      <c r="AK962">
        <v>6</v>
      </c>
      <c r="AL962" t="s">
        <v>3290</v>
      </c>
      <c r="AM962" t="s">
        <v>2520</v>
      </c>
      <c r="AN962" t="s">
        <v>3291</v>
      </c>
      <c r="AO962" t="s">
        <v>18424</v>
      </c>
      <c r="AP962" t="s">
        <v>18425</v>
      </c>
      <c r="AQ962" t="s">
        <v>74</v>
      </c>
      <c r="AR962" t="s">
        <v>18426</v>
      </c>
      <c r="AS962" t="s">
        <v>18427</v>
      </c>
      <c r="AT962" t="s">
        <v>18404</v>
      </c>
      <c r="AU962">
        <v>2018</v>
      </c>
      <c r="AV962">
        <v>366</v>
      </c>
      <c r="AW962" t="s">
        <v>74</v>
      </c>
      <c r="AX962" t="s">
        <v>74</v>
      </c>
      <c r="AY962" t="s">
        <v>74</v>
      </c>
      <c r="AZ962" t="s">
        <v>74</v>
      </c>
      <c r="BA962" t="s">
        <v>74</v>
      </c>
      <c r="BB962">
        <v>1</v>
      </c>
      <c r="BC962">
        <v>12</v>
      </c>
      <c r="BD962" t="s">
        <v>74</v>
      </c>
      <c r="BE962" t="s">
        <v>18428</v>
      </c>
      <c r="BF962" t="str">
        <f>HYPERLINK("http://dx.doi.org/10.1016/j.jvolgeores.2018.10.006","http://dx.doi.org/10.1016/j.jvolgeores.2018.10.006")</f>
        <v>http://dx.doi.org/10.1016/j.jvolgeores.2018.10.006</v>
      </c>
      <c r="BG962" t="s">
        <v>74</v>
      </c>
      <c r="BH962" t="s">
        <v>74</v>
      </c>
      <c r="BI962">
        <v>12</v>
      </c>
      <c r="BJ962" t="s">
        <v>884</v>
      </c>
      <c r="BK962" t="s">
        <v>101</v>
      </c>
      <c r="BL962" t="s">
        <v>528</v>
      </c>
      <c r="BM962" t="s">
        <v>18429</v>
      </c>
      <c r="BN962" t="s">
        <v>74</v>
      </c>
      <c r="BO962" t="s">
        <v>74</v>
      </c>
      <c r="BP962" t="s">
        <v>74</v>
      </c>
      <c r="BQ962" t="s">
        <v>74</v>
      </c>
      <c r="BR962" t="s">
        <v>104</v>
      </c>
      <c r="BS962" t="s">
        <v>18430</v>
      </c>
      <c r="BT962" t="str">
        <f>HYPERLINK("https%3A%2F%2Fwww.webofscience.com%2Fwos%2Fwoscc%2Ffull-record%2FWOS:000452577000001","View Full Record in Web of Science")</f>
        <v>View Full Record in Web of Science</v>
      </c>
    </row>
    <row r="963" spans="1:72" x14ac:dyDescent="0.15">
      <c r="A963" t="s">
        <v>72</v>
      </c>
      <c r="B963" t="s">
        <v>18431</v>
      </c>
      <c r="C963" t="s">
        <v>74</v>
      </c>
      <c r="D963" t="s">
        <v>74</v>
      </c>
      <c r="E963" t="s">
        <v>74</v>
      </c>
      <c r="F963" t="s">
        <v>18432</v>
      </c>
      <c r="G963" t="s">
        <v>74</v>
      </c>
      <c r="H963" t="s">
        <v>74</v>
      </c>
      <c r="I963" t="s">
        <v>18433</v>
      </c>
      <c r="J963" t="s">
        <v>5714</v>
      </c>
      <c r="K963" t="s">
        <v>74</v>
      </c>
      <c r="L963" t="s">
        <v>74</v>
      </c>
      <c r="M963" t="s">
        <v>78</v>
      </c>
      <c r="N963" t="s">
        <v>79</v>
      </c>
      <c r="O963" t="s">
        <v>74</v>
      </c>
      <c r="P963" t="s">
        <v>74</v>
      </c>
      <c r="Q963" t="s">
        <v>74</v>
      </c>
      <c r="R963" t="s">
        <v>74</v>
      </c>
      <c r="S963" t="s">
        <v>74</v>
      </c>
      <c r="T963" t="s">
        <v>18434</v>
      </c>
      <c r="U963" t="s">
        <v>18435</v>
      </c>
      <c r="V963" t="s">
        <v>18436</v>
      </c>
      <c r="W963" t="s">
        <v>18437</v>
      </c>
      <c r="X963" t="s">
        <v>18438</v>
      </c>
      <c r="Y963" t="s">
        <v>18439</v>
      </c>
      <c r="Z963" t="s">
        <v>74</v>
      </c>
      <c r="AA963" t="s">
        <v>18440</v>
      </c>
      <c r="AB963" t="s">
        <v>18441</v>
      </c>
      <c r="AC963" t="s">
        <v>18442</v>
      </c>
      <c r="AD963" t="s">
        <v>18443</v>
      </c>
      <c r="AE963" t="s">
        <v>18444</v>
      </c>
      <c r="AF963" t="s">
        <v>74</v>
      </c>
      <c r="AG963">
        <v>60</v>
      </c>
      <c r="AH963">
        <v>45</v>
      </c>
      <c r="AI963">
        <v>48</v>
      </c>
      <c r="AJ963">
        <v>3</v>
      </c>
      <c r="AK963">
        <v>44</v>
      </c>
      <c r="AL963" t="s">
        <v>3352</v>
      </c>
      <c r="AM963" t="s">
        <v>3353</v>
      </c>
      <c r="AN963" t="s">
        <v>3354</v>
      </c>
      <c r="AO963" t="s">
        <v>5727</v>
      </c>
      <c r="AP963" t="s">
        <v>74</v>
      </c>
      <c r="AQ963" t="s">
        <v>74</v>
      </c>
      <c r="AR963" t="s">
        <v>5728</v>
      </c>
      <c r="AS963" t="s">
        <v>5729</v>
      </c>
      <c r="AT963" t="s">
        <v>18404</v>
      </c>
      <c r="AU963">
        <v>2018</v>
      </c>
      <c r="AV963">
        <v>198</v>
      </c>
      <c r="AW963" t="s">
        <v>74</v>
      </c>
      <c r="AX963" t="s">
        <v>74</v>
      </c>
      <c r="AY963" t="s">
        <v>74</v>
      </c>
      <c r="AZ963" t="s">
        <v>74</v>
      </c>
      <c r="BA963" t="s">
        <v>74</v>
      </c>
      <c r="BB963">
        <v>15</v>
      </c>
      <c r="BC963">
        <v>36</v>
      </c>
      <c r="BD963" t="s">
        <v>74</v>
      </c>
      <c r="BE963" t="s">
        <v>18445</v>
      </c>
      <c r="BF963" t="str">
        <f>HYPERLINK("http://dx.doi.org/10.1016/j.quascirev.2018.08.013","http://dx.doi.org/10.1016/j.quascirev.2018.08.013")</f>
        <v>http://dx.doi.org/10.1016/j.quascirev.2018.08.013</v>
      </c>
      <c r="BG963" t="s">
        <v>74</v>
      </c>
      <c r="BH963" t="s">
        <v>74</v>
      </c>
      <c r="BI963">
        <v>22</v>
      </c>
      <c r="BJ963" t="s">
        <v>1480</v>
      </c>
      <c r="BK963" t="s">
        <v>101</v>
      </c>
      <c r="BL963" t="s">
        <v>1481</v>
      </c>
      <c r="BM963" t="s">
        <v>18446</v>
      </c>
      <c r="BN963" t="s">
        <v>74</v>
      </c>
      <c r="BO963" t="s">
        <v>74</v>
      </c>
      <c r="BP963" t="s">
        <v>74</v>
      </c>
      <c r="BQ963" t="s">
        <v>74</v>
      </c>
      <c r="BR963" t="s">
        <v>104</v>
      </c>
      <c r="BS963" t="s">
        <v>18447</v>
      </c>
      <c r="BT963" t="str">
        <f>HYPERLINK("https%3A%2F%2Fwww.webofscience.com%2Fwos%2Fwoscc%2Ffull-record%2FWOS:000447480800002","View Full Record in Web of Science")</f>
        <v>View Full Record in Web of Science</v>
      </c>
    </row>
    <row r="964" spans="1:72" x14ac:dyDescent="0.15">
      <c r="A964" t="s">
        <v>72</v>
      </c>
      <c r="B964" t="s">
        <v>18448</v>
      </c>
      <c r="C964" t="s">
        <v>74</v>
      </c>
      <c r="D964" t="s">
        <v>74</v>
      </c>
      <c r="E964" t="s">
        <v>74</v>
      </c>
      <c r="F964" t="s">
        <v>18449</v>
      </c>
      <c r="G964" t="s">
        <v>74</v>
      </c>
      <c r="H964" t="s">
        <v>74</v>
      </c>
      <c r="I964" t="s">
        <v>18450</v>
      </c>
      <c r="J964" t="s">
        <v>198</v>
      </c>
      <c r="K964" t="s">
        <v>74</v>
      </c>
      <c r="L964" t="s">
        <v>74</v>
      </c>
      <c r="M964" t="s">
        <v>78</v>
      </c>
      <c r="N964" t="s">
        <v>79</v>
      </c>
      <c r="O964" t="s">
        <v>74</v>
      </c>
      <c r="P964" t="s">
        <v>74</v>
      </c>
      <c r="Q964" t="s">
        <v>74</v>
      </c>
      <c r="R964" t="s">
        <v>74</v>
      </c>
      <c r="S964" t="s">
        <v>74</v>
      </c>
      <c r="T964" t="s">
        <v>18451</v>
      </c>
      <c r="U964" t="s">
        <v>18452</v>
      </c>
      <c r="V964" t="s">
        <v>18453</v>
      </c>
      <c r="W964" t="s">
        <v>18454</v>
      </c>
      <c r="X964" t="s">
        <v>18455</v>
      </c>
      <c r="Y964" t="s">
        <v>18456</v>
      </c>
      <c r="Z964" t="s">
        <v>18457</v>
      </c>
      <c r="AA964" t="s">
        <v>74</v>
      </c>
      <c r="AB964" t="s">
        <v>18458</v>
      </c>
      <c r="AC964" t="s">
        <v>18459</v>
      </c>
      <c r="AD964" t="s">
        <v>18460</v>
      </c>
      <c r="AE964" t="s">
        <v>18461</v>
      </c>
      <c r="AF964" t="s">
        <v>74</v>
      </c>
      <c r="AG964">
        <v>55</v>
      </c>
      <c r="AH964">
        <v>13</v>
      </c>
      <c r="AI964">
        <v>13</v>
      </c>
      <c r="AJ964">
        <v>1</v>
      </c>
      <c r="AK964">
        <v>8</v>
      </c>
      <c r="AL964" t="s">
        <v>210</v>
      </c>
      <c r="AM964" t="s">
        <v>211</v>
      </c>
      <c r="AN964" t="s">
        <v>212</v>
      </c>
      <c r="AO964" t="s">
        <v>213</v>
      </c>
      <c r="AP964" t="s">
        <v>214</v>
      </c>
      <c r="AQ964" t="s">
        <v>74</v>
      </c>
      <c r="AR964" t="s">
        <v>215</v>
      </c>
      <c r="AS964" t="s">
        <v>216</v>
      </c>
      <c r="AT964" t="s">
        <v>18404</v>
      </c>
      <c r="AU964">
        <v>2018</v>
      </c>
      <c r="AV964">
        <v>50</v>
      </c>
      <c r="AW964">
        <v>1</v>
      </c>
      <c r="AX964" t="s">
        <v>74</v>
      </c>
      <c r="AY964" t="s">
        <v>74</v>
      </c>
      <c r="AZ964" t="s">
        <v>74</v>
      </c>
      <c r="BA964" t="s">
        <v>74</v>
      </c>
      <c r="BB964" t="s">
        <v>74</v>
      </c>
      <c r="BC964" t="s">
        <v>74</v>
      </c>
      <c r="BD964" t="s">
        <v>18462</v>
      </c>
      <c r="BE964" t="s">
        <v>18463</v>
      </c>
      <c r="BF964" t="str">
        <f>HYPERLINK("http://dx.doi.org/10.1080/15230430.2018.1525186","http://dx.doi.org/10.1080/15230430.2018.1525186")</f>
        <v>http://dx.doi.org/10.1080/15230430.2018.1525186</v>
      </c>
      <c r="BG964" t="s">
        <v>74</v>
      </c>
      <c r="BH964" t="s">
        <v>74</v>
      </c>
      <c r="BI964">
        <v>13</v>
      </c>
      <c r="BJ964" t="s">
        <v>218</v>
      </c>
      <c r="BK964" t="s">
        <v>101</v>
      </c>
      <c r="BL964" t="s">
        <v>219</v>
      </c>
      <c r="BM964" t="s">
        <v>18464</v>
      </c>
      <c r="BN964" t="s">
        <v>74</v>
      </c>
      <c r="BO964" t="s">
        <v>131</v>
      </c>
      <c r="BP964" t="s">
        <v>74</v>
      </c>
      <c r="BQ964" t="s">
        <v>74</v>
      </c>
      <c r="BR964" t="s">
        <v>104</v>
      </c>
      <c r="BS964" t="s">
        <v>18465</v>
      </c>
      <c r="BT964" t="str">
        <f>HYPERLINK("https%3A%2F%2Fwww.webofscience.com%2Fwos%2Fwoscc%2Ffull-record%2FWOS:000448920100001","View Full Record in Web of Science")</f>
        <v>View Full Record in Web of Science</v>
      </c>
    </row>
    <row r="965" spans="1:72" x14ac:dyDescent="0.15">
      <c r="A965" t="s">
        <v>72</v>
      </c>
      <c r="B965" t="s">
        <v>18466</v>
      </c>
      <c r="C965" t="s">
        <v>74</v>
      </c>
      <c r="D965" t="s">
        <v>74</v>
      </c>
      <c r="E965" t="s">
        <v>74</v>
      </c>
      <c r="F965" t="s">
        <v>18467</v>
      </c>
      <c r="G965" t="s">
        <v>74</v>
      </c>
      <c r="H965" t="s">
        <v>74</v>
      </c>
      <c r="I965" t="s">
        <v>18468</v>
      </c>
      <c r="J965" t="s">
        <v>5714</v>
      </c>
      <c r="K965" t="s">
        <v>74</v>
      </c>
      <c r="L965" t="s">
        <v>74</v>
      </c>
      <c r="M965" t="s">
        <v>78</v>
      </c>
      <c r="N965" t="s">
        <v>79</v>
      </c>
      <c r="O965" t="s">
        <v>74</v>
      </c>
      <c r="P965" t="s">
        <v>74</v>
      </c>
      <c r="Q965" t="s">
        <v>74</v>
      </c>
      <c r="R965" t="s">
        <v>74</v>
      </c>
      <c r="S965" t="s">
        <v>74</v>
      </c>
      <c r="T965" t="s">
        <v>74</v>
      </c>
      <c r="U965" t="s">
        <v>18469</v>
      </c>
      <c r="V965" t="s">
        <v>18470</v>
      </c>
      <c r="W965" t="s">
        <v>18471</v>
      </c>
      <c r="X965" t="s">
        <v>18472</v>
      </c>
      <c r="Y965" t="s">
        <v>18473</v>
      </c>
      <c r="Z965" t="s">
        <v>18474</v>
      </c>
      <c r="AA965" t="s">
        <v>18475</v>
      </c>
      <c r="AB965" t="s">
        <v>18476</v>
      </c>
      <c r="AC965" t="s">
        <v>18477</v>
      </c>
      <c r="AD965" t="s">
        <v>18478</v>
      </c>
      <c r="AE965" t="s">
        <v>18479</v>
      </c>
      <c r="AF965" t="s">
        <v>74</v>
      </c>
      <c r="AG965">
        <v>68</v>
      </c>
      <c r="AH965">
        <v>13</v>
      </c>
      <c r="AI965">
        <v>16</v>
      </c>
      <c r="AJ965">
        <v>1</v>
      </c>
      <c r="AK965">
        <v>22</v>
      </c>
      <c r="AL965" t="s">
        <v>3352</v>
      </c>
      <c r="AM965" t="s">
        <v>3353</v>
      </c>
      <c r="AN965" t="s">
        <v>3354</v>
      </c>
      <c r="AO965" t="s">
        <v>5727</v>
      </c>
      <c r="AP965" t="s">
        <v>12711</v>
      </c>
      <c r="AQ965" t="s">
        <v>74</v>
      </c>
      <c r="AR965" t="s">
        <v>5728</v>
      </c>
      <c r="AS965" t="s">
        <v>5729</v>
      </c>
      <c r="AT965" t="s">
        <v>18404</v>
      </c>
      <c r="AU965">
        <v>2018</v>
      </c>
      <c r="AV965">
        <v>198</v>
      </c>
      <c r="AW965" t="s">
        <v>74</v>
      </c>
      <c r="AX965" t="s">
        <v>74</v>
      </c>
      <c r="AY965" t="s">
        <v>74</v>
      </c>
      <c r="AZ965" t="s">
        <v>74</v>
      </c>
      <c r="BA965" t="s">
        <v>74</v>
      </c>
      <c r="BB965">
        <v>1</v>
      </c>
      <c r="BC965">
        <v>14</v>
      </c>
      <c r="BD965" t="s">
        <v>74</v>
      </c>
      <c r="BE965" t="s">
        <v>18480</v>
      </c>
      <c r="BF965" t="str">
        <f>HYPERLINK("http://dx.doi.org/10.1016/j.quascirev.2018.07.027","http://dx.doi.org/10.1016/j.quascirev.2018.07.027")</f>
        <v>http://dx.doi.org/10.1016/j.quascirev.2018.07.027</v>
      </c>
      <c r="BG965" t="s">
        <v>74</v>
      </c>
      <c r="BH965" t="s">
        <v>74</v>
      </c>
      <c r="BI965">
        <v>14</v>
      </c>
      <c r="BJ965" t="s">
        <v>1480</v>
      </c>
      <c r="BK965" t="s">
        <v>101</v>
      </c>
      <c r="BL965" t="s">
        <v>1481</v>
      </c>
      <c r="BM965" t="s">
        <v>18446</v>
      </c>
      <c r="BN965" t="s">
        <v>74</v>
      </c>
      <c r="BO965" t="s">
        <v>2948</v>
      </c>
      <c r="BP965" t="s">
        <v>74</v>
      </c>
      <c r="BQ965" t="s">
        <v>74</v>
      </c>
      <c r="BR965" t="s">
        <v>104</v>
      </c>
      <c r="BS965" t="s">
        <v>18481</v>
      </c>
      <c r="BT965" t="str">
        <f>HYPERLINK("https%3A%2F%2Fwww.webofscience.com%2Fwos%2Fwoscc%2Ffull-record%2FWOS:000447480800001","View Full Record in Web of Science")</f>
        <v>View Full Record in Web of Science</v>
      </c>
    </row>
    <row r="966" spans="1:72" x14ac:dyDescent="0.15">
      <c r="A966" t="s">
        <v>72</v>
      </c>
      <c r="B966" t="s">
        <v>18482</v>
      </c>
      <c r="C966" t="s">
        <v>74</v>
      </c>
      <c r="D966" t="s">
        <v>74</v>
      </c>
      <c r="E966" t="s">
        <v>74</v>
      </c>
      <c r="F966" t="s">
        <v>18483</v>
      </c>
      <c r="G966" t="s">
        <v>74</v>
      </c>
      <c r="H966" t="s">
        <v>74</v>
      </c>
      <c r="I966" t="s">
        <v>18484</v>
      </c>
      <c r="J966" t="s">
        <v>8034</v>
      </c>
      <c r="K966" t="s">
        <v>74</v>
      </c>
      <c r="L966" t="s">
        <v>74</v>
      </c>
      <c r="M966" t="s">
        <v>78</v>
      </c>
      <c r="N966" t="s">
        <v>79</v>
      </c>
      <c r="O966" t="s">
        <v>74</v>
      </c>
      <c r="P966" t="s">
        <v>74</v>
      </c>
      <c r="Q966" t="s">
        <v>74</v>
      </c>
      <c r="R966" t="s">
        <v>74</v>
      </c>
      <c r="S966" t="s">
        <v>74</v>
      </c>
      <c r="T966" t="s">
        <v>74</v>
      </c>
      <c r="U966" t="s">
        <v>18485</v>
      </c>
      <c r="V966" t="s">
        <v>18486</v>
      </c>
      <c r="W966" t="s">
        <v>18487</v>
      </c>
      <c r="X966" t="s">
        <v>18488</v>
      </c>
      <c r="Y966" t="s">
        <v>18489</v>
      </c>
      <c r="Z966" t="s">
        <v>18490</v>
      </c>
      <c r="AA966" t="s">
        <v>18491</v>
      </c>
      <c r="AB966" t="s">
        <v>18492</v>
      </c>
      <c r="AC966" t="s">
        <v>18493</v>
      </c>
      <c r="AD966" t="s">
        <v>18494</v>
      </c>
      <c r="AE966" t="s">
        <v>18495</v>
      </c>
      <c r="AF966" t="s">
        <v>74</v>
      </c>
      <c r="AG966">
        <v>78</v>
      </c>
      <c r="AH966">
        <v>18</v>
      </c>
      <c r="AI966">
        <v>20</v>
      </c>
      <c r="AJ966">
        <v>1</v>
      </c>
      <c r="AK966">
        <v>21</v>
      </c>
      <c r="AL966" t="s">
        <v>8045</v>
      </c>
      <c r="AM966" t="s">
        <v>6186</v>
      </c>
      <c r="AN966" t="s">
        <v>6187</v>
      </c>
      <c r="AO966" t="s">
        <v>8046</v>
      </c>
      <c r="AP966" t="s">
        <v>74</v>
      </c>
      <c r="AQ966" t="s">
        <v>74</v>
      </c>
      <c r="AR966" t="s">
        <v>8047</v>
      </c>
      <c r="AS966" t="s">
        <v>8048</v>
      </c>
      <c r="AT966" t="s">
        <v>18404</v>
      </c>
      <c r="AU966">
        <v>2018</v>
      </c>
      <c r="AV966">
        <v>8</v>
      </c>
      <c r="AW966" t="s">
        <v>74</v>
      </c>
      <c r="AX966" t="s">
        <v>74</v>
      </c>
      <c r="AY966" t="s">
        <v>74</v>
      </c>
      <c r="AZ966" t="s">
        <v>74</v>
      </c>
      <c r="BA966" t="s">
        <v>74</v>
      </c>
      <c r="BB966" t="s">
        <v>74</v>
      </c>
      <c r="BC966" t="s">
        <v>74</v>
      </c>
      <c r="BD966">
        <v>15272</v>
      </c>
      <c r="BE966" t="s">
        <v>18496</v>
      </c>
      <c r="BF966" t="str">
        <f>HYPERLINK("http://dx.doi.org/10.1038/s41598-018-33691-6","http://dx.doi.org/10.1038/s41598-018-33691-6")</f>
        <v>http://dx.doi.org/10.1038/s41598-018-33691-6</v>
      </c>
      <c r="BG966" t="s">
        <v>74</v>
      </c>
      <c r="BH966" t="s">
        <v>74</v>
      </c>
      <c r="BI966">
        <v>12</v>
      </c>
      <c r="BJ966" t="s">
        <v>855</v>
      </c>
      <c r="BK966" t="s">
        <v>101</v>
      </c>
      <c r="BL966" t="s">
        <v>856</v>
      </c>
      <c r="BM966" t="s">
        <v>18497</v>
      </c>
      <c r="BN966">
        <v>30323184</v>
      </c>
      <c r="BO966" t="s">
        <v>221</v>
      </c>
      <c r="BP966" t="s">
        <v>74</v>
      </c>
      <c r="BQ966" t="s">
        <v>74</v>
      </c>
      <c r="BR966" t="s">
        <v>104</v>
      </c>
      <c r="BS966" t="s">
        <v>18498</v>
      </c>
      <c r="BT966" t="str">
        <f>HYPERLINK("https%3A%2F%2Fwww.webofscience.com%2Fwos%2Fwoscc%2Ffull-record%2FWOS:000447320800011","View Full Record in Web of Science")</f>
        <v>View Full Record in Web of Science</v>
      </c>
    </row>
    <row r="967" spans="1:72" x14ac:dyDescent="0.15">
      <c r="A967" t="s">
        <v>72</v>
      </c>
      <c r="B967" t="s">
        <v>18499</v>
      </c>
      <c r="C967" t="s">
        <v>74</v>
      </c>
      <c r="D967" t="s">
        <v>74</v>
      </c>
      <c r="E967" t="s">
        <v>74</v>
      </c>
      <c r="F967" t="s">
        <v>18500</v>
      </c>
      <c r="G967" t="s">
        <v>74</v>
      </c>
      <c r="H967" t="s">
        <v>74</v>
      </c>
      <c r="I967" t="s">
        <v>18501</v>
      </c>
      <c r="J967" t="s">
        <v>7392</v>
      </c>
      <c r="K967" t="s">
        <v>74</v>
      </c>
      <c r="L967" t="s">
        <v>74</v>
      </c>
      <c r="M967" t="s">
        <v>78</v>
      </c>
      <c r="N967" t="s">
        <v>79</v>
      </c>
      <c r="O967" t="s">
        <v>74</v>
      </c>
      <c r="P967" t="s">
        <v>74</v>
      </c>
      <c r="Q967" t="s">
        <v>74</v>
      </c>
      <c r="R967" t="s">
        <v>74</v>
      </c>
      <c r="S967" t="s">
        <v>74</v>
      </c>
      <c r="T967" t="s">
        <v>18502</v>
      </c>
      <c r="U967" t="s">
        <v>18503</v>
      </c>
      <c r="V967" t="s">
        <v>18504</v>
      </c>
      <c r="W967" t="s">
        <v>18505</v>
      </c>
      <c r="X967" t="s">
        <v>18506</v>
      </c>
      <c r="Y967" t="s">
        <v>18507</v>
      </c>
      <c r="Z967" t="s">
        <v>18508</v>
      </c>
      <c r="AA967" t="s">
        <v>18509</v>
      </c>
      <c r="AB967" t="s">
        <v>18510</v>
      </c>
      <c r="AC967" t="s">
        <v>18511</v>
      </c>
      <c r="AD967" t="s">
        <v>18512</v>
      </c>
      <c r="AE967" t="s">
        <v>18513</v>
      </c>
      <c r="AF967" t="s">
        <v>74</v>
      </c>
      <c r="AG967">
        <v>62</v>
      </c>
      <c r="AH967">
        <v>32</v>
      </c>
      <c r="AI967">
        <v>34</v>
      </c>
      <c r="AJ967">
        <v>1</v>
      </c>
      <c r="AK967">
        <v>37</v>
      </c>
      <c r="AL967" t="s">
        <v>3290</v>
      </c>
      <c r="AM967" t="s">
        <v>2520</v>
      </c>
      <c r="AN967" t="s">
        <v>3291</v>
      </c>
      <c r="AO967" t="s">
        <v>7405</v>
      </c>
      <c r="AP967" t="s">
        <v>7406</v>
      </c>
      <c r="AQ967" t="s">
        <v>74</v>
      </c>
      <c r="AR967" t="s">
        <v>7407</v>
      </c>
      <c r="AS967" t="s">
        <v>7408</v>
      </c>
      <c r="AT967" t="s">
        <v>18404</v>
      </c>
      <c r="AU967">
        <v>2018</v>
      </c>
      <c r="AV967">
        <v>500</v>
      </c>
      <c r="AW967" t="s">
        <v>74</v>
      </c>
      <c r="AX967" t="s">
        <v>74</v>
      </c>
      <c r="AY967" t="s">
        <v>74</v>
      </c>
      <c r="AZ967" t="s">
        <v>74</v>
      </c>
      <c r="BA967" t="s">
        <v>74</v>
      </c>
      <c r="BB967">
        <v>67</v>
      </c>
      <c r="BC967">
        <v>75</v>
      </c>
      <c r="BD967" t="s">
        <v>74</v>
      </c>
      <c r="BE967" t="s">
        <v>18514</v>
      </c>
      <c r="BF967" t="str">
        <f>HYPERLINK("http://dx.doi.org/10.1016/j.epsl.2018.08.006","http://dx.doi.org/10.1016/j.epsl.2018.08.006")</f>
        <v>http://dx.doi.org/10.1016/j.epsl.2018.08.006</v>
      </c>
      <c r="BG967" t="s">
        <v>74</v>
      </c>
      <c r="BH967" t="s">
        <v>74</v>
      </c>
      <c r="BI967">
        <v>9</v>
      </c>
      <c r="BJ967" t="s">
        <v>746</v>
      </c>
      <c r="BK967" t="s">
        <v>101</v>
      </c>
      <c r="BL967" t="s">
        <v>746</v>
      </c>
      <c r="BM967" t="s">
        <v>18515</v>
      </c>
      <c r="BN967" t="s">
        <v>74</v>
      </c>
      <c r="BO967" t="s">
        <v>74</v>
      </c>
      <c r="BP967" t="s">
        <v>74</v>
      </c>
      <c r="BQ967" t="s">
        <v>74</v>
      </c>
      <c r="BR967" t="s">
        <v>104</v>
      </c>
      <c r="BS967" t="s">
        <v>18516</v>
      </c>
      <c r="BT967" t="str">
        <f>HYPERLINK("https%3A%2F%2Fwww.webofscience.com%2Fwos%2Fwoscc%2Ffull-record%2FWOS:000445718700007","View Full Record in Web of Science")</f>
        <v>View Full Record in Web of Science</v>
      </c>
    </row>
    <row r="968" spans="1:72" x14ac:dyDescent="0.15">
      <c r="A968" t="s">
        <v>72</v>
      </c>
      <c r="B968" t="s">
        <v>18517</v>
      </c>
      <c r="C968" t="s">
        <v>74</v>
      </c>
      <c r="D968" t="s">
        <v>74</v>
      </c>
      <c r="E968" t="s">
        <v>74</v>
      </c>
      <c r="F968" t="s">
        <v>18518</v>
      </c>
      <c r="G968" t="s">
        <v>74</v>
      </c>
      <c r="H968" t="s">
        <v>74</v>
      </c>
      <c r="I968" t="s">
        <v>18519</v>
      </c>
      <c r="J968" t="s">
        <v>7578</v>
      </c>
      <c r="K968" t="s">
        <v>74</v>
      </c>
      <c r="L968" t="s">
        <v>74</v>
      </c>
      <c r="M968" t="s">
        <v>78</v>
      </c>
      <c r="N968" t="s">
        <v>79</v>
      </c>
      <c r="O968" t="s">
        <v>74</v>
      </c>
      <c r="P968" t="s">
        <v>74</v>
      </c>
      <c r="Q968" t="s">
        <v>74</v>
      </c>
      <c r="R968" t="s">
        <v>74</v>
      </c>
      <c r="S968" t="s">
        <v>74</v>
      </c>
      <c r="T968" t="s">
        <v>18520</v>
      </c>
      <c r="U968" t="s">
        <v>18521</v>
      </c>
      <c r="V968" t="s">
        <v>18522</v>
      </c>
      <c r="W968" t="s">
        <v>18523</v>
      </c>
      <c r="X968" t="s">
        <v>18524</v>
      </c>
      <c r="Y968" t="s">
        <v>18525</v>
      </c>
      <c r="Z968" t="s">
        <v>18526</v>
      </c>
      <c r="AA968" t="s">
        <v>18527</v>
      </c>
      <c r="AB968" t="s">
        <v>18528</v>
      </c>
      <c r="AC968" t="s">
        <v>18529</v>
      </c>
      <c r="AD968" t="s">
        <v>18530</v>
      </c>
      <c r="AE968" t="s">
        <v>18531</v>
      </c>
      <c r="AF968" t="s">
        <v>74</v>
      </c>
      <c r="AG968">
        <v>130</v>
      </c>
      <c r="AH968">
        <v>114</v>
      </c>
      <c r="AI968">
        <v>116</v>
      </c>
      <c r="AJ968">
        <v>0</v>
      </c>
      <c r="AK968">
        <v>26</v>
      </c>
      <c r="AL968" t="s">
        <v>3352</v>
      </c>
      <c r="AM968" t="s">
        <v>3353</v>
      </c>
      <c r="AN968" t="s">
        <v>3354</v>
      </c>
      <c r="AO968" t="s">
        <v>7591</v>
      </c>
      <c r="AP968" t="s">
        <v>7592</v>
      </c>
      <c r="AQ968" t="s">
        <v>74</v>
      </c>
      <c r="AR968" t="s">
        <v>7593</v>
      </c>
      <c r="AS968" t="s">
        <v>7594</v>
      </c>
      <c r="AT968" t="s">
        <v>18404</v>
      </c>
      <c r="AU968">
        <v>2018</v>
      </c>
      <c r="AV968">
        <v>239</v>
      </c>
      <c r="AW968" t="s">
        <v>74</v>
      </c>
      <c r="AX968" t="s">
        <v>74</v>
      </c>
      <c r="AY968" t="s">
        <v>74</v>
      </c>
      <c r="AZ968" t="s">
        <v>74</v>
      </c>
      <c r="BA968" t="s">
        <v>74</v>
      </c>
      <c r="BB968">
        <v>17</v>
      </c>
      <c r="BC968">
        <v>48</v>
      </c>
      <c r="BD968" t="s">
        <v>74</v>
      </c>
      <c r="BE968" t="s">
        <v>18532</v>
      </c>
      <c r="BF968" t="str">
        <f>HYPERLINK("http://dx.doi.org/10.1016/j.gca.2018.07.023","http://dx.doi.org/10.1016/j.gca.2018.07.023")</f>
        <v>http://dx.doi.org/10.1016/j.gca.2018.07.023</v>
      </c>
      <c r="BG968" t="s">
        <v>74</v>
      </c>
      <c r="BH968" t="s">
        <v>74</v>
      </c>
      <c r="BI968">
        <v>32</v>
      </c>
      <c r="BJ968" t="s">
        <v>746</v>
      </c>
      <c r="BK968" t="s">
        <v>101</v>
      </c>
      <c r="BL968" t="s">
        <v>746</v>
      </c>
      <c r="BM968" t="s">
        <v>18533</v>
      </c>
      <c r="BN968" t="s">
        <v>74</v>
      </c>
      <c r="BO968" t="s">
        <v>3810</v>
      </c>
      <c r="BP968" t="s">
        <v>74</v>
      </c>
      <c r="BQ968" t="s">
        <v>74</v>
      </c>
      <c r="BR968" t="s">
        <v>104</v>
      </c>
      <c r="BS968" t="s">
        <v>18534</v>
      </c>
      <c r="BT968" t="str">
        <f>HYPERLINK("https%3A%2F%2Fwww.webofscience.com%2Fwos%2Fwoscc%2Ffull-record%2FWOS:000445036400002","View Full Record in Web of Science")</f>
        <v>View Full Record in Web of Science</v>
      </c>
    </row>
    <row r="969" spans="1:72" x14ac:dyDescent="0.15">
      <c r="A969" t="s">
        <v>72</v>
      </c>
      <c r="B969" t="s">
        <v>18535</v>
      </c>
      <c r="C969" t="s">
        <v>74</v>
      </c>
      <c r="D969" t="s">
        <v>74</v>
      </c>
      <c r="E969" t="s">
        <v>74</v>
      </c>
      <c r="F969" t="s">
        <v>18536</v>
      </c>
      <c r="G969" t="s">
        <v>74</v>
      </c>
      <c r="H969" t="s">
        <v>74</v>
      </c>
      <c r="I969" t="s">
        <v>18537</v>
      </c>
      <c r="J969" t="s">
        <v>7578</v>
      </c>
      <c r="K969" t="s">
        <v>74</v>
      </c>
      <c r="L969" t="s">
        <v>74</v>
      </c>
      <c r="M969" t="s">
        <v>78</v>
      </c>
      <c r="N969" t="s">
        <v>79</v>
      </c>
      <c r="O969" t="s">
        <v>74</v>
      </c>
      <c r="P969" t="s">
        <v>74</v>
      </c>
      <c r="Q969" t="s">
        <v>74</v>
      </c>
      <c r="R969" t="s">
        <v>74</v>
      </c>
      <c r="S969" t="s">
        <v>74</v>
      </c>
      <c r="T969" t="s">
        <v>18538</v>
      </c>
      <c r="U969" t="s">
        <v>18539</v>
      </c>
      <c r="V969" t="s">
        <v>18540</v>
      </c>
      <c r="W969" t="s">
        <v>18541</v>
      </c>
      <c r="X969" t="s">
        <v>18542</v>
      </c>
      <c r="Y969" t="s">
        <v>18543</v>
      </c>
      <c r="Z969" t="s">
        <v>18544</v>
      </c>
      <c r="AA969" t="s">
        <v>18545</v>
      </c>
      <c r="AB969" t="s">
        <v>18546</v>
      </c>
      <c r="AC969" t="s">
        <v>18547</v>
      </c>
      <c r="AD969" t="s">
        <v>18548</v>
      </c>
      <c r="AE969" t="s">
        <v>18549</v>
      </c>
      <c r="AF969" t="s">
        <v>74</v>
      </c>
      <c r="AG969">
        <v>102</v>
      </c>
      <c r="AH969">
        <v>29</v>
      </c>
      <c r="AI969">
        <v>30</v>
      </c>
      <c r="AJ969">
        <v>0</v>
      </c>
      <c r="AK969">
        <v>12</v>
      </c>
      <c r="AL969" t="s">
        <v>3352</v>
      </c>
      <c r="AM969" t="s">
        <v>3353</v>
      </c>
      <c r="AN969" t="s">
        <v>3354</v>
      </c>
      <c r="AO969" t="s">
        <v>7591</v>
      </c>
      <c r="AP969" t="s">
        <v>7592</v>
      </c>
      <c r="AQ969" t="s">
        <v>74</v>
      </c>
      <c r="AR969" t="s">
        <v>7593</v>
      </c>
      <c r="AS969" t="s">
        <v>7594</v>
      </c>
      <c r="AT969" t="s">
        <v>18404</v>
      </c>
      <c r="AU969">
        <v>2018</v>
      </c>
      <c r="AV969">
        <v>239</v>
      </c>
      <c r="AW969" t="s">
        <v>74</v>
      </c>
      <c r="AX969" t="s">
        <v>74</v>
      </c>
      <c r="AY969" t="s">
        <v>74</v>
      </c>
      <c r="AZ969" t="s">
        <v>74</v>
      </c>
      <c r="BA969" t="s">
        <v>74</v>
      </c>
      <c r="BB969">
        <v>213</v>
      </c>
      <c r="BC969">
        <v>234</v>
      </c>
      <c r="BD969" t="s">
        <v>74</v>
      </c>
      <c r="BE969" t="s">
        <v>18550</v>
      </c>
      <c r="BF969" t="str">
        <f>HYPERLINK("http://dx.doi.org/10.1016/j.gca.2018.08.006","http://dx.doi.org/10.1016/j.gca.2018.08.006")</f>
        <v>http://dx.doi.org/10.1016/j.gca.2018.08.006</v>
      </c>
      <c r="BG969" t="s">
        <v>74</v>
      </c>
      <c r="BH969" t="s">
        <v>74</v>
      </c>
      <c r="BI969">
        <v>22</v>
      </c>
      <c r="BJ969" t="s">
        <v>746</v>
      </c>
      <c r="BK969" t="s">
        <v>101</v>
      </c>
      <c r="BL969" t="s">
        <v>746</v>
      </c>
      <c r="BM969" t="s">
        <v>18533</v>
      </c>
      <c r="BN969" t="s">
        <v>74</v>
      </c>
      <c r="BO969" t="s">
        <v>404</v>
      </c>
      <c r="BP969" t="s">
        <v>74</v>
      </c>
      <c r="BQ969" t="s">
        <v>74</v>
      </c>
      <c r="BR969" t="s">
        <v>104</v>
      </c>
      <c r="BS969" t="s">
        <v>18551</v>
      </c>
      <c r="BT969" t="str">
        <f>HYPERLINK("https%3A%2F%2Fwww.webofscience.com%2Fwos%2Fwoscc%2Ffull-record%2FWOS:000445036400013","View Full Record in Web of Science")</f>
        <v>View Full Record in Web of Science</v>
      </c>
    </row>
    <row r="970" spans="1:72" x14ac:dyDescent="0.15">
      <c r="A970" t="s">
        <v>72</v>
      </c>
      <c r="B970" t="s">
        <v>18552</v>
      </c>
      <c r="C970" t="s">
        <v>74</v>
      </c>
      <c r="D970" t="s">
        <v>74</v>
      </c>
      <c r="E970" t="s">
        <v>74</v>
      </c>
      <c r="F970" t="s">
        <v>18553</v>
      </c>
      <c r="G970" t="s">
        <v>74</v>
      </c>
      <c r="H970" t="s">
        <v>74</v>
      </c>
      <c r="I970" t="s">
        <v>18554</v>
      </c>
      <c r="J970" t="s">
        <v>7578</v>
      </c>
      <c r="K970" t="s">
        <v>74</v>
      </c>
      <c r="L970" t="s">
        <v>74</v>
      </c>
      <c r="M970" t="s">
        <v>78</v>
      </c>
      <c r="N970" t="s">
        <v>79</v>
      </c>
      <c r="O970" t="s">
        <v>74</v>
      </c>
      <c r="P970" t="s">
        <v>74</v>
      </c>
      <c r="Q970" t="s">
        <v>74</v>
      </c>
      <c r="R970" t="s">
        <v>74</v>
      </c>
      <c r="S970" t="s">
        <v>74</v>
      </c>
      <c r="T970" t="s">
        <v>18555</v>
      </c>
      <c r="U970" t="s">
        <v>18556</v>
      </c>
      <c r="V970" t="s">
        <v>18557</v>
      </c>
      <c r="W970" t="s">
        <v>18558</v>
      </c>
      <c r="X970" t="s">
        <v>18559</v>
      </c>
      <c r="Y970" t="s">
        <v>18560</v>
      </c>
      <c r="Z970" t="s">
        <v>18561</v>
      </c>
      <c r="AA970" t="s">
        <v>18562</v>
      </c>
      <c r="AB970" t="s">
        <v>18563</v>
      </c>
      <c r="AC970" t="s">
        <v>18564</v>
      </c>
      <c r="AD970" t="s">
        <v>18565</v>
      </c>
      <c r="AE970" t="s">
        <v>18566</v>
      </c>
      <c r="AF970" t="s">
        <v>74</v>
      </c>
      <c r="AG970">
        <v>81</v>
      </c>
      <c r="AH970">
        <v>7</v>
      </c>
      <c r="AI970">
        <v>9</v>
      </c>
      <c r="AJ970">
        <v>0</v>
      </c>
      <c r="AK970">
        <v>8</v>
      </c>
      <c r="AL970" t="s">
        <v>3352</v>
      </c>
      <c r="AM970" t="s">
        <v>3353</v>
      </c>
      <c r="AN970" t="s">
        <v>3354</v>
      </c>
      <c r="AO970" t="s">
        <v>7591</v>
      </c>
      <c r="AP970" t="s">
        <v>7592</v>
      </c>
      <c r="AQ970" t="s">
        <v>74</v>
      </c>
      <c r="AR970" t="s">
        <v>7593</v>
      </c>
      <c r="AS970" t="s">
        <v>7594</v>
      </c>
      <c r="AT970" t="s">
        <v>18404</v>
      </c>
      <c r="AU970">
        <v>2018</v>
      </c>
      <c r="AV970">
        <v>239</v>
      </c>
      <c r="AW970" t="s">
        <v>74</v>
      </c>
      <c r="AX970" t="s">
        <v>74</v>
      </c>
      <c r="AY970" t="s">
        <v>74</v>
      </c>
      <c r="AZ970" t="s">
        <v>74</v>
      </c>
      <c r="BA970" t="s">
        <v>74</v>
      </c>
      <c r="BB970">
        <v>346</v>
      </c>
      <c r="BC970">
        <v>362</v>
      </c>
      <c r="BD970" t="s">
        <v>74</v>
      </c>
      <c r="BE970" t="s">
        <v>18567</v>
      </c>
      <c r="BF970" t="str">
        <f>HYPERLINK("http://dx.doi.org/10.1016/j.gca.2018.08.009","http://dx.doi.org/10.1016/j.gca.2018.08.009")</f>
        <v>http://dx.doi.org/10.1016/j.gca.2018.08.009</v>
      </c>
      <c r="BG970" t="s">
        <v>74</v>
      </c>
      <c r="BH970" t="s">
        <v>74</v>
      </c>
      <c r="BI970">
        <v>17</v>
      </c>
      <c r="BJ970" t="s">
        <v>746</v>
      </c>
      <c r="BK970" t="s">
        <v>101</v>
      </c>
      <c r="BL970" t="s">
        <v>746</v>
      </c>
      <c r="BM970" t="s">
        <v>18533</v>
      </c>
      <c r="BN970" t="s">
        <v>74</v>
      </c>
      <c r="BO970" t="s">
        <v>74</v>
      </c>
      <c r="BP970" t="s">
        <v>74</v>
      </c>
      <c r="BQ970" t="s">
        <v>74</v>
      </c>
      <c r="BR970" t="s">
        <v>104</v>
      </c>
      <c r="BS970" t="s">
        <v>18568</v>
      </c>
      <c r="BT970" t="str">
        <f>HYPERLINK("https%3A%2F%2Fwww.webofscience.com%2Fwos%2Fwoscc%2Ffull-record%2FWOS:000445036400020","View Full Record in Web of Science")</f>
        <v>View Full Record in Web of Science</v>
      </c>
    </row>
    <row r="971" spans="1:72" x14ac:dyDescent="0.15">
      <c r="A971" t="s">
        <v>72</v>
      </c>
      <c r="B971" t="s">
        <v>18569</v>
      </c>
      <c r="C971" t="s">
        <v>74</v>
      </c>
      <c r="D971" t="s">
        <v>74</v>
      </c>
      <c r="E971" t="s">
        <v>74</v>
      </c>
      <c r="F971" t="s">
        <v>18570</v>
      </c>
      <c r="G971" t="s">
        <v>74</v>
      </c>
      <c r="H971" t="s">
        <v>74</v>
      </c>
      <c r="I971" t="s">
        <v>18571</v>
      </c>
      <c r="J971" t="s">
        <v>8359</v>
      </c>
      <c r="K971" t="s">
        <v>74</v>
      </c>
      <c r="L971" t="s">
        <v>74</v>
      </c>
      <c r="M971" t="s">
        <v>78</v>
      </c>
      <c r="N971" t="s">
        <v>79</v>
      </c>
      <c r="O971" t="s">
        <v>74</v>
      </c>
      <c r="P971" t="s">
        <v>74</v>
      </c>
      <c r="Q971" t="s">
        <v>74</v>
      </c>
      <c r="R971" t="s">
        <v>74</v>
      </c>
      <c r="S971" t="s">
        <v>74</v>
      </c>
      <c r="T971" t="s">
        <v>18572</v>
      </c>
      <c r="U971" t="s">
        <v>18573</v>
      </c>
      <c r="V971" t="s">
        <v>18574</v>
      </c>
      <c r="W971" t="s">
        <v>18575</v>
      </c>
      <c r="X971" t="s">
        <v>18576</v>
      </c>
      <c r="Y971" t="s">
        <v>18577</v>
      </c>
      <c r="Z971" t="s">
        <v>18578</v>
      </c>
      <c r="AA971" t="s">
        <v>18579</v>
      </c>
      <c r="AB971" t="s">
        <v>18580</v>
      </c>
      <c r="AC971" t="s">
        <v>18581</v>
      </c>
      <c r="AD971" t="s">
        <v>18582</v>
      </c>
      <c r="AE971" t="s">
        <v>18583</v>
      </c>
      <c r="AF971" t="s">
        <v>74</v>
      </c>
      <c r="AG971">
        <v>82</v>
      </c>
      <c r="AH971">
        <v>6</v>
      </c>
      <c r="AI971">
        <v>6</v>
      </c>
      <c r="AJ971">
        <v>0</v>
      </c>
      <c r="AK971">
        <v>9</v>
      </c>
      <c r="AL971" t="s">
        <v>2519</v>
      </c>
      <c r="AM971" t="s">
        <v>2520</v>
      </c>
      <c r="AN971" t="s">
        <v>3313</v>
      </c>
      <c r="AO971" t="s">
        <v>8368</v>
      </c>
      <c r="AP971" t="s">
        <v>8369</v>
      </c>
      <c r="AQ971" t="s">
        <v>74</v>
      </c>
      <c r="AR971" t="s">
        <v>8370</v>
      </c>
      <c r="AS971" t="s">
        <v>8371</v>
      </c>
      <c r="AT971" t="s">
        <v>18404</v>
      </c>
      <c r="AU971">
        <v>2018</v>
      </c>
      <c r="AV971">
        <v>507</v>
      </c>
      <c r="AW971" t="s">
        <v>74</v>
      </c>
      <c r="AX971" t="s">
        <v>74</v>
      </c>
      <c r="AY971" t="s">
        <v>74</v>
      </c>
      <c r="AZ971" t="s">
        <v>74</v>
      </c>
      <c r="BA971" t="s">
        <v>74</v>
      </c>
      <c r="BB971">
        <v>201</v>
      </c>
      <c r="BC971">
        <v>213</v>
      </c>
      <c r="BD971" t="s">
        <v>74</v>
      </c>
      <c r="BE971" t="s">
        <v>18584</v>
      </c>
      <c r="BF971" t="str">
        <f>HYPERLINK("http://dx.doi.org/10.1016/j.palaeo.2018.07.019","http://dx.doi.org/10.1016/j.palaeo.2018.07.019")</f>
        <v>http://dx.doi.org/10.1016/j.palaeo.2018.07.019</v>
      </c>
      <c r="BG971" t="s">
        <v>74</v>
      </c>
      <c r="BH971" t="s">
        <v>74</v>
      </c>
      <c r="BI971">
        <v>13</v>
      </c>
      <c r="BJ971" t="s">
        <v>8373</v>
      </c>
      <c r="BK971" t="s">
        <v>101</v>
      </c>
      <c r="BL971" t="s">
        <v>8374</v>
      </c>
      <c r="BM971" t="s">
        <v>18585</v>
      </c>
      <c r="BN971" t="s">
        <v>74</v>
      </c>
      <c r="BO971" t="s">
        <v>74</v>
      </c>
      <c r="BP971" t="s">
        <v>74</v>
      </c>
      <c r="BQ971" t="s">
        <v>74</v>
      </c>
      <c r="BR971" t="s">
        <v>104</v>
      </c>
      <c r="BS971" t="s">
        <v>18586</v>
      </c>
      <c r="BT971" t="str">
        <f>HYPERLINK("https%3A%2F%2Fwww.webofscience.com%2Fwos%2Fwoscc%2Ffull-record%2FWOS:000442055900016","View Full Record in Web of Science")</f>
        <v>View Full Record in Web of Science</v>
      </c>
    </row>
    <row r="972" spans="1:72" x14ac:dyDescent="0.15">
      <c r="A972" t="s">
        <v>72</v>
      </c>
      <c r="B972" t="s">
        <v>18587</v>
      </c>
      <c r="C972" t="s">
        <v>74</v>
      </c>
      <c r="D972" t="s">
        <v>74</v>
      </c>
      <c r="E972" t="s">
        <v>74</v>
      </c>
      <c r="F972" t="s">
        <v>18588</v>
      </c>
      <c r="G972" t="s">
        <v>74</v>
      </c>
      <c r="H972" t="s">
        <v>74</v>
      </c>
      <c r="I972" t="s">
        <v>18589</v>
      </c>
      <c r="J972" t="s">
        <v>18590</v>
      </c>
      <c r="K972" t="s">
        <v>74</v>
      </c>
      <c r="L972" t="s">
        <v>74</v>
      </c>
      <c r="M972" t="s">
        <v>78</v>
      </c>
      <c r="N972" t="s">
        <v>3800</v>
      </c>
      <c r="O972" t="s">
        <v>74</v>
      </c>
      <c r="P972" t="s">
        <v>74</v>
      </c>
      <c r="Q972" t="s">
        <v>74</v>
      </c>
      <c r="R972" t="s">
        <v>74</v>
      </c>
      <c r="S972" t="s">
        <v>74</v>
      </c>
      <c r="T972" t="s">
        <v>74</v>
      </c>
      <c r="U972" t="s">
        <v>74</v>
      </c>
      <c r="V972" t="s">
        <v>74</v>
      </c>
      <c r="W972" t="s">
        <v>74</v>
      </c>
      <c r="X972" t="s">
        <v>74</v>
      </c>
      <c r="Y972" t="s">
        <v>74</v>
      </c>
      <c r="Z972" t="s">
        <v>74</v>
      </c>
      <c r="AA972" t="s">
        <v>18591</v>
      </c>
      <c r="AB972" t="s">
        <v>18592</v>
      </c>
      <c r="AC972" t="s">
        <v>18593</v>
      </c>
      <c r="AD972" t="s">
        <v>2819</v>
      </c>
      <c r="AE972" t="s">
        <v>74</v>
      </c>
      <c r="AF972" t="s">
        <v>74</v>
      </c>
      <c r="AG972">
        <v>1</v>
      </c>
      <c r="AH972">
        <v>2</v>
      </c>
      <c r="AI972">
        <v>2</v>
      </c>
      <c r="AJ972">
        <v>0</v>
      </c>
      <c r="AK972">
        <v>0</v>
      </c>
      <c r="AL972" t="s">
        <v>18594</v>
      </c>
      <c r="AM972" t="s">
        <v>3008</v>
      </c>
      <c r="AN972" t="s">
        <v>18595</v>
      </c>
      <c r="AO972" t="s">
        <v>18596</v>
      </c>
      <c r="AP972" t="s">
        <v>18597</v>
      </c>
      <c r="AQ972" t="s">
        <v>74</v>
      </c>
      <c r="AR972" t="s">
        <v>18598</v>
      </c>
      <c r="AS972" t="s">
        <v>18599</v>
      </c>
      <c r="AT972" t="s">
        <v>18600</v>
      </c>
      <c r="AU972">
        <v>2018</v>
      </c>
      <c r="AV972">
        <v>376</v>
      </c>
      <c r="AW972">
        <v>2130</v>
      </c>
      <c r="AX972" t="s">
        <v>74</v>
      </c>
      <c r="AY972" t="s">
        <v>74</v>
      </c>
      <c r="AZ972" t="s">
        <v>74</v>
      </c>
      <c r="BA972" t="s">
        <v>74</v>
      </c>
      <c r="BB972" t="s">
        <v>74</v>
      </c>
      <c r="BC972" t="s">
        <v>74</v>
      </c>
      <c r="BD972">
        <v>20170174</v>
      </c>
      <c r="BE972" t="s">
        <v>18601</v>
      </c>
      <c r="BF972" t="str">
        <f>HYPERLINK("http://dx.doi.org/10.1098/rsta.2018.0170","http://dx.doi.org/10.1098/rsta.2018.0170")</f>
        <v>http://dx.doi.org/10.1098/rsta.2018.0170</v>
      </c>
      <c r="BG972" t="s">
        <v>74</v>
      </c>
      <c r="BH972" t="s">
        <v>74</v>
      </c>
      <c r="BI972">
        <v>9</v>
      </c>
      <c r="BJ972" t="s">
        <v>855</v>
      </c>
      <c r="BK972" t="s">
        <v>101</v>
      </c>
      <c r="BL972" t="s">
        <v>856</v>
      </c>
      <c r="BM972" t="s">
        <v>18602</v>
      </c>
      <c r="BN972">
        <v>30177569</v>
      </c>
      <c r="BO972" t="s">
        <v>4470</v>
      </c>
      <c r="BP972" t="s">
        <v>74</v>
      </c>
      <c r="BQ972" t="s">
        <v>74</v>
      </c>
      <c r="BR972" t="s">
        <v>104</v>
      </c>
      <c r="BS972" t="s">
        <v>18603</v>
      </c>
      <c r="BT972" t="str">
        <f>HYPERLINK("https%3A%2F%2Fwww.webofscience.com%2Fwos%2Fwoscc%2Ffull-record%2FWOS:000443416400012","View Full Record in Web of Science")</f>
        <v>View Full Record in Web of Science</v>
      </c>
    </row>
    <row r="973" spans="1:72" x14ac:dyDescent="0.15">
      <c r="A973" t="s">
        <v>72</v>
      </c>
      <c r="B973" t="s">
        <v>18604</v>
      </c>
      <c r="C973" t="s">
        <v>74</v>
      </c>
      <c r="D973" t="s">
        <v>74</v>
      </c>
      <c r="E973" t="s">
        <v>74</v>
      </c>
      <c r="F973" t="s">
        <v>18605</v>
      </c>
      <c r="G973" t="s">
        <v>74</v>
      </c>
      <c r="H973" t="s">
        <v>74</v>
      </c>
      <c r="I973" t="s">
        <v>18606</v>
      </c>
      <c r="J973" t="s">
        <v>18607</v>
      </c>
      <c r="K973" t="s">
        <v>74</v>
      </c>
      <c r="L973" t="s">
        <v>74</v>
      </c>
      <c r="M973" t="s">
        <v>78</v>
      </c>
      <c r="N973" t="s">
        <v>1003</v>
      </c>
      <c r="O973" t="s">
        <v>74</v>
      </c>
      <c r="P973" t="s">
        <v>74</v>
      </c>
      <c r="Q973" t="s">
        <v>74</v>
      </c>
      <c r="R973" t="s">
        <v>74</v>
      </c>
      <c r="S973" t="s">
        <v>74</v>
      </c>
      <c r="T973" t="s">
        <v>74</v>
      </c>
      <c r="U973" t="s">
        <v>18608</v>
      </c>
      <c r="V973" t="s">
        <v>18609</v>
      </c>
      <c r="W973" t="s">
        <v>18610</v>
      </c>
      <c r="X973" t="s">
        <v>13419</v>
      </c>
      <c r="Y973" t="s">
        <v>18611</v>
      </c>
      <c r="Z973" t="s">
        <v>18612</v>
      </c>
      <c r="AA973" t="s">
        <v>74</v>
      </c>
      <c r="AB973" t="s">
        <v>18613</v>
      </c>
      <c r="AC973" t="s">
        <v>18614</v>
      </c>
      <c r="AD973" t="s">
        <v>18615</v>
      </c>
      <c r="AE973" t="s">
        <v>18616</v>
      </c>
      <c r="AF973" t="s">
        <v>74</v>
      </c>
      <c r="AG973">
        <v>352</v>
      </c>
      <c r="AH973">
        <v>14</v>
      </c>
      <c r="AI973">
        <v>14</v>
      </c>
      <c r="AJ973">
        <v>0</v>
      </c>
      <c r="AK973">
        <v>11</v>
      </c>
      <c r="AL973" t="s">
        <v>7866</v>
      </c>
      <c r="AM973" t="s">
        <v>7867</v>
      </c>
      <c r="AN973" t="s">
        <v>7868</v>
      </c>
      <c r="AO973" t="s">
        <v>18617</v>
      </c>
      <c r="AP973" t="s">
        <v>18618</v>
      </c>
      <c r="AQ973" t="s">
        <v>74</v>
      </c>
      <c r="AR973" t="s">
        <v>18619</v>
      </c>
      <c r="AS973" t="s">
        <v>18620</v>
      </c>
      <c r="AT973" t="s">
        <v>18621</v>
      </c>
      <c r="AU973">
        <v>2018</v>
      </c>
      <c r="AV973">
        <v>37</v>
      </c>
      <c r="AW973">
        <v>2</v>
      </c>
      <c r="AX973" t="s">
        <v>74</v>
      </c>
      <c r="AY973" t="s">
        <v>74</v>
      </c>
      <c r="AZ973" t="s">
        <v>74</v>
      </c>
      <c r="BA973" t="s">
        <v>74</v>
      </c>
      <c r="BB973">
        <v>445</v>
      </c>
      <c r="BC973">
        <v>497</v>
      </c>
      <c r="BD973" t="s">
        <v>74</v>
      </c>
      <c r="BE973" t="s">
        <v>18622</v>
      </c>
      <c r="BF973" t="str">
        <f>HYPERLINK("http://dx.doi.org/10.5194/jm-37-445-2018","http://dx.doi.org/10.5194/jm-37-445-2018")</f>
        <v>http://dx.doi.org/10.5194/jm-37-445-2018</v>
      </c>
      <c r="BG973" t="s">
        <v>74</v>
      </c>
      <c r="BH973" t="s">
        <v>74</v>
      </c>
      <c r="BI973">
        <v>53</v>
      </c>
      <c r="BJ973" t="s">
        <v>375</v>
      </c>
      <c r="BK973" t="s">
        <v>101</v>
      </c>
      <c r="BL973" t="s">
        <v>375</v>
      </c>
      <c r="BM973" t="s">
        <v>18623</v>
      </c>
      <c r="BN973" t="s">
        <v>74</v>
      </c>
      <c r="BO973" t="s">
        <v>1556</v>
      </c>
      <c r="BP973" t="s">
        <v>74</v>
      </c>
      <c r="BQ973" t="s">
        <v>74</v>
      </c>
      <c r="BR973" t="s">
        <v>104</v>
      </c>
      <c r="BS973" t="s">
        <v>18624</v>
      </c>
      <c r="BT973" t="str">
        <f>HYPERLINK("https%3A%2F%2Fwww.webofscience.com%2Fwos%2Fwoscc%2Ffull-record%2FWOS:000447092800001","View Full Record in Web of Science")</f>
        <v>View Full Record in Web of Science</v>
      </c>
    </row>
    <row r="974" spans="1:72" x14ac:dyDescent="0.15">
      <c r="A974" t="s">
        <v>72</v>
      </c>
      <c r="B974" t="s">
        <v>18625</v>
      </c>
      <c r="C974" t="s">
        <v>74</v>
      </c>
      <c r="D974" t="s">
        <v>74</v>
      </c>
      <c r="E974" t="s">
        <v>74</v>
      </c>
      <c r="F974" t="s">
        <v>18626</v>
      </c>
      <c r="G974" t="s">
        <v>74</v>
      </c>
      <c r="H974" t="s">
        <v>74</v>
      </c>
      <c r="I974" t="s">
        <v>18627</v>
      </c>
      <c r="J974" t="s">
        <v>18628</v>
      </c>
      <c r="K974" t="s">
        <v>74</v>
      </c>
      <c r="L974" t="s">
        <v>74</v>
      </c>
      <c r="M974" t="s">
        <v>78</v>
      </c>
      <c r="N974" t="s">
        <v>79</v>
      </c>
      <c r="O974" t="s">
        <v>74</v>
      </c>
      <c r="P974" t="s">
        <v>74</v>
      </c>
      <c r="Q974" t="s">
        <v>74</v>
      </c>
      <c r="R974" t="s">
        <v>74</v>
      </c>
      <c r="S974" t="s">
        <v>74</v>
      </c>
      <c r="T974" t="s">
        <v>18629</v>
      </c>
      <c r="U974" t="s">
        <v>18630</v>
      </c>
      <c r="V974" t="s">
        <v>18631</v>
      </c>
      <c r="W974" t="s">
        <v>18632</v>
      </c>
      <c r="X974" t="s">
        <v>18633</v>
      </c>
      <c r="Y974" t="s">
        <v>18634</v>
      </c>
      <c r="Z974" t="s">
        <v>18635</v>
      </c>
      <c r="AA974" t="s">
        <v>74</v>
      </c>
      <c r="AB974" t="s">
        <v>18636</v>
      </c>
      <c r="AC974" t="s">
        <v>18637</v>
      </c>
      <c r="AD974" t="s">
        <v>18638</v>
      </c>
      <c r="AE974" t="s">
        <v>18639</v>
      </c>
      <c r="AF974" t="s">
        <v>74</v>
      </c>
      <c r="AG974">
        <v>39</v>
      </c>
      <c r="AH974">
        <v>21</v>
      </c>
      <c r="AI974">
        <v>23</v>
      </c>
      <c r="AJ974">
        <v>1</v>
      </c>
      <c r="AK974">
        <v>2</v>
      </c>
      <c r="AL974" t="s">
        <v>2519</v>
      </c>
      <c r="AM974" t="s">
        <v>2520</v>
      </c>
      <c r="AN974" t="s">
        <v>3313</v>
      </c>
      <c r="AO974" t="s">
        <v>18640</v>
      </c>
      <c r="AP974" t="s">
        <v>18641</v>
      </c>
      <c r="AQ974" t="s">
        <v>74</v>
      </c>
      <c r="AR974" t="s">
        <v>18642</v>
      </c>
      <c r="AS974" t="s">
        <v>18643</v>
      </c>
      <c r="AT974" t="s">
        <v>18621</v>
      </c>
      <c r="AU974">
        <v>2018</v>
      </c>
      <c r="AV974">
        <v>905</v>
      </c>
      <c r="AW974" t="s">
        <v>74</v>
      </c>
      <c r="AX974" t="s">
        <v>74</v>
      </c>
      <c r="AY974" t="s">
        <v>74</v>
      </c>
      <c r="AZ974" t="s">
        <v>74</v>
      </c>
      <c r="BA974" t="s">
        <v>74</v>
      </c>
      <c r="BB974">
        <v>12</v>
      </c>
      <c r="BC974">
        <v>21</v>
      </c>
      <c r="BD974" t="s">
        <v>74</v>
      </c>
      <c r="BE974" t="s">
        <v>18644</v>
      </c>
      <c r="BF974" t="str">
        <f>HYPERLINK("http://dx.doi.org/10.1016/j.nima.2018.07.024","http://dx.doi.org/10.1016/j.nima.2018.07.024")</f>
        <v>http://dx.doi.org/10.1016/j.nima.2018.07.024</v>
      </c>
      <c r="BG974" t="s">
        <v>74</v>
      </c>
      <c r="BH974" t="s">
        <v>74</v>
      </c>
      <c r="BI974">
        <v>10</v>
      </c>
      <c r="BJ974" t="s">
        <v>18645</v>
      </c>
      <c r="BK974" t="s">
        <v>101</v>
      </c>
      <c r="BL974" t="s">
        <v>18646</v>
      </c>
      <c r="BM974" t="s">
        <v>18647</v>
      </c>
      <c r="BN974" t="s">
        <v>74</v>
      </c>
      <c r="BO974" t="s">
        <v>18648</v>
      </c>
      <c r="BP974" t="s">
        <v>74</v>
      </c>
      <c r="BQ974" t="s">
        <v>74</v>
      </c>
      <c r="BR974" t="s">
        <v>104</v>
      </c>
      <c r="BS974" t="s">
        <v>18649</v>
      </c>
      <c r="BT974" t="str">
        <f>HYPERLINK("https%3A%2F%2Fwww.webofscience.com%2Fwos%2Fwoscc%2Ffull-record%2FWOS:000444425700002","View Full Record in Web of Science")</f>
        <v>View Full Record in Web of Science</v>
      </c>
    </row>
    <row r="975" spans="1:72" x14ac:dyDescent="0.15">
      <c r="A975" t="s">
        <v>72</v>
      </c>
      <c r="B975" t="s">
        <v>18650</v>
      </c>
      <c r="C975" t="s">
        <v>74</v>
      </c>
      <c r="D975" t="s">
        <v>74</v>
      </c>
      <c r="E975" t="s">
        <v>74</v>
      </c>
      <c r="F975" t="s">
        <v>18651</v>
      </c>
      <c r="G975" t="s">
        <v>74</v>
      </c>
      <c r="H975" t="s">
        <v>74</v>
      </c>
      <c r="I975" t="s">
        <v>18652</v>
      </c>
      <c r="J975" t="s">
        <v>14167</v>
      </c>
      <c r="K975" t="s">
        <v>74</v>
      </c>
      <c r="L975" t="s">
        <v>74</v>
      </c>
      <c r="M975" t="s">
        <v>78</v>
      </c>
      <c r="N975" t="s">
        <v>79</v>
      </c>
      <c r="O975" t="s">
        <v>74</v>
      </c>
      <c r="P975" t="s">
        <v>74</v>
      </c>
      <c r="Q975" t="s">
        <v>74</v>
      </c>
      <c r="R975" t="s">
        <v>74</v>
      </c>
      <c r="S975" t="s">
        <v>74</v>
      </c>
      <c r="T975" t="s">
        <v>18653</v>
      </c>
      <c r="U975" t="s">
        <v>18654</v>
      </c>
      <c r="V975" t="s">
        <v>18655</v>
      </c>
      <c r="W975" t="s">
        <v>18656</v>
      </c>
      <c r="X975" t="s">
        <v>18657</v>
      </c>
      <c r="Y975" t="s">
        <v>18658</v>
      </c>
      <c r="Z975" t="s">
        <v>18659</v>
      </c>
      <c r="AA975" t="s">
        <v>74</v>
      </c>
      <c r="AB975" t="s">
        <v>74</v>
      </c>
      <c r="AC975" t="s">
        <v>18660</v>
      </c>
      <c r="AD975" t="s">
        <v>18661</v>
      </c>
      <c r="AE975" t="s">
        <v>18662</v>
      </c>
      <c r="AF975" t="s">
        <v>74</v>
      </c>
      <c r="AG975">
        <v>78</v>
      </c>
      <c r="AH975">
        <v>29</v>
      </c>
      <c r="AI975">
        <v>29</v>
      </c>
      <c r="AJ975">
        <v>4</v>
      </c>
      <c r="AK975">
        <v>42</v>
      </c>
      <c r="AL975" t="s">
        <v>3290</v>
      </c>
      <c r="AM975" t="s">
        <v>2520</v>
      </c>
      <c r="AN975" t="s">
        <v>3291</v>
      </c>
      <c r="AO975" t="s">
        <v>14180</v>
      </c>
      <c r="AP975" t="s">
        <v>14181</v>
      </c>
      <c r="AQ975" t="s">
        <v>74</v>
      </c>
      <c r="AR975" t="s">
        <v>14182</v>
      </c>
      <c r="AS975" t="s">
        <v>14183</v>
      </c>
      <c r="AT975" t="s">
        <v>18663</v>
      </c>
      <c r="AU975">
        <v>2018</v>
      </c>
      <c r="AV975">
        <v>385</v>
      </c>
      <c r="AW975" t="s">
        <v>74</v>
      </c>
      <c r="AX975" t="s">
        <v>74</v>
      </c>
      <c r="AY975" t="s">
        <v>74</v>
      </c>
      <c r="AZ975" t="s">
        <v>74</v>
      </c>
      <c r="BA975" t="s">
        <v>74</v>
      </c>
      <c r="BB975">
        <v>133</v>
      </c>
      <c r="BC975">
        <v>144</v>
      </c>
      <c r="BD975" t="s">
        <v>74</v>
      </c>
      <c r="BE975" t="s">
        <v>18664</v>
      </c>
      <c r="BF975" t="str">
        <f>HYPERLINK("http://dx.doi.org/10.1016/j.ecolmodel.2018.07.016","http://dx.doi.org/10.1016/j.ecolmodel.2018.07.016")</f>
        <v>http://dx.doi.org/10.1016/j.ecolmodel.2018.07.016</v>
      </c>
      <c r="BG975" t="s">
        <v>74</v>
      </c>
      <c r="BH975" t="s">
        <v>74</v>
      </c>
      <c r="BI975">
        <v>12</v>
      </c>
      <c r="BJ975" t="s">
        <v>2400</v>
      </c>
      <c r="BK975" t="s">
        <v>101</v>
      </c>
      <c r="BL975" t="s">
        <v>799</v>
      </c>
      <c r="BM975" t="s">
        <v>18665</v>
      </c>
      <c r="BN975" t="s">
        <v>74</v>
      </c>
      <c r="BO975" t="s">
        <v>3810</v>
      </c>
      <c r="BP975" t="s">
        <v>74</v>
      </c>
      <c r="BQ975" t="s">
        <v>74</v>
      </c>
      <c r="BR975" t="s">
        <v>104</v>
      </c>
      <c r="BS975" t="s">
        <v>18666</v>
      </c>
      <c r="BT975" t="str">
        <f>HYPERLINK("https%3A%2F%2Fwww.webofscience.com%2Fwos%2Fwoscc%2Ffull-record%2FWOS:000442973900014","View Full Record in Web of Science")</f>
        <v>View Full Record in Web of Science</v>
      </c>
    </row>
    <row r="976" spans="1:72" x14ac:dyDescent="0.15">
      <c r="A976" t="s">
        <v>72</v>
      </c>
      <c r="B976" t="s">
        <v>18667</v>
      </c>
      <c r="C976" t="s">
        <v>74</v>
      </c>
      <c r="D976" t="s">
        <v>74</v>
      </c>
      <c r="E976" t="s">
        <v>74</v>
      </c>
      <c r="F976" t="s">
        <v>18668</v>
      </c>
      <c r="G976" t="s">
        <v>74</v>
      </c>
      <c r="H976" t="s">
        <v>74</v>
      </c>
      <c r="I976" t="s">
        <v>18669</v>
      </c>
      <c r="J976" t="s">
        <v>8100</v>
      </c>
      <c r="K976" t="s">
        <v>74</v>
      </c>
      <c r="L976" t="s">
        <v>74</v>
      </c>
      <c r="M976" t="s">
        <v>78</v>
      </c>
      <c r="N976" t="s">
        <v>79</v>
      </c>
      <c r="O976" t="s">
        <v>74</v>
      </c>
      <c r="P976" t="s">
        <v>74</v>
      </c>
      <c r="Q976" t="s">
        <v>74</v>
      </c>
      <c r="R976" t="s">
        <v>74</v>
      </c>
      <c r="S976" t="s">
        <v>74</v>
      </c>
      <c r="T976" t="s">
        <v>74</v>
      </c>
      <c r="U976" t="s">
        <v>18670</v>
      </c>
      <c r="V976" t="s">
        <v>18671</v>
      </c>
      <c r="W976" t="s">
        <v>18672</v>
      </c>
      <c r="X976" t="s">
        <v>18673</v>
      </c>
      <c r="Y976" t="s">
        <v>18674</v>
      </c>
      <c r="Z976" t="s">
        <v>18675</v>
      </c>
      <c r="AA976" t="s">
        <v>18676</v>
      </c>
      <c r="AB976" t="s">
        <v>18677</v>
      </c>
      <c r="AC976" t="s">
        <v>18678</v>
      </c>
      <c r="AD976" t="s">
        <v>18679</v>
      </c>
      <c r="AE976" t="s">
        <v>18680</v>
      </c>
      <c r="AF976" t="s">
        <v>74</v>
      </c>
      <c r="AG976">
        <v>129</v>
      </c>
      <c r="AH976">
        <v>137</v>
      </c>
      <c r="AI976">
        <v>139</v>
      </c>
      <c r="AJ976">
        <v>1</v>
      </c>
      <c r="AK976">
        <v>25</v>
      </c>
      <c r="AL976" t="s">
        <v>7866</v>
      </c>
      <c r="AM976" t="s">
        <v>7867</v>
      </c>
      <c r="AN976" t="s">
        <v>7868</v>
      </c>
      <c r="AO976" t="s">
        <v>8112</v>
      </c>
      <c r="AP976" t="s">
        <v>8113</v>
      </c>
      <c r="AQ976" t="s">
        <v>74</v>
      </c>
      <c r="AR976" t="s">
        <v>8100</v>
      </c>
      <c r="AS976" t="s">
        <v>8114</v>
      </c>
      <c r="AT976" t="s">
        <v>18663</v>
      </c>
      <c r="AU976">
        <v>2018</v>
      </c>
      <c r="AV976">
        <v>12</v>
      </c>
      <c r="AW976">
        <v>10</v>
      </c>
      <c r="AX976" t="s">
        <v>74</v>
      </c>
      <c r="AY976" t="s">
        <v>74</v>
      </c>
      <c r="AZ976" t="s">
        <v>74</v>
      </c>
      <c r="BA976" t="s">
        <v>74</v>
      </c>
      <c r="BB976">
        <v>3265</v>
      </c>
      <c r="BC976">
        <v>3285</v>
      </c>
      <c r="BD976" t="s">
        <v>74</v>
      </c>
      <c r="BE976" t="s">
        <v>18681</v>
      </c>
      <c r="BF976" t="str">
        <f>HYPERLINK("http://dx.doi.org/10.5194/tc-12-3265-2018","http://dx.doi.org/10.5194/tc-12-3265-2018")</f>
        <v>http://dx.doi.org/10.5194/tc-12-3265-2018</v>
      </c>
      <c r="BG976" t="s">
        <v>74</v>
      </c>
      <c r="BH976" t="s">
        <v>74</v>
      </c>
      <c r="BI976">
        <v>21</v>
      </c>
      <c r="BJ976" t="s">
        <v>1480</v>
      </c>
      <c r="BK976" t="s">
        <v>101</v>
      </c>
      <c r="BL976" t="s">
        <v>1481</v>
      </c>
      <c r="BM976" t="s">
        <v>18682</v>
      </c>
      <c r="BN976" t="s">
        <v>74</v>
      </c>
      <c r="BO976" t="s">
        <v>996</v>
      </c>
      <c r="BP976" t="s">
        <v>74</v>
      </c>
      <c r="BQ976" t="s">
        <v>74</v>
      </c>
      <c r="BR976" t="s">
        <v>104</v>
      </c>
      <c r="BS976" t="s">
        <v>18683</v>
      </c>
      <c r="BT976" t="str">
        <f>HYPERLINK("https%3A%2F%2Fwww.webofscience.com%2Fwos%2Fwoscc%2Ffull-record%2FWOS:000446889200001","View Full Record in Web of Science")</f>
        <v>View Full Record in Web of Science</v>
      </c>
    </row>
    <row r="977" spans="1:72" x14ac:dyDescent="0.15">
      <c r="A977" t="s">
        <v>72</v>
      </c>
      <c r="B977" t="s">
        <v>18684</v>
      </c>
      <c r="C977" t="s">
        <v>74</v>
      </c>
      <c r="D977" t="s">
        <v>74</v>
      </c>
      <c r="E977" t="s">
        <v>74</v>
      </c>
      <c r="F977" t="s">
        <v>18685</v>
      </c>
      <c r="G977" t="s">
        <v>74</v>
      </c>
      <c r="H977" t="s">
        <v>74</v>
      </c>
      <c r="I977" t="s">
        <v>18686</v>
      </c>
      <c r="J977" t="s">
        <v>18687</v>
      </c>
      <c r="K977" t="s">
        <v>74</v>
      </c>
      <c r="L977" t="s">
        <v>74</v>
      </c>
      <c r="M977" t="s">
        <v>78</v>
      </c>
      <c r="N977" t="s">
        <v>52</v>
      </c>
      <c r="O977" t="s">
        <v>74</v>
      </c>
      <c r="P977" t="s">
        <v>74</v>
      </c>
      <c r="Q977" t="s">
        <v>74</v>
      </c>
      <c r="R977" t="s">
        <v>74</v>
      </c>
      <c r="S977" t="s">
        <v>74</v>
      </c>
      <c r="T977" t="s">
        <v>74</v>
      </c>
      <c r="U977" t="s">
        <v>74</v>
      </c>
      <c r="V977" t="s">
        <v>74</v>
      </c>
      <c r="W977" t="s">
        <v>18688</v>
      </c>
      <c r="X977" t="s">
        <v>18689</v>
      </c>
      <c r="Y977" t="s">
        <v>74</v>
      </c>
      <c r="Z977" t="s">
        <v>74</v>
      </c>
      <c r="AA977" t="s">
        <v>18690</v>
      </c>
      <c r="AB977" t="s">
        <v>18691</v>
      </c>
      <c r="AC977" t="s">
        <v>18692</v>
      </c>
      <c r="AD977" t="s">
        <v>18692</v>
      </c>
      <c r="AE977" t="s">
        <v>18693</v>
      </c>
      <c r="AF977" t="s">
        <v>74</v>
      </c>
      <c r="AG977">
        <v>3</v>
      </c>
      <c r="AH977">
        <v>0</v>
      </c>
      <c r="AI977">
        <v>0</v>
      </c>
      <c r="AJ977">
        <v>0</v>
      </c>
      <c r="AK977">
        <v>4</v>
      </c>
      <c r="AL977" t="s">
        <v>2519</v>
      </c>
      <c r="AM977" t="s">
        <v>2520</v>
      </c>
      <c r="AN977" t="s">
        <v>3313</v>
      </c>
      <c r="AO977" t="s">
        <v>18694</v>
      </c>
      <c r="AP977" t="s">
        <v>18695</v>
      </c>
      <c r="AQ977" t="s">
        <v>74</v>
      </c>
      <c r="AR977" t="s">
        <v>18696</v>
      </c>
      <c r="AS977" t="s">
        <v>18697</v>
      </c>
      <c r="AT977" t="s">
        <v>18663</v>
      </c>
      <c r="AU977">
        <v>2018</v>
      </c>
      <c r="AV977">
        <v>44</v>
      </c>
      <c r="AW977" t="s">
        <v>74</v>
      </c>
      <c r="AX977" t="s">
        <v>74</v>
      </c>
      <c r="AY977" t="s">
        <v>133</v>
      </c>
      <c r="AZ977" t="s">
        <v>74</v>
      </c>
      <c r="BA977" t="s">
        <v>18698</v>
      </c>
      <c r="BB977" t="s">
        <v>18699</v>
      </c>
      <c r="BC977" t="s">
        <v>18700</v>
      </c>
      <c r="BD977" t="s">
        <v>74</v>
      </c>
      <c r="BE977" t="s">
        <v>18701</v>
      </c>
      <c r="BF977" t="str">
        <f>HYPERLINK("http://dx.doi.org/10.1016/j.nbt.2018.05.091","http://dx.doi.org/10.1016/j.nbt.2018.05.091")</f>
        <v>http://dx.doi.org/10.1016/j.nbt.2018.05.091</v>
      </c>
      <c r="BG977" t="s">
        <v>74</v>
      </c>
      <c r="BH977" t="s">
        <v>74</v>
      </c>
      <c r="BI977">
        <v>2</v>
      </c>
      <c r="BJ977" t="s">
        <v>18702</v>
      </c>
      <c r="BK977" t="s">
        <v>101</v>
      </c>
      <c r="BL977" t="s">
        <v>18703</v>
      </c>
      <c r="BM977" t="s">
        <v>18704</v>
      </c>
      <c r="BN977" t="s">
        <v>74</v>
      </c>
      <c r="BO977" t="s">
        <v>74</v>
      </c>
      <c r="BP977" t="s">
        <v>74</v>
      </c>
      <c r="BQ977" t="s">
        <v>74</v>
      </c>
      <c r="BR977" t="s">
        <v>104</v>
      </c>
      <c r="BS977" t="s">
        <v>18705</v>
      </c>
      <c r="BT977" t="str">
        <f>HYPERLINK("https%3A%2F%2Fwww.webofscience.com%2Fwos%2Fwoscc%2Ffull-record%2FWOS:000445196500097","View Full Record in Web of Science")</f>
        <v>View Full Record in Web of Science</v>
      </c>
    </row>
    <row r="978" spans="1:72" x14ac:dyDescent="0.15">
      <c r="A978" t="s">
        <v>72</v>
      </c>
      <c r="B978" t="s">
        <v>9296</v>
      </c>
      <c r="C978" t="s">
        <v>74</v>
      </c>
      <c r="D978" t="s">
        <v>74</v>
      </c>
      <c r="E978" t="s">
        <v>74</v>
      </c>
      <c r="F978" t="s">
        <v>9297</v>
      </c>
      <c r="G978" t="s">
        <v>74</v>
      </c>
      <c r="H978" t="s">
        <v>74</v>
      </c>
      <c r="I978" t="s">
        <v>18706</v>
      </c>
      <c r="J978" t="s">
        <v>13077</v>
      </c>
      <c r="K978" t="s">
        <v>74</v>
      </c>
      <c r="L978" t="s">
        <v>74</v>
      </c>
      <c r="M978" t="s">
        <v>78</v>
      </c>
      <c r="N978" t="s">
        <v>79</v>
      </c>
      <c r="O978" t="s">
        <v>74</v>
      </c>
      <c r="P978" t="s">
        <v>74</v>
      </c>
      <c r="Q978" t="s">
        <v>74</v>
      </c>
      <c r="R978" t="s">
        <v>74</v>
      </c>
      <c r="S978" t="s">
        <v>74</v>
      </c>
      <c r="T978" t="s">
        <v>18707</v>
      </c>
      <c r="U978" t="s">
        <v>18708</v>
      </c>
      <c r="V978" t="s">
        <v>18709</v>
      </c>
      <c r="W978" t="s">
        <v>18710</v>
      </c>
      <c r="X978" t="s">
        <v>18711</v>
      </c>
      <c r="Y978" t="s">
        <v>9305</v>
      </c>
      <c r="Z978" t="s">
        <v>9306</v>
      </c>
      <c r="AA978" t="s">
        <v>9307</v>
      </c>
      <c r="AB978" t="s">
        <v>9308</v>
      </c>
      <c r="AC978" t="s">
        <v>9309</v>
      </c>
      <c r="AD978" t="s">
        <v>9310</v>
      </c>
      <c r="AE978" t="s">
        <v>18712</v>
      </c>
      <c r="AF978" t="s">
        <v>74</v>
      </c>
      <c r="AG978">
        <v>75</v>
      </c>
      <c r="AH978">
        <v>6</v>
      </c>
      <c r="AI978">
        <v>8</v>
      </c>
      <c r="AJ978">
        <v>2</v>
      </c>
      <c r="AK978">
        <v>53</v>
      </c>
      <c r="AL978" t="s">
        <v>3352</v>
      </c>
      <c r="AM978" t="s">
        <v>3353</v>
      </c>
      <c r="AN978" t="s">
        <v>3354</v>
      </c>
      <c r="AO978" t="s">
        <v>13089</v>
      </c>
      <c r="AP978" t="s">
        <v>13090</v>
      </c>
      <c r="AQ978" t="s">
        <v>74</v>
      </c>
      <c r="AR978" t="s">
        <v>13091</v>
      </c>
      <c r="AS978" t="s">
        <v>13092</v>
      </c>
      <c r="AT978" t="s">
        <v>18663</v>
      </c>
      <c r="AU978">
        <v>2018</v>
      </c>
      <c r="AV978">
        <v>490</v>
      </c>
      <c r="AW978" t="s">
        <v>74</v>
      </c>
      <c r="AX978" t="s">
        <v>74</v>
      </c>
      <c r="AY978" t="s">
        <v>74</v>
      </c>
      <c r="AZ978" t="s">
        <v>74</v>
      </c>
      <c r="BA978" t="s">
        <v>74</v>
      </c>
      <c r="BB978">
        <v>50</v>
      </c>
      <c r="BC978">
        <v>59</v>
      </c>
      <c r="BD978" t="s">
        <v>74</v>
      </c>
      <c r="BE978" t="s">
        <v>18713</v>
      </c>
      <c r="BF978" t="str">
        <f>HYPERLINK("http://dx.doi.org/10.1016/j.quaint.2018.05.021","http://dx.doi.org/10.1016/j.quaint.2018.05.021")</f>
        <v>http://dx.doi.org/10.1016/j.quaint.2018.05.021</v>
      </c>
      <c r="BG978" t="s">
        <v>74</v>
      </c>
      <c r="BH978" t="s">
        <v>74</v>
      </c>
      <c r="BI978">
        <v>10</v>
      </c>
      <c r="BJ978" t="s">
        <v>1480</v>
      </c>
      <c r="BK978" t="s">
        <v>101</v>
      </c>
      <c r="BL978" t="s">
        <v>1481</v>
      </c>
      <c r="BM978" t="s">
        <v>18714</v>
      </c>
      <c r="BN978" t="s">
        <v>74</v>
      </c>
      <c r="BO978" t="s">
        <v>74</v>
      </c>
      <c r="BP978" t="s">
        <v>74</v>
      </c>
      <c r="BQ978" t="s">
        <v>74</v>
      </c>
      <c r="BR978" t="s">
        <v>104</v>
      </c>
      <c r="BS978" t="s">
        <v>18715</v>
      </c>
      <c r="BT978" t="str">
        <f>HYPERLINK("https%3A%2F%2Fwww.webofscience.com%2Fwos%2Fwoscc%2Ffull-record%2FWOS:000441524200006","View Full Record in Web of Science")</f>
        <v>View Full Record in Web of Science</v>
      </c>
    </row>
    <row r="979" spans="1:72" x14ac:dyDescent="0.15">
      <c r="A979" t="s">
        <v>72</v>
      </c>
      <c r="B979" t="s">
        <v>18716</v>
      </c>
      <c r="C979" t="s">
        <v>74</v>
      </c>
      <c r="D979" t="s">
        <v>74</v>
      </c>
      <c r="E979" t="s">
        <v>74</v>
      </c>
      <c r="F979" t="s">
        <v>18717</v>
      </c>
      <c r="G979" t="s">
        <v>74</v>
      </c>
      <c r="H979" t="s">
        <v>74</v>
      </c>
      <c r="I979" t="s">
        <v>18718</v>
      </c>
      <c r="J979" t="s">
        <v>198</v>
      </c>
      <c r="K979" t="s">
        <v>74</v>
      </c>
      <c r="L979" t="s">
        <v>74</v>
      </c>
      <c r="M979" t="s">
        <v>78</v>
      </c>
      <c r="N979" t="s">
        <v>79</v>
      </c>
      <c r="O979" t="s">
        <v>74</v>
      </c>
      <c r="P979" t="s">
        <v>74</v>
      </c>
      <c r="Q979" t="s">
        <v>74</v>
      </c>
      <c r="R979" t="s">
        <v>74</v>
      </c>
      <c r="S979" t="s">
        <v>74</v>
      </c>
      <c r="T979" t="s">
        <v>18719</v>
      </c>
      <c r="U979" t="s">
        <v>18720</v>
      </c>
      <c r="V979" t="s">
        <v>18721</v>
      </c>
      <c r="W979" t="s">
        <v>18722</v>
      </c>
      <c r="X979" t="s">
        <v>18723</v>
      </c>
      <c r="Y979" t="s">
        <v>18724</v>
      </c>
      <c r="Z979" t="s">
        <v>18725</v>
      </c>
      <c r="AA979" t="s">
        <v>74</v>
      </c>
      <c r="AB979" t="s">
        <v>18726</v>
      </c>
      <c r="AC979" t="s">
        <v>18727</v>
      </c>
      <c r="AD979" t="s">
        <v>18728</v>
      </c>
      <c r="AE979" t="s">
        <v>18729</v>
      </c>
      <c r="AF979" t="s">
        <v>74</v>
      </c>
      <c r="AG979">
        <v>90</v>
      </c>
      <c r="AH979">
        <v>7</v>
      </c>
      <c r="AI979">
        <v>8</v>
      </c>
      <c r="AJ979">
        <v>2</v>
      </c>
      <c r="AK979">
        <v>21</v>
      </c>
      <c r="AL979" t="s">
        <v>210</v>
      </c>
      <c r="AM979" t="s">
        <v>211</v>
      </c>
      <c r="AN979" t="s">
        <v>212</v>
      </c>
      <c r="AO979" t="s">
        <v>213</v>
      </c>
      <c r="AP979" t="s">
        <v>214</v>
      </c>
      <c r="AQ979" t="s">
        <v>74</v>
      </c>
      <c r="AR979" t="s">
        <v>215</v>
      </c>
      <c r="AS979" t="s">
        <v>216</v>
      </c>
      <c r="AT979" t="s">
        <v>18730</v>
      </c>
      <c r="AU979">
        <v>2018</v>
      </c>
      <c r="AV979">
        <v>50</v>
      </c>
      <c r="AW979">
        <v>1</v>
      </c>
      <c r="AX979" t="s">
        <v>74</v>
      </c>
      <c r="AY979" t="s">
        <v>74</v>
      </c>
      <c r="AZ979" t="s">
        <v>74</v>
      </c>
      <c r="BA979" t="s">
        <v>74</v>
      </c>
      <c r="BB979" t="s">
        <v>74</v>
      </c>
      <c r="BC979" t="s">
        <v>74</v>
      </c>
      <c r="BD979" t="s">
        <v>18731</v>
      </c>
      <c r="BE979" t="s">
        <v>18732</v>
      </c>
      <c r="BF979" t="str">
        <f>HYPERLINK("http://dx.doi.org/10.1080/15230430.2018.1519366","http://dx.doi.org/10.1080/15230430.2018.1519366")</f>
        <v>http://dx.doi.org/10.1080/15230430.2018.1519366</v>
      </c>
      <c r="BG979" t="s">
        <v>74</v>
      </c>
      <c r="BH979" t="s">
        <v>74</v>
      </c>
      <c r="BI979">
        <v>15</v>
      </c>
      <c r="BJ979" t="s">
        <v>218</v>
      </c>
      <c r="BK979" t="s">
        <v>101</v>
      </c>
      <c r="BL979" t="s">
        <v>219</v>
      </c>
      <c r="BM979" t="s">
        <v>18733</v>
      </c>
      <c r="BN979" t="s">
        <v>74</v>
      </c>
      <c r="BO979" t="s">
        <v>131</v>
      </c>
      <c r="BP979" t="s">
        <v>74</v>
      </c>
      <c r="BQ979" t="s">
        <v>74</v>
      </c>
      <c r="BR979" t="s">
        <v>104</v>
      </c>
      <c r="BS979" t="s">
        <v>18734</v>
      </c>
      <c r="BT979" t="str">
        <f>HYPERLINK("https%3A%2F%2Fwww.webofscience.com%2Fwos%2Fwoscc%2Ffull-record%2FWOS:000448128200001","View Full Record in Web of Science")</f>
        <v>View Full Record in Web of Science</v>
      </c>
    </row>
    <row r="980" spans="1:72" x14ac:dyDescent="0.15">
      <c r="A980" t="s">
        <v>72</v>
      </c>
      <c r="B980" t="s">
        <v>18735</v>
      </c>
      <c r="C980" t="s">
        <v>74</v>
      </c>
      <c r="D980" t="s">
        <v>74</v>
      </c>
      <c r="E980" t="s">
        <v>74</v>
      </c>
      <c r="F980" t="s">
        <v>18736</v>
      </c>
      <c r="G980" t="s">
        <v>74</v>
      </c>
      <c r="H980" t="s">
        <v>74</v>
      </c>
      <c r="I980" t="s">
        <v>18737</v>
      </c>
      <c r="J980" t="s">
        <v>8100</v>
      </c>
      <c r="K980" t="s">
        <v>74</v>
      </c>
      <c r="L980" t="s">
        <v>74</v>
      </c>
      <c r="M980" t="s">
        <v>78</v>
      </c>
      <c r="N980" t="s">
        <v>79</v>
      </c>
      <c r="O980" t="s">
        <v>74</v>
      </c>
      <c r="P980" t="s">
        <v>74</v>
      </c>
      <c r="Q980" t="s">
        <v>74</v>
      </c>
      <c r="R980" t="s">
        <v>74</v>
      </c>
      <c r="S980" t="s">
        <v>74</v>
      </c>
      <c r="T980" t="s">
        <v>74</v>
      </c>
      <c r="U980" t="s">
        <v>18738</v>
      </c>
      <c r="V980" t="s">
        <v>18739</v>
      </c>
      <c r="W980" t="s">
        <v>18740</v>
      </c>
      <c r="X980" t="s">
        <v>18741</v>
      </c>
      <c r="Y980" t="s">
        <v>18742</v>
      </c>
      <c r="Z980" t="s">
        <v>18743</v>
      </c>
      <c r="AA980" t="s">
        <v>18148</v>
      </c>
      <c r="AB980" t="s">
        <v>18744</v>
      </c>
      <c r="AC980" t="s">
        <v>18745</v>
      </c>
      <c r="AD980" t="s">
        <v>18746</v>
      </c>
      <c r="AE980" t="s">
        <v>18747</v>
      </c>
      <c r="AF980" t="s">
        <v>74</v>
      </c>
      <c r="AG980">
        <v>46</v>
      </c>
      <c r="AH980">
        <v>19</v>
      </c>
      <c r="AI980">
        <v>20</v>
      </c>
      <c r="AJ980">
        <v>0</v>
      </c>
      <c r="AK980">
        <v>3</v>
      </c>
      <c r="AL980" t="s">
        <v>7866</v>
      </c>
      <c r="AM980" t="s">
        <v>7867</v>
      </c>
      <c r="AN980" t="s">
        <v>7868</v>
      </c>
      <c r="AO980" t="s">
        <v>8112</v>
      </c>
      <c r="AP980" t="s">
        <v>8113</v>
      </c>
      <c r="AQ980" t="s">
        <v>74</v>
      </c>
      <c r="AR980" t="s">
        <v>8100</v>
      </c>
      <c r="AS980" t="s">
        <v>8114</v>
      </c>
      <c r="AT980" t="s">
        <v>18730</v>
      </c>
      <c r="AU980">
        <v>2018</v>
      </c>
      <c r="AV980">
        <v>12</v>
      </c>
      <c r="AW980">
        <v>10</v>
      </c>
      <c r="AX980" t="s">
        <v>74</v>
      </c>
      <c r="AY980" t="s">
        <v>74</v>
      </c>
      <c r="AZ980" t="s">
        <v>74</v>
      </c>
      <c r="BA980" t="s">
        <v>74</v>
      </c>
      <c r="BB980">
        <v>3229</v>
      </c>
      <c r="BC980">
        <v>3242</v>
      </c>
      <c r="BD980" t="s">
        <v>74</v>
      </c>
      <c r="BE980" t="s">
        <v>18748</v>
      </c>
      <c r="BF980" t="str">
        <f>HYPERLINK("http://dx.doi.org/10.5194/tc-12-3229-2018","http://dx.doi.org/10.5194/tc-12-3229-2018")</f>
        <v>http://dx.doi.org/10.5194/tc-12-3229-2018</v>
      </c>
      <c r="BG980" t="s">
        <v>74</v>
      </c>
      <c r="BH980" t="s">
        <v>74</v>
      </c>
      <c r="BI980">
        <v>14</v>
      </c>
      <c r="BJ980" t="s">
        <v>1480</v>
      </c>
      <c r="BK980" t="s">
        <v>101</v>
      </c>
      <c r="BL980" t="s">
        <v>1481</v>
      </c>
      <c r="BM980" t="s">
        <v>18749</v>
      </c>
      <c r="BN980" t="s">
        <v>74</v>
      </c>
      <c r="BO980" t="s">
        <v>13129</v>
      </c>
      <c r="BP980" t="s">
        <v>74</v>
      </c>
      <c r="BQ980" t="s">
        <v>74</v>
      </c>
      <c r="BR980" t="s">
        <v>104</v>
      </c>
      <c r="BS980" t="s">
        <v>18750</v>
      </c>
      <c r="BT980" t="str">
        <f>HYPERLINK("https%3A%2F%2Fwww.webofscience.com%2Fwos%2Fwoscc%2Ffull-record%2FWOS:000446812700002","View Full Record in Web of Science")</f>
        <v>View Full Record in Web of Science</v>
      </c>
    </row>
    <row r="981" spans="1:72" x14ac:dyDescent="0.15">
      <c r="A981" t="s">
        <v>72</v>
      </c>
      <c r="B981" t="s">
        <v>18751</v>
      </c>
      <c r="C981" t="s">
        <v>74</v>
      </c>
      <c r="D981" t="s">
        <v>74</v>
      </c>
      <c r="E981" t="s">
        <v>74</v>
      </c>
      <c r="F981" t="s">
        <v>18752</v>
      </c>
      <c r="G981" t="s">
        <v>74</v>
      </c>
      <c r="H981" t="s">
        <v>74</v>
      </c>
      <c r="I981" t="s">
        <v>18753</v>
      </c>
      <c r="J981" t="s">
        <v>14515</v>
      </c>
      <c r="K981" t="s">
        <v>74</v>
      </c>
      <c r="L981" t="s">
        <v>74</v>
      </c>
      <c r="M981" t="s">
        <v>78</v>
      </c>
      <c r="N981" t="s">
        <v>79</v>
      </c>
      <c r="O981" t="s">
        <v>74</v>
      </c>
      <c r="P981" t="s">
        <v>74</v>
      </c>
      <c r="Q981" t="s">
        <v>74</v>
      </c>
      <c r="R981" t="s">
        <v>74</v>
      </c>
      <c r="S981" t="s">
        <v>74</v>
      </c>
      <c r="T981" t="s">
        <v>18754</v>
      </c>
      <c r="U981" t="s">
        <v>18755</v>
      </c>
      <c r="V981" t="s">
        <v>18756</v>
      </c>
      <c r="W981" t="s">
        <v>18757</v>
      </c>
      <c r="X981" t="s">
        <v>18758</v>
      </c>
      <c r="Y981" t="s">
        <v>18759</v>
      </c>
      <c r="Z981" t="s">
        <v>18760</v>
      </c>
      <c r="AA981" t="s">
        <v>18761</v>
      </c>
      <c r="AB981" t="s">
        <v>18762</v>
      </c>
      <c r="AC981" t="s">
        <v>18763</v>
      </c>
      <c r="AD981" t="s">
        <v>18764</v>
      </c>
      <c r="AE981" t="s">
        <v>18765</v>
      </c>
      <c r="AF981" t="s">
        <v>74</v>
      </c>
      <c r="AG981">
        <v>61</v>
      </c>
      <c r="AH981">
        <v>7</v>
      </c>
      <c r="AI981">
        <v>7</v>
      </c>
      <c r="AJ981">
        <v>1</v>
      </c>
      <c r="AK981">
        <v>12</v>
      </c>
      <c r="AL981" t="s">
        <v>7949</v>
      </c>
      <c r="AM981" t="s">
        <v>7950</v>
      </c>
      <c r="AN981" t="s">
        <v>7951</v>
      </c>
      <c r="AO981" t="s">
        <v>14523</v>
      </c>
      <c r="AP981" t="s">
        <v>74</v>
      </c>
      <c r="AQ981" t="s">
        <v>74</v>
      </c>
      <c r="AR981" t="s">
        <v>14524</v>
      </c>
      <c r="AS981" t="s">
        <v>14525</v>
      </c>
      <c r="AT981" t="s">
        <v>18730</v>
      </c>
      <c r="AU981">
        <v>2018</v>
      </c>
      <c r="AV981">
        <v>6</v>
      </c>
      <c r="AW981" t="s">
        <v>74</v>
      </c>
      <c r="AX981" t="s">
        <v>74</v>
      </c>
      <c r="AY981" t="s">
        <v>74</v>
      </c>
      <c r="AZ981" t="s">
        <v>74</v>
      </c>
      <c r="BA981" t="s">
        <v>74</v>
      </c>
      <c r="BB981" t="s">
        <v>74</v>
      </c>
      <c r="BC981" t="s">
        <v>74</v>
      </c>
      <c r="BD981">
        <v>152</v>
      </c>
      <c r="BE981" t="s">
        <v>18766</v>
      </c>
      <c r="BF981" t="str">
        <f>HYPERLINK("http://dx.doi.org/10.3389/fevo.2018.00152","http://dx.doi.org/10.3389/fevo.2018.00152")</f>
        <v>http://dx.doi.org/10.3389/fevo.2018.00152</v>
      </c>
      <c r="BG981" t="s">
        <v>74</v>
      </c>
      <c r="BH981" t="s">
        <v>74</v>
      </c>
      <c r="BI981">
        <v>12</v>
      </c>
      <c r="BJ981" t="s">
        <v>2400</v>
      </c>
      <c r="BK981" t="s">
        <v>101</v>
      </c>
      <c r="BL981" t="s">
        <v>799</v>
      </c>
      <c r="BM981" t="s">
        <v>18767</v>
      </c>
      <c r="BN981" t="s">
        <v>74</v>
      </c>
      <c r="BO981" t="s">
        <v>193</v>
      </c>
      <c r="BP981" t="s">
        <v>74</v>
      </c>
      <c r="BQ981" t="s">
        <v>74</v>
      </c>
      <c r="BR981" t="s">
        <v>104</v>
      </c>
      <c r="BS981" t="s">
        <v>18768</v>
      </c>
      <c r="BT981" t="str">
        <f>HYPERLINK("https%3A%2F%2Fwww.webofscience.com%2Fwos%2Fwoscc%2Ffull-record%2FWOS:000451942500001","View Full Record in Web of Science")</f>
        <v>View Full Record in Web of Science</v>
      </c>
    </row>
    <row r="982" spans="1:72" x14ac:dyDescent="0.15">
      <c r="A982" t="s">
        <v>72</v>
      </c>
      <c r="B982" t="s">
        <v>18769</v>
      </c>
      <c r="C982" t="s">
        <v>74</v>
      </c>
      <c r="D982" t="s">
        <v>74</v>
      </c>
      <c r="E982" t="s">
        <v>74</v>
      </c>
      <c r="F982" t="s">
        <v>18770</v>
      </c>
      <c r="G982" t="s">
        <v>74</v>
      </c>
      <c r="H982" t="s">
        <v>74</v>
      </c>
      <c r="I982" t="s">
        <v>18771</v>
      </c>
      <c r="J982" t="s">
        <v>9021</v>
      </c>
      <c r="K982" t="s">
        <v>74</v>
      </c>
      <c r="L982" t="s">
        <v>74</v>
      </c>
      <c r="M982" t="s">
        <v>78</v>
      </c>
      <c r="N982" t="s">
        <v>79</v>
      </c>
      <c r="O982" t="s">
        <v>74</v>
      </c>
      <c r="P982" t="s">
        <v>74</v>
      </c>
      <c r="Q982" t="s">
        <v>74</v>
      </c>
      <c r="R982" t="s">
        <v>74</v>
      </c>
      <c r="S982" t="s">
        <v>74</v>
      </c>
      <c r="T982" t="s">
        <v>18772</v>
      </c>
      <c r="U982" t="s">
        <v>18773</v>
      </c>
      <c r="V982" t="s">
        <v>18774</v>
      </c>
      <c r="W982" t="s">
        <v>18775</v>
      </c>
      <c r="X982" t="s">
        <v>18776</v>
      </c>
      <c r="Y982" t="s">
        <v>18777</v>
      </c>
      <c r="Z982" t="s">
        <v>18778</v>
      </c>
      <c r="AA982" t="s">
        <v>18779</v>
      </c>
      <c r="AB982" t="s">
        <v>18780</v>
      </c>
      <c r="AC982" t="s">
        <v>18781</v>
      </c>
      <c r="AD982" t="s">
        <v>18782</v>
      </c>
      <c r="AE982" t="s">
        <v>18783</v>
      </c>
      <c r="AF982" t="s">
        <v>74</v>
      </c>
      <c r="AG982">
        <v>59</v>
      </c>
      <c r="AH982">
        <v>4</v>
      </c>
      <c r="AI982">
        <v>4</v>
      </c>
      <c r="AJ982">
        <v>1</v>
      </c>
      <c r="AK982">
        <v>8</v>
      </c>
      <c r="AL982" t="s">
        <v>9033</v>
      </c>
      <c r="AM982" t="s">
        <v>3008</v>
      </c>
      <c r="AN982" t="s">
        <v>9034</v>
      </c>
      <c r="AO982" t="s">
        <v>9035</v>
      </c>
      <c r="AP982" t="s">
        <v>74</v>
      </c>
      <c r="AQ982" t="s">
        <v>74</v>
      </c>
      <c r="AR982" t="s">
        <v>9021</v>
      </c>
      <c r="AS982" t="s">
        <v>9036</v>
      </c>
      <c r="AT982" t="s">
        <v>18730</v>
      </c>
      <c r="AU982">
        <v>2018</v>
      </c>
      <c r="AV982">
        <v>6</v>
      </c>
      <c r="AW982" t="s">
        <v>74</v>
      </c>
      <c r="AX982" t="s">
        <v>74</v>
      </c>
      <c r="AY982" t="s">
        <v>74</v>
      </c>
      <c r="AZ982" t="s">
        <v>74</v>
      </c>
      <c r="BA982" t="s">
        <v>74</v>
      </c>
      <c r="BB982" t="s">
        <v>74</v>
      </c>
      <c r="BC982" t="s">
        <v>74</v>
      </c>
      <c r="BD982" t="s">
        <v>18784</v>
      </c>
      <c r="BE982" t="s">
        <v>18785</v>
      </c>
      <c r="BF982" t="str">
        <f>HYPERLINK("http://dx.doi.org/10.7717/peerj.5734","http://dx.doi.org/10.7717/peerj.5734")</f>
        <v>http://dx.doi.org/10.7717/peerj.5734</v>
      </c>
      <c r="BG982" t="s">
        <v>74</v>
      </c>
      <c r="BH982" t="s">
        <v>74</v>
      </c>
      <c r="BI982">
        <v>21</v>
      </c>
      <c r="BJ982" t="s">
        <v>855</v>
      </c>
      <c r="BK982" t="s">
        <v>101</v>
      </c>
      <c r="BL982" t="s">
        <v>856</v>
      </c>
      <c r="BM982" t="s">
        <v>18786</v>
      </c>
      <c r="BN982">
        <v>30324020</v>
      </c>
      <c r="BO982" t="s">
        <v>3454</v>
      </c>
      <c r="BP982" t="s">
        <v>74</v>
      </c>
      <c r="BQ982" t="s">
        <v>74</v>
      </c>
      <c r="BR982" t="s">
        <v>104</v>
      </c>
      <c r="BS982" t="s">
        <v>18787</v>
      </c>
      <c r="BT982" t="str">
        <f>HYPERLINK("https%3A%2F%2Fwww.webofscience.com%2Fwos%2Fwoscc%2Ffull-record%2FWOS:000447214700005","View Full Record in Web of Science")</f>
        <v>View Full Record in Web of Science</v>
      </c>
    </row>
    <row r="983" spans="1:72" x14ac:dyDescent="0.15">
      <c r="A983" t="s">
        <v>72</v>
      </c>
      <c r="B983" t="s">
        <v>18788</v>
      </c>
      <c r="C983" t="s">
        <v>74</v>
      </c>
      <c r="D983" t="s">
        <v>74</v>
      </c>
      <c r="E983" t="s">
        <v>74</v>
      </c>
      <c r="F983" t="s">
        <v>18789</v>
      </c>
      <c r="G983" t="s">
        <v>74</v>
      </c>
      <c r="H983" t="s">
        <v>74</v>
      </c>
      <c r="I983" t="s">
        <v>18790</v>
      </c>
      <c r="J983" t="s">
        <v>7857</v>
      </c>
      <c r="K983" t="s">
        <v>74</v>
      </c>
      <c r="L983" t="s">
        <v>74</v>
      </c>
      <c r="M983" t="s">
        <v>78</v>
      </c>
      <c r="N983" t="s">
        <v>79</v>
      </c>
      <c r="O983" t="s">
        <v>74</v>
      </c>
      <c r="P983" t="s">
        <v>74</v>
      </c>
      <c r="Q983" t="s">
        <v>74</v>
      </c>
      <c r="R983" t="s">
        <v>74</v>
      </c>
      <c r="S983" t="s">
        <v>74</v>
      </c>
      <c r="T983" t="s">
        <v>74</v>
      </c>
      <c r="U983" t="s">
        <v>18791</v>
      </c>
      <c r="V983" t="s">
        <v>18792</v>
      </c>
      <c r="W983" t="s">
        <v>18793</v>
      </c>
      <c r="X983" t="s">
        <v>18794</v>
      </c>
      <c r="Y983" t="s">
        <v>18795</v>
      </c>
      <c r="Z983" t="s">
        <v>18796</v>
      </c>
      <c r="AA983" t="s">
        <v>18797</v>
      </c>
      <c r="AB983" t="s">
        <v>18798</v>
      </c>
      <c r="AC983" t="s">
        <v>18799</v>
      </c>
      <c r="AD983" t="s">
        <v>18800</v>
      </c>
      <c r="AE983" t="s">
        <v>18801</v>
      </c>
      <c r="AF983" t="s">
        <v>74</v>
      </c>
      <c r="AG983">
        <v>78</v>
      </c>
      <c r="AH983">
        <v>24</v>
      </c>
      <c r="AI983">
        <v>28</v>
      </c>
      <c r="AJ983">
        <v>0</v>
      </c>
      <c r="AK983">
        <v>28</v>
      </c>
      <c r="AL983" t="s">
        <v>7866</v>
      </c>
      <c r="AM983" t="s">
        <v>7867</v>
      </c>
      <c r="AN983" t="s">
        <v>7868</v>
      </c>
      <c r="AO983" t="s">
        <v>7869</v>
      </c>
      <c r="AP983" t="s">
        <v>7870</v>
      </c>
      <c r="AQ983" t="s">
        <v>74</v>
      </c>
      <c r="AR983" t="s">
        <v>7871</v>
      </c>
      <c r="AS983" t="s">
        <v>7872</v>
      </c>
      <c r="AT983" t="s">
        <v>18802</v>
      </c>
      <c r="AU983">
        <v>2018</v>
      </c>
      <c r="AV983">
        <v>14</v>
      </c>
      <c r="AW983">
        <v>10</v>
      </c>
      <c r="AX983" t="s">
        <v>74</v>
      </c>
      <c r="AY983" t="s">
        <v>74</v>
      </c>
      <c r="AZ983" t="s">
        <v>74</v>
      </c>
      <c r="BA983" t="s">
        <v>74</v>
      </c>
      <c r="BB983">
        <v>1405</v>
      </c>
      <c r="BC983">
        <v>1415</v>
      </c>
      <c r="BD983" t="s">
        <v>74</v>
      </c>
      <c r="BE983" t="s">
        <v>18803</v>
      </c>
      <c r="BF983" t="str">
        <f>HYPERLINK("http://dx.doi.org/10.5194/cp-14-1405-2018","http://dx.doi.org/10.5194/cp-14-1405-2018")</f>
        <v>http://dx.doi.org/10.5194/cp-14-1405-2018</v>
      </c>
      <c r="BG983" t="s">
        <v>74</v>
      </c>
      <c r="BH983" t="s">
        <v>74</v>
      </c>
      <c r="BI983">
        <v>11</v>
      </c>
      <c r="BJ983" t="s">
        <v>7874</v>
      </c>
      <c r="BK983" t="s">
        <v>101</v>
      </c>
      <c r="BL983" t="s">
        <v>7875</v>
      </c>
      <c r="BM983" t="s">
        <v>18804</v>
      </c>
      <c r="BN983" t="s">
        <v>74</v>
      </c>
      <c r="BO983" t="s">
        <v>13129</v>
      </c>
      <c r="BP983" t="s">
        <v>74</v>
      </c>
      <c r="BQ983" t="s">
        <v>74</v>
      </c>
      <c r="BR983" t="s">
        <v>104</v>
      </c>
      <c r="BS983" t="s">
        <v>18805</v>
      </c>
      <c r="BT983" t="str">
        <f>HYPERLINK("https%3A%2F%2Fwww.webofscience.com%2Fwos%2Fwoscc%2Ffull-record%2FWOS:000446686900001","View Full Record in Web of Science")</f>
        <v>View Full Record in Web of Science</v>
      </c>
    </row>
    <row r="984" spans="1:72" x14ac:dyDescent="0.15">
      <c r="A984" t="s">
        <v>72</v>
      </c>
      <c r="B984" t="s">
        <v>18806</v>
      </c>
      <c r="C984" t="s">
        <v>74</v>
      </c>
      <c r="D984" t="s">
        <v>74</v>
      </c>
      <c r="E984" t="s">
        <v>74</v>
      </c>
      <c r="F984" t="s">
        <v>18807</v>
      </c>
      <c r="G984" t="s">
        <v>74</v>
      </c>
      <c r="H984" t="s">
        <v>74</v>
      </c>
      <c r="I984" t="s">
        <v>18808</v>
      </c>
      <c r="J984" t="s">
        <v>18809</v>
      </c>
      <c r="K984" t="s">
        <v>74</v>
      </c>
      <c r="L984" t="s">
        <v>74</v>
      </c>
      <c r="M984" t="s">
        <v>78</v>
      </c>
      <c r="N984" t="s">
        <v>79</v>
      </c>
      <c r="O984" t="s">
        <v>74</v>
      </c>
      <c r="P984" t="s">
        <v>74</v>
      </c>
      <c r="Q984" t="s">
        <v>74</v>
      </c>
      <c r="R984" t="s">
        <v>74</v>
      </c>
      <c r="S984" t="s">
        <v>74</v>
      </c>
      <c r="T984" t="s">
        <v>18810</v>
      </c>
      <c r="U984" t="s">
        <v>18811</v>
      </c>
      <c r="V984" t="s">
        <v>18812</v>
      </c>
      <c r="W984" t="s">
        <v>18813</v>
      </c>
      <c r="X984" t="s">
        <v>18814</v>
      </c>
      <c r="Y984" t="s">
        <v>18815</v>
      </c>
      <c r="Z984" t="s">
        <v>18816</v>
      </c>
      <c r="AA984" t="s">
        <v>18817</v>
      </c>
      <c r="AB984" t="s">
        <v>18818</v>
      </c>
      <c r="AC984" t="s">
        <v>18819</v>
      </c>
      <c r="AD984" t="s">
        <v>18820</v>
      </c>
      <c r="AE984" t="s">
        <v>18821</v>
      </c>
      <c r="AF984" t="s">
        <v>74</v>
      </c>
      <c r="AG984">
        <v>75</v>
      </c>
      <c r="AH984">
        <v>21</v>
      </c>
      <c r="AI984">
        <v>22</v>
      </c>
      <c r="AJ984">
        <v>2</v>
      </c>
      <c r="AK984">
        <v>24</v>
      </c>
      <c r="AL984" t="s">
        <v>7949</v>
      </c>
      <c r="AM984" t="s">
        <v>7950</v>
      </c>
      <c r="AN984" t="s">
        <v>7951</v>
      </c>
      <c r="AO984" t="s">
        <v>18822</v>
      </c>
      <c r="AP984" t="s">
        <v>74</v>
      </c>
      <c r="AQ984" t="s">
        <v>74</v>
      </c>
      <c r="AR984" t="s">
        <v>18823</v>
      </c>
      <c r="AS984" t="s">
        <v>18824</v>
      </c>
      <c r="AT984" t="s">
        <v>18802</v>
      </c>
      <c r="AU984">
        <v>2018</v>
      </c>
      <c r="AV984">
        <v>9</v>
      </c>
      <c r="AW984" t="s">
        <v>74</v>
      </c>
      <c r="AX984" t="s">
        <v>74</v>
      </c>
      <c r="AY984" t="s">
        <v>74</v>
      </c>
      <c r="AZ984" t="s">
        <v>74</v>
      </c>
      <c r="BA984" t="s">
        <v>74</v>
      </c>
      <c r="BB984" t="s">
        <v>74</v>
      </c>
      <c r="BC984" t="s">
        <v>74</v>
      </c>
      <c r="BD984">
        <v>1456</v>
      </c>
      <c r="BE984" t="s">
        <v>18825</v>
      </c>
      <c r="BF984" t="str">
        <f>HYPERLINK("http://dx.doi.org/10.3389/fpls.2018.01456","http://dx.doi.org/10.3389/fpls.2018.01456")</f>
        <v>http://dx.doi.org/10.3389/fpls.2018.01456</v>
      </c>
      <c r="BG984" t="s">
        <v>74</v>
      </c>
      <c r="BH984" t="s">
        <v>74</v>
      </c>
      <c r="BI984">
        <v>13</v>
      </c>
      <c r="BJ984" t="s">
        <v>720</v>
      </c>
      <c r="BK984" t="s">
        <v>101</v>
      </c>
      <c r="BL984" t="s">
        <v>720</v>
      </c>
      <c r="BM984" t="s">
        <v>18826</v>
      </c>
      <c r="BN984">
        <v>30349551</v>
      </c>
      <c r="BO984" t="s">
        <v>221</v>
      </c>
      <c r="BP984" t="s">
        <v>74</v>
      </c>
      <c r="BQ984" t="s">
        <v>74</v>
      </c>
      <c r="BR984" t="s">
        <v>104</v>
      </c>
      <c r="BS984" t="s">
        <v>18827</v>
      </c>
      <c r="BT984" t="str">
        <f>HYPERLINK("https%3A%2F%2Fwww.webofscience.com%2Fwos%2Fwoscc%2Ffull-record%2FWOS:000446580900001","View Full Record in Web of Science")</f>
        <v>View Full Record in Web of Science</v>
      </c>
    </row>
    <row r="985" spans="1:72" x14ac:dyDescent="0.15">
      <c r="A985" t="s">
        <v>72</v>
      </c>
      <c r="B985" t="s">
        <v>18828</v>
      </c>
      <c r="C985" t="s">
        <v>74</v>
      </c>
      <c r="D985" t="s">
        <v>74</v>
      </c>
      <c r="E985" t="s">
        <v>74</v>
      </c>
      <c r="F985" t="s">
        <v>18829</v>
      </c>
      <c r="G985" t="s">
        <v>74</v>
      </c>
      <c r="H985" t="s">
        <v>74</v>
      </c>
      <c r="I985" t="s">
        <v>18830</v>
      </c>
      <c r="J985" t="s">
        <v>18831</v>
      </c>
      <c r="K985" t="s">
        <v>74</v>
      </c>
      <c r="L985" t="s">
        <v>74</v>
      </c>
      <c r="M985" t="s">
        <v>78</v>
      </c>
      <c r="N985" t="s">
        <v>11582</v>
      </c>
      <c r="O985" t="s">
        <v>74</v>
      </c>
      <c r="P985" t="s">
        <v>74</v>
      </c>
      <c r="Q985" t="s">
        <v>74</v>
      </c>
      <c r="R985" t="s">
        <v>74</v>
      </c>
      <c r="S985" t="s">
        <v>74</v>
      </c>
      <c r="T985" t="s">
        <v>74</v>
      </c>
      <c r="U985" t="s">
        <v>18832</v>
      </c>
      <c r="V985" t="s">
        <v>74</v>
      </c>
      <c r="W985" t="s">
        <v>18833</v>
      </c>
      <c r="X985" t="s">
        <v>18834</v>
      </c>
      <c r="Y985" t="s">
        <v>18835</v>
      </c>
      <c r="Z985" t="s">
        <v>18836</v>
      </c>
      <c r="AA985" t="s">
        <v>18837</v>
      </c>
      <c r="AB985" t="s">
        <v>18838</v>
      </c>
      <c r="AC985" t="s">
        <v>18839</v>
      </c>
      <c r="AD985" t="s">
        <v>18840</v>
      </c>
      <c r="AE985" t="s">
        <v>18841</v>
      </c>
      <c r="AF985" t="s">
        <v>74</v>
      </c>
      <c r="AG985">
        <v>9</v>
      </c>
      <c r="AH985">
        <v>63</v>
      </c>
      <c r="AI985">
        <v>65</v>
      </c>
      <c r="AJ985">
        <v>2</v>
      </c>
      <c r="AK985">
        <v>33</v>
      </c>
      <c r="AL985" t="s">
        <v>18842</v>
      </c>
      <c r="AM985" t="s">
        <v>151</v>
      </c>
      <c r="AN985" t="s">
        <v>18843</v>
      </c>
      <c r="AO985" t="s">
        <v>18844</v>
      </c>
      <c r="AP985" t="s">
        <v>18845</v>
      </c>
      <c r="AQ985" t="s">
        <v>74</v>
      </c>
      <c r="AR985" t="s">
        <v>18846</v>
      </c>
      <c r="AS985" t="s">
        <v>18847</v>
      </c>
      <c r="AT985" t="s">
        <v>18802</v>
      </c>
      <c r="AU985">
        <v>2018</v>
      </c>
      <c r="AV985">
        <v>28</v>
      </c>
      <c r="AW985">
        <v>19</v>
      </c>
      <c r="AX985" t="s">
        <v>74</v>
      </c>
      <c r="AY985" t="s">
        <v>74</v>
      </c>
      <c r="AZ985" t="s">
        <v>74</v>
      </c>
      <c r="BA985" t="s">
        <v>74</v>
      </c>
      <c r="BB985" t="s">
        <v>18848</v>
      </c>
      <c r="BC985" t="s">
        <v>18849</v>
      </c>
      <c r="BD985" t="s">
        <v>74</v>
      </c>
      <c r="BE985" t="s">
        <v>18850</v>
      </c>
      <c r="BF985" t="str">
        <f>HYPERLINK("http://dx.doi.org/10.1016/j.cub.2018.08.064","http://dx.doi.org/10.1016/j.cub.2018.08.064")</f>
        <v>http://dx.doi.org/10.1016/j.cub.2018.08.064</v>
      </c>
      <c r="BG985" t="s">
        <v>74</v>
      </c>
      <c r="BH985" t="s">
        <v>74</v>
      </c>
      <c r="BI985">
        <v>2</v>
      </c>
      <c r="BJ985" t="s">
        <v>18851</v>
      </c>
      <c r="BK985" t="s">
        <v>101</v>
      </c>
      <c r="BL985" t="s">
        <v>18852</v>
      </c>
      <c r="BM985" t="s">
        <v>18853</v>
      </c>
      <c r="BN985">
        <v>30300595</v>
      </c>
      <c r="BO985" t="s">
        <v>5627</v>
      </c>
      <c r="BP985" t="s">
        <v>74</v>
      </c>
      <c r="BQ985" t="s">
        <v>74</v>
      </c>
      <c r="BR985" t="s">
        <v>104</v>
      </c>
      <c r="BS985" t="s">
        <v>18854</v>
      </c>
      <c r="BT985" t="str">
        <f>HYPERLINK("https%3A%2F%2Fwww.webofscience.com%2Fwos%2Fwoscc%2Ffull-record%2FWOS:000446693400007","View Full Record in Web of Science")</f>
        <v>View Full Record in Web of Science</v>
      </c>
    </row>
    <row r="986" spans="1:72" x14ac:dyDescent="0.15">
      <c r="A986" t="s">
        <v>72</v>
      </c>
      <c r="B986" t="s">
        <v>18855</v>
      </c>
      <c r="C986" t="s">
        <v>74</v>
      </c>
      <c r="D986" t="s">
        <v>74</v>
      </c>
      <c r="E986" t="s">
        <v>74</v>
      </c>
      <c r="F986" t="s">
        <v>18856</v>
      </c>
      <c r="G986" t="s">
        <v>74</v>
      </c>
      <c r="H986" t="s">
        <v>74</v>
      </c>
      <c r="I986" t="s">
        <v>18857</v>
      </c>
      <c r="J986" t="s">
        <v>8794</v>
      </c>
      <c r="K986" t="s">
        <v>74</v>
      </c>
      <c r="L986" t="s">
        <v>74</v>
      </c>
      <c r="M986" t="s">
        <v>78</v>
      </c>
      <c r="N986" t="s">
        <v>1003</v>
      </c>
      <c r="O986" t="s">
        <v>74</v>
      </c>
      <c r="P986" t="s">
        <v>74</v>
      </c>
      <c r="Q986" t="s">
        <v>74</v>
      </c>
      <c r="R986" t="s">
        <v>74</v>
      </c>
      <c r="S986" t="s">
        <v>74</v>
      </c>
      <c r="T986" t="s">
        <v>18858</v>
      </c>
      <c r="U986" t="s">
        <v>18859</v>
      </c>
      <c r="V986" t="s">
        <v>18860</v>
      </c>
      <c r="W986" t="s">
        <v>18861</v>
      </c>
      <c r="X986" t="s">
        <v>8799</v>
      </c>
      <c r="Y986" t="s">
        <v>18862</v>
      </c>
      <c r="Z986" t="s">
        <v>8801</v>
      </c>
      <c r="AA986" t="s">
        <v>8802</v>
      </c>
      <c r="AB986" t="s">
        <v>18863</v>
      </c>
      <c r="AC986" t="s">
        <v>18864</v>
      </c>
      <c r="AD986" t="s">
        <v>18865</v>
      </c>
      <c r="AE986" t="s">
        <v>18866</v>
      </c>
      <c r="AF986" t="s">
        <v>74</v>
      </c>
      <c r="AG986">
        <v>156</v>
      </c>
      <c r="AH986">
        <v>64</v>
      </c>
      <c r="AI986">
        <v>66</v>
      </c>
      <c r="AJ986">
        <v>4</v>
      </c>
      <c r="AK986">
        <v>60</v>
      </c>
      <c r="AL986" t="s">
        <v>8807</v>
      </c>
      <c r="AM986" t="s">
        <v>8808</v>
      </c>
      <c r="AN986" t="s">
        <v>8809</v>
      </c>
      <c r="AO986" t="s">
        <v>8810</v>
      </c>
      <c r="AP986" t="s">
        <v>8811</v>
      </c>
      <c r="AQ986" t="s">
        <v>74</v>
      </c>
      <c r="AR986" t="s">
        <v>8812</v>
      </c>
      <c r="AS986" t="s">
        <v>8813</v>
      </c>
      <c r="AT986" t="s">
        <v>18867</v>
      </c>
      <c r="AU986">
        <v>2018</v>
      </c>
      <c r="AV986">
        <v>51</v>
      </c>
      <c r="AW986" t="s">
        <v>74</v>
      </c>
      <c r="AX986" t="s">
        <v>74</v>
      </c>
      <c r="AY986" t="s">
        <v>74</v>
      </c>
      <c r="AZ986" t="s">
        <v>74</v>
      </c>
      <c r="BA986" t="s">
        <v>74</v>
      </c>
      <c r="BB986" t="s">
        <v>74</v>
      </c>
      <c r="BC986" t="s">
        <v>74</v>
      </c>
      <c r="BD986">
        <v>37</v>
      </c>
      <c r="BE986" t="s">
        <v>18868</v>
      </c>
      <c r="BF986" t="str">
        <f>HYPERLINK("http://dx.doi.org/10.1186/s40659-018-0186-3","http://dx.doi.org/10.1186/s40659-018-0186-3")</f>
        <v>http://dx.doi.org/10.1186/s40659-018-0186-3</v>
      </c>
      <c r="BG986" t="s">
        <v>74</v>
      </c>
      <c r="BH986" t="s">
        <v>74</v>
      </c>
      <c r="BI986">
        <v>15</v>
      </c>
      <c r="BJ986" t="s">
        <v>598</v>
      </c>
      <c r="BK986" t="s">
        <v>101</v>
      </c>
      <c r="BL986" t="s">
        <v>599</v>
      </c>
      <c r="BM986" t="s">
        <v>18869</v>
      </c>
      <c r="BN986">
        <v>30290805</v>
      </c>
      <c r="BO986" t="s">
        <v>221</v>
      </c>
      <c r="BP986" t="s">
        <v>74</v>
      </c>
      <c r="BQ986" t="s">
        <v>74</v>
      </c>
      <c r="BR986" t="s">
        <v>104</v>
      </c>
      <c r="BS986" t="s">
        <v>18870</v>
      </c>
      <c r="BT986" t="str">
        <f>HYPERLINK("https%3A%2F%2Fwww.webofscience.com%2Fwos%2Fwoscc%2Ffull-record%2FWOS:000446441000002","View Full Record in Web of Science")</f>
        <v>View Full Record in Web of Science</v>
      </c>
    </row>
    <row r="987" spans="1:72" x14ac:dyDescent="0.15">
      <c r="A987" t="s">
        <v>72</v>
      </c>
      <c r="B987" t="s">
        <v>18871</v>
      </c>
      <c r="C987" t="s">
        <v>74</v>
      </c>
      <c r="D987" t="s">
        <v>74</v>
      </c>
      <c r="E987" t="s">
        <v>74</v>
      </c>
      <c r="F987" t="s">
        <v>18872</v>
      </c>
      <c r="G987" t="s">
        <v>74</v>
      </c>
      <c r="H987" t="s">
        <v>74</v>
      </c>
      <c r="I987" t="s">
        <v>18873</v>
      </c>
      <c r="J987" t="s">
        <v>8100</v>
      </c>
      <c r="K987" t="s">
        <v>74</v>
      </c>
      <c r="L987" t="s">
        <v>74</v>
      </c>
      <c r="M987" t="s">
        <v>78</v>
      </c>
      <c r="N987" t="s">
        <v>79</v>
      </c>
      <c r="O987" t="s">
        <v>74</v>
      </c>
      <c r="P987" t="s">
        <v>74</v>
      </c>
      <c r="Q987" t="s">
        <v>74</v>
      </c>
      <c r="R987" t="s">
        <v>74</v>
      </c>
      <c r="S987" t="s">
        <v>74</v>
      </c>
      <c r="T987" t="s">
        <v>74</v>
      </c>
      <c r="U987" t="s">
        <v>18874</v>
      </c>
      <c r="V987" t="s">
        <v>18875</v>
      </c>
      <c r="W987" t="s">
        <v>18876</v>
      </c>
      <c r="X987" t="s">
        <v>18877</v>
      </c>
      <c r="Y987" t="s">
        <v>18878</v>
      </c>
      <c r="Z987" t="s">
        <v>18879</v>
      </c>
      <c r="AA987" t="s">
        <v>18880</v>
      </c>
      <c r="AB987" t="s">
        <v>18881</v>
      </c>
      <c r="AC987" t="s">
        <v>18882</v>
      </c>
      <c r="AD987" t="s">
        <v>18883</v>
      </c>
      <c r="AE987" t="s">
        <v>18884</v>
      </c>
      <c r="AF987" t="s">
        <v>74</v>
      </c>
      <c r="AG987">
        <v>79</v>
      </c>
      <c r="AH987">
        <v>9</v>
      </c>
      <c r="AI987">
        <v>10</v>
      </c>
      <c r="AJ987">
        <v>2</v>
      </c>
      <c r="AK987">
        <v>18</v>
      </c>
      <c r="AL987" t="s">
        <v>7866</v>
      </c>
      <c r="AM987" t="s">
        <v>7867</v>
      </c>
      <c r="AN987" t="s">
        <v>7868</v>
      </c>
      <c r="AO987" t="s">
        <v>8112</v>
      </c>
      <c r="AP987" t="s">
        <v>8113</v>
      </c>
      <c r="AQ987" t="s">
        <v>74</v>
      </c>
      <c r="AR987" t="s">
        <v>8100</v>
      </c>
      <c r="AS987" t="s">
        <v>8114</v>
      </c>
      <c r="AT987" t="s">
        <v>18867</v>
      </c>
      <c r="AU987">
        <v>2018</v>
      </c>
      <c r="AV987">
        <v>12</v>
      </c>
      <c r="AW987">
        <v>10</v>
      </c>
      <c r="AX987" t="s">
        <v>74</v>
      </c>
      <c r="AY987" t="s">
        <v>74</v>
      </c>
      <c r="AZ987" t="s">
        <v>74</v>
      </c>
      <c r="BA987" t="s">
        <v>74</v>
      </c>
      <c r="BB987">
        <v>3187</v>
      </c>
      <c r="BC987">
        <v>3213</v>
      </c>
      <c r="BD987" t="s">
        <v>74</v>
      </c>
      <c r="BE987" t="s">
        <v>18885</v>
      </c>
      <c r="BF987" t="str">
        <f>HYPERLINK("http://dx.doi.org/10.5194/tc-12-3187-2018","http://dx.doi.org/10.5194/tc-12-3187-2018")</f>
        <v>http://dx.doi.org/10.5194/tc-12-3187-2018</v>
      </c>
      <c r="BG987" t="s">
        <v>74</v>
      </c>
      <c r="BH987" t="s">
        <v>74</v>
      </c>
      <c r="BI987">
        <v>27</v>
      </c>
      <c r="BJ987" t="s">
        <v>1480</v>
      </c>
      <c r="BK987" t="s">
        <v>101</v>
      </c>
      <c r="BL987" t="s">
        <v>1481</v>
      </c>
      <c r="BM987" t="s">
        <v>18886</v>
      </c>
      <c r="BN987" t="s">
        <v>74</v>
      </c>
      <c r="BO987" t="s">
        <v>1556</v>
      </c>
      <c r="BP987" t="s">
        <v>74</v>
      </c>
      <c r="BQ987" t="s">
        <v>74</v>
      </c>
      <c r="BR987" t="s">
        <v>104</v>
      </c>
      <c r="BS987" t="s">
        <v>18887</v>
      </c>
      <c r="BT987" t="str">
        <f>HYPERLINK("https%3A%2F%2Fwww.webofscience.com%2Fwos%2Fwoscc%2Ffull-record%2FWOS:000446812400002","View Full Record in Web of Science")</f>
        <v>View Full Record in Web of Science</v>
      </c>
    </row>
    <row r="988" spans="1:72" x14ac:dyDescent="0.15">
      <c r="A988" t="s">
        <v>72</v>
      </c>
      <c r="B988" t="s">
        <v>18888</v>
      </c>
      <c r="C988" t="s">
        <v>74</v>
      </c>
      <c r="D988" t="s">
        <v>74</v>
      </c>
      <c r="E988" t="s">
        <v>74</v>
      </c>
      <c r="F988" t="s">
        <v>18889</v>
      </c>
      <c r="G988" t="s">
        <v>74</v>
      </c>
      <c r="H988" t="s">
        <v>74</v>
      </c>
      <c r="I988" t="s">
        <v>18890</v>
      </c>
      <c r="J988" t="s">
        <v>13338</v>
      </c>
      <c r="K988" t="s">
        <v>74</v>
      </c>
      <c r="L988" t="s">
        <v>74</v>
      </c>
      <c r="M988" t="s">
        <v>78</v>
      </c>
      <c r="N988" t="s">
        <v>79</v>
      </c>
      <c r="O988" t="s">
        <v>74</v>
      </c>
      <c r="P988" t="s">
        <v>74</v>
      </c>
      <c r="Q988" t="s">
        <v>74</v>
      </c>
      <c r="R988" t="s">
        <v>74</v>
      </c>
      <c r="S988" t="s">
        <v>74</v>
      </c>
      <c r="T988" t="s">
        <v>18891</v>
      </c>
      <c r="U988" t="s">
        <v>18892</v>
      </c>
      <c r="V988" t="s">
        <v>18893</v>
      </c>
      <c r="W988" t="s">
        <v>18894</v>
      </c>
      <c r="X988" t="s">
        <v>18895</v>
      </c>
      <c r="Y988" t="s">
        <v>18896</v>
      </c>
      <c r="Z988" t="s">
        <v>18897</v>
      </c>
      <c r="AA988" t="s">
        <v>74</v>
      </c>
      <c r="AB988" t="s">
        <v>18898</v>
      </c>
      <c r="AC988" t="s">
        <v>18899</v>
      </c>
      <c r="AD988" t="s">
        <v>18899</v>
      </c>
      <c r="AE988" t="s">
        <v>18900</v>
      </c>
      <c r="AF988" t="s">
        <v>74</v>
      </c>
      <c r="AG988">
        <v>29</v>
      </c>
      <c r="AH988">
        <v>7</v>
      </c>
      <c r="AI988">
        <v>7</v>
      </c>
      <c r="AJ988">
        <v>0</v>
      </c>
      <c r="AK988">
        <v>8</v>
      </c>
      <c r="AL988" t="s">
        <v>210</v>
      </c>
      <c r="AM988" t="s">
        <v>211</v>
      </c>
      <c r="AN988" t="s">
        <v>212</v>
      </c>
      <c r="AO988" t="s">
        <v>13351</v>
      </c>
      <c r="AP988" t="s">
        <v>13352</v>
      </c>
      <c r="AQ988" t="s">
        <v>74</v>
      </c>
      <c r="AR988" t="s">
        <v>13353</v>
      </c>
      <c r="AS988" t="s">
        <v>13354</v>
      </c>
      <c r="AT988" t="s">
        <v>18867</v>
      </c>
      <c r="AU988">
        <v>2018</v>
      </c>
      <c r="AV988">
        <v>52</v>
      </c>
      <c r="AW988" t="s">
        <v>18901</v>
      </c>
      <c r="AX988" t="s">
        <v>74</v>
      </c>
      <c r="AY988" t="s">
        <v>74</v>
      </c>
      <c r="AZ988" t="s">
        <v>74</v>
      </c>
      <c r="BA988" t="s">
        <v>74</v>
      </c>
      <c r="BB988">
        <v>2197</v>
      </c>
      <c r="BC988">
        <v>2207</v>
      </c>
      <c r="BD988" t="s">
        <v>74</v>
      </c>
      <c r="BE988" t="s">
        <v>18902</v>
      </c>
      <c r="BF988" t="str">
        <f>HYPERLINK("http://dx.doi.org/10.1080/00222933.2018.1523483","http://dx.doi.org/10.1080/00222933.2018.1523483")</f>
        <v>http://dx.doi.org/10.1080/00222933.2018.1523483</v>
      </c>
      <c r="BG988" t="s">
        <v>74</v>
      </c>
      <c r="BH988" t="s">
        <v>74</v>
      </c>
      <c r="BI988">
        <v>11</v>
      </c>
      <c r="BJ988" t="s">
        <v>13358</v>
      </c>
      <c r="BK988" t="s">
        <v>101</v>
      </c>
      <c r="BL988" t="s">
        <v>13359</v>
      </c>
      <c r="BM988" t="s">
        <v>18903</v>
      </c>
      <c r="BN988" t="s">
        <v>74</v>
      </c>
      <c r="BO988" t="s">
        <v>74</v>
      </c>
      <c r="BP988" t="s">
        <v>74</v>
      </c>
      <c r="BQ988" t="s">
        <v>74</v>
      </c>
      <c r="BR988" t="s">
        <v>104</v>
      </c>
      <c r="BS988" t="s">
        <v>18904</v>
      </c>
      <c r="BT988" t="str">
        <f>HYPERLINK("https%3A%2F%2Fwww.webofscience.com%2Fwos%2Fwoscc%2Ffull-record%2FWOS:000452161800001","View Full Record in Web of Science")</f>
        <v>View Full Record in Web of Science</v>
      </c>
    </row>
    <row r="989" spans="1:72" x14ac:dyDescent="0.15">
      <c r="A989" t="s">
        <v>72</v>
      </c>
      <c r="B989" t="s">
        <v>18905</v>
      </c>
      <c r="C989" t="s">
        <v>74</v>
      </c>
      <c r="D989" t="s">
        <v>74</v>
      </c>
      <c r="E989" t="s">
        <v>74</v>
      </c>
      <c r="F989" t="s">
        <v>18906</v>
      </c>
      <c r="G989" t="s">
        <v>74</v>
      </c>
      <c r="H989" t="s">
        <v>74</v>
      </c>
      <c r="I989" t="s">
        <v>18907</v>
      </c>
      <c r="J989" t="s">
        <v>12982</v>
      </c>
      <c r="K989" t="s">
        <v>74</v>
      </c>
      <c r="L989" t="s">
        <v>74</v>
      </c>
      <c r="M989" t="s">
        <v>78</v>
      </c>
      <c r="N989" t="s">
        <v>79</v>
      </c>
      <c r="O989" t="s">
        <v>74</v>
      </c>
      <c r="P989" t="s">
        <v>74</v>
      </c>
      <c r="Q989" t="s">
        <v>74</v>
      </c>
      <c r="R989" t="s">
        <v>74</v>
      </c>
      <c r="S989" t="s">
        <v>74</v>
      </c>
      <c r="T989" t="s">
        <v>74</v>
      </c>
      <c r="U989" t="s">
        <v>18908</v>
      </c>
      <c r="V989" t="s">
        <v>18909</v>
      </c>
      <c r="W989" t="s">
        <v>18910</v>
      </c>
      <c r="X989" t="s">
        <v>18911</v>
      </c>
      <c r="Y989" t="s">
        <v>18912</v>
      </c>
      <c r="Z989" t="s">
        <v>18913</v>
      </c>
      <c r="AA989" t="s">
        <v>18914</v>
      </c>
      <c r="AB989" t="s">
        <v>18915</v>
      </c>
      <c r="AC989" t="s">
        <v>18916</v>
      </c>
      <c r="AD989" t="s">
        <v>18917</v>
      </c>
      <c r="AE989" t="s">
        <v>18918</v>
      </c>
      <c r="AF989" t="s">
        <v>74</v>
      </c>
      <c r="AG989">
        <v>241</v>
      </c>
      <c r="AH989">
        <v>49</v>
      </c>
      <c r="AI989">
        <v>58</v>
      </c>
      <c r="AJ989">
        <v>18</v>
      </c>
      <c r="AK989">
        <v>116</v>
      </c>
      <c r="AL989" t="s">
        <v>7866</v>
      </c>
      <c r="AM989" t="s">
        <v>7867</v>
      </c>
      <c r="AN989" t="s">
        <v>7868</v>
      </c>
      <c r="AO989" t="s">
        <v>12994</v>
      </c>
      <c r="AP989" t="s">
        <v>12995</v>
      </c>
      <c r="AQ989" t="s">
        <v>74</v>
      </c>
      <c r="AR989" t="s">
        <v>12982</v>
      </c>
      <c r="AS989" t="s">
        <v>12996</v>
      </c>
      <c r="AT989" t="s">
        <v>18867</v>
      </c>
      <c r="AU989">
        <v>2018</v>
      </c>
      <c r="AV989">
        <v>15</v>
      </c>
      <c r="AW989">
        <v>19</v>
      </c>
      <c r="AX989" t="s">
        <v>74</v>
      </c>
      <c r="AY989" t="s">
        <v>74</v>
      </c>
      <c r="AZ989" t="s">
        <v>74</v>
      </c>
      <c r="BA989" t="s">
        <v>74</v>
      </c>
      <c r="BB989">
        <v>5847</v>
      </c>
      <c r="BC989">
        <v>5889</v>
      </c>
      <c r="BD989" t="s">
        <v>74</v>
      </c>
      <c r="BE989" t="s">
        <v>18919</v>
      </c>
      <c r="BF989" t="str">
        <f>HYPERLINK("http://dx.doi.org/10.5194/bg-15-5847-2018","http://dx.doi.org/10.5194/bg-15-5847-2018")</f>
        <v>http://dx.doi.org/10.5194/bg-15-5847-2018</v>
      </c>
      <c r="BG989" t="s">
        <v>74</v>
      </c>
      <c r="BH989" t="s">
        <v>74</v>
      </c>
      <c r="BI989">
        <v>43</v>
      </c>
      <c r="BJ989" t="s">
        <v>451</v>
      </c>
      <c r="BK989" t="s">
        <v>101</v>
      </c>
      <c r="BL989" t="s">
        <v>452</v>
      </c>
      <c r="BM989" t="s">
        <v>18920</v>
      </c>
      <c r="BN989" t="s">
        <v>74</v>
      </c>
      <c r="BO989" t="s">
        <v>949</v>
      </c>
      <c r="BP989" t="s">
        <v>74</v>
      </c>
      <c r="BQ989" t="s">
        <v>74</v>
      </c>
      <c r="BR989" t="s">
        <v>104</v>
      </c>
      <c r="BS989" t="s">
        <v>18921</v>
      </c>
      <c r="BT989" t="str">
        <f>HYPERLINK("https%3A%2F%2Fwww.webofscience.com%2Fwos%2Fwoscc%2Ffull-record%2FWOS:000446780600001","View Full Record in Web of Science")</f>
        <v>View Full Record in Web of Science</v>
      </c>
    </row>
    <row r="990" spans="1:72" x14ac:dyDescent="0.15">
      <c r="A990" t="s">
        <v>72</v>
      </c>
      <c r="B990" t="s">
        <v>18922</v>
      </c>
      <c r="C990" t="s">
        <v>74</v>
      </c>
      <c r="D990" t="s">
        <v>74</v>
      </c>
      <c r="E990" t="s">
        <v>74</v>
      </c>
      <c r="F990" t="s">
        <v>18923</v>
      </c>
      <c r="G990" t="s">
        <v>74</v>
      </c>
      <c r="H990" t="s">
        <v>74</v>
      </c>
      <c r="I990" t="s">
        <v>18924</v>
      </c>
      <c r="J990" t="s">
        <v>8076</v>
      </c>
      <c r="K990" t="s">
        <v>74</v>
      </c>
      <c r="L990" t="s">
        <v>74</v>
      </c>
      <c r="M990" t="s">
        <v>78</v>
      </c>
      <c r="N990" t="s">
        <v>79</v>
      </c>
      <c r="O990" t="s">
        <v>74</v>
      </c>
      <c r="P990" t="s">
        <v>74</v>
      </c>
      <c r="Q990" t="s">
        <v>74</v>
      </c>
      <c r="R990" t="s">
        <v>74</v>
      </c>
      <c r="S990" t="s">
        <v>74</v>
      </c>
      <c r="T990" t="s">
        <v>74</v>
      </c>
      <c r="U990" t="s">
        <v>18925</v>
      </c>
      <c r="V990" t="s">
        <v>18926</v>
      </c>
      <c r="W990" t="s">
        <v>18927</v>
      </c>
      <c r="X990" t="s">
        <v>18928</v>
      </c>
      <c r="Y990" t="s">
        <v>18929</v>
      </c>
      <c r="Z990" t="s">
        <v>18930</v>
      </c>
      <c r="AA990" t="s">
        <v>18931</v>
      </c>
      <c r="AB990" t="s">
        <v>18932</v>
      </c>
      <c r="AC990" t="s">
        <v>18933</v>
      </c>
      <c r="AD990" t="s">
        <v>3509</v>
      </c>
      <c r="AE990" t="s">
        <v>18934</v>
      </c>
      <c r="AF990" t="s">
        <v>74</v>
      </c>
      <c r="AG990">
        <v>34</v>
      </c>
      <c r="AH990">
        <v>10</v>
      </c>
      <c r="AI990">
        <v>10</v>
      </c>
      <c r="AJ990">
        <v>2</v>
      </c>
      <c r="AK990">
        <v>18</v>
      </c>
      <c r="AL990" t="s">
        <v>8088</v>
      </c>
      <c r="AM990" t="s">
        <v>8089</v>
      </c>
      <c r="AN990" t="s">
        <v>8090</v>
      </c>
      <c r="AO990" t="s">
        <v>8091</v>
      </c>
      <c r="AP990" t="s">
        <v>74</v>
      </c>
      <c r="AQ990" t="s">
        <v>74</v>
      </c>
      <c r="AR990" t="s">
        <v>8076</v>
      </c>
      <c r="AS990" t="s">
        <v>8092</v>
      </c>
      <c r="AT990" t="s">
        <v>18867</v>
      </c>
      <c r="AU990">
        <v>2018</v>
      </c>
      <c r="AV990">
        <v>13</v>
      </c>
      <c r="AW990">
        <v>10</v>
      </c>
      <c r="AX990" t="s">
        <v>74</v>
      </c>
      <c r="AY990" t="s">
        <v>74</v>
      </c>
      <c r="AZ990" t="s">
        <v>74</v>
      </c>
      <c r="BA990" t="s">
        <v>74</v>
      </c>
      <c r="BB990" t="s">
        <v>74</v>
      </c>
      <c r="BC990" t="s">
        <v>74</v>
      </c>
      <c r="BD990" t="s">
        <v>18935</v>
      </c>
      <c r="BE990" t="s">
        <v>18936</v>
      </c>
      <c r="BF990" t="str">
        <f>HYPERLINK("http://dx.doi.org/10.1371/journal.pone.0204686","http://dx.doi.org/10.1371/journal.pone.0204686")</f>
        <v>http://dx.doi.org/10.1371/journal.pone.0204686</v>
      </c>
      <c r="BG990" t="s">
        <v>74</v>
      </c>
      <c r="BH990" t="s">
        <v>74</v>
      </c>
      <c r="BI990">
        <v>15</v>
      </c>
      <c r="BJ990" t="s">
        <v>855</v>
      </c>
      <c r="BK990" t="s">
        <v>101</v>
      </c>
      <c r="BL990" t="s">
        <v>856</v>
      </c>
      <c r="BM990" t="s">
        <v>18937</v>
      </c>
      <c r="BN990">
        <v>30289883</v>
      </c>
      <c r="BO990" t="s">
        <v>10119</v>
      </c>
      <c r="BP990" t="s">
        <v>74</v>
      </c>
      <c r="BQ990" t="s">
        <v>74</v>
      </c>
      <c r="BR990" t="s">
        <v>104</v>
      </c>
      <c r="BS990" t="s">
        <v>18938</v>
      </c>
      <c r="BT990" t="str">
        <f>HYPERLINK("https%3A%2F%2Fwww.webofscience.com%2Fwos%2Fwoscc%2Ffull-record%2FWOS:000446545500022","View Full Record in Web of Science")</f>
        <v>View Full Record in Web of Science</v>
      </c>
    </row>
    <row r="991" spans="1:72" x14ac:dyDescent="0.15">
      <c r="A991" t="s">
        <v>72</v>
      </c>
      <c r="B991" t="s">
        <v>18939</v>
      </c>
      <c r="C991" t="s">
        <v>74</v>
      </c>
      <c r="D991" t="s">
        <v>74</v>
      </c>
      <c r="E991" t="s">
        <v>74</v>
      </c>
      <c r="F991" t="s">
        <v>18940</v>
      </c>
      <c r="G991" t="s">
        <v>74</v>
      </c>
      <c r="H991" t="s">
        <v>74</v>
      </c>
      <c r="I991" t="s">
        <v>18941</v>
      </c>
      <c r="J991" t="s">
        <v>13918</v>
      </c>
      <c r="K991" t="s">
        <v>74</v>
      </c>
      <c r="L991" t="s">
        <v>74</v>
      </c>
      <c r="M991" t="s">
        <v>78</v>
      </c>
      <c r="N991" t="s">
        <v>79</v>
      </c>
      <c r="O991" t="s">
        <v>74</v>
      </c>
      <c r="P991" t="s">
        <v>74</v>
      </c>
      <c r="Q991" t="s">
        <v>74</v>
      </c>
      <c r="R991" t="s">
        <v>74</v>
      </c>
      <c r="S991" t="s">
        <v>74</v>
      </c>
      <c r="T991" t="s">
        <v>18942</v>
      </c>
      <c r="U991" t="s">
        <v>18943</v>
      </c>
      <c r="V991" t="s">
        <v>18944</v>
      </c>
      <c r="W991" t="s">
        <v>18945</v>
      </c>
      <c r="X991" t="s">
        <v>3608</v>
      </c>
      <c r="Y991" t="s">
        <v>18946</v>
      </c>
      <c r="Z991" t="s">
        <v>18947</v>
      </c>
      <c r="AA991" t="s">
        <v>74</v>
      </c>
      <c r="AB991" t="s">
        <v>74</v>
      </c>
      <c r="AC991" t="s">
        <v>18948</v>
      </c>
      <c r="AD991" t="s">
        <v>18949</v>
      </c>
      <c r="AE991" t="s">
        <v>18950</v>
      </c>
      <c r="AF991" t="s">
        <v>74</v>
      </c>
      <c r="AG991">
        <v>68</v>
      </c>
      <c r="AH991">
        <v>0</v>
      </c>
      <c r="AI991">
        <v>0</v>
      </c>
      <c r="AJ991">
        <v>0</v>
      </c>
      <c r="AK991">
        <v>13</v>
      </c>
      <c r="AL991" t="s">
        <v>985</v>
      </c>
      <c r="AM991" t="s">
        <v>986</v>
      </c>
      <c r="AN991" t="s">
        <v>987</v>
      </c>
      <c r="AO991" t="s">
        <v>13931</v>
      </c>
      <c r="AP991" t="s">
        <v>13932</v>
      </c>
      <c r="AQ991" t="s">
        <v>74</v>
      </c>
      <c r="AR991" t="s">
        <v>13933</v>
      </c>
      <c r="AS991" t="s">
        <v>13934</v>
      </c>
      <c r="AT991" t="s">
        <v>18951</v>
      </c>
      <c r="AU991">
        <v>2018</v>
      </c>
      <c r="AV991">
        <v>604</v>
      </c>
      <c r="AW991" t="s">
        <v>74</v>
      </c>
      <c r="AX991" t="s">
        <v>74</v>
      </c>
      <c r="AY991" t="s">
        <v>74</v>
      </c>
      <c r="AZ991" t="s">
        <v>74</v>
      </c>
      <c r="BA991" t="s">
        <v>74</v>
      </c>
      <c r="BB991">
        <v>173</v>
      </c>
      <c r="BC991">
        <v>185</v>
      </c>
      <c r="BD991" t="s">
        <v>74</v>
      </c>
      <c r="BE991" t="s">
        <v>18952</v>
      </c>
      <c r="BF991" t="str">
        <f>HYPERLINK("http://dx.doi.org/10.3354/meps12691","http://dx.doi.org/10.3354/meps12691")</f>
        <v>http://dx.doi.org/10.3354/meps12691</v>
      </c>
      <c r="BG991" t="s">
        <v>74</v>
      </c>
      <c r="BH991" t="s">
        <v>74</v>
      </c>
      <c r="BI991">
        <v>13</v>
      </c>
      <c r="BJ991" t="s">
        <v>13936</v>
      </c>
      <c r="BK991" t="s">
        <v>101</v>
      </c>
      <c r="BL991" t="s">
        <v>13937</v>
      </c>
      <c r="BM991" t="s">
        <v>18953</v>
      </c>
      <c r="BN991" t="s">
        <v>74</v>
      </c>
      <c r="BO991" t="s">
        <v>404</v>
      </c>
      <c r="BP991" t="s">
        <v>74</v>
      </c>
      <c r="BQ991" t="s">
        <v>74</v>
      </c>
      <c r="BR991" t="s">
        <v>104</v>
      </c>
      <c r="BS991" t="s">
        <v>18954</v>
      </c>
      <c r="BT991" t="str">
        <f>HYPERLINK("https%3A%2F%2Fwww.webofscience.com%2Fwos%2Fwoscc%2Ffull-record%2FWOS:000446470100012","View Full Record in Web of Science")</f>
        <v>View Full Record in Web of Science</v>
      </c>
    </row>
    <row r="992" spans="1:72" x14ac:dyDescent="0.15">
      <c r="A992" t="s">
        <v>72</v>
      </c>
      <c r="B992" t="s">
        <v>18955</v>
      </c>
      <c r="C992" t="s">
        <v>74</v>
      </c>
      <c r="D992" t="s">
        <v>74</v>
      </c>
      <c r="E992" t="s">
        <v>74</v>
      </c>
      <c r="F992" t="s">
        <v>18956</v>
      </c>
      <c r="G992" t="s">
        <v>74</v>
      </c>
      <c r="H992" t="s">
        <v>74</v>
      </c>
      <c r="I992" t="s">
        <v>18957</v>
      </c>
      <c r="J992" t="s">
        <v>8076</v>
      </c>
      <c r="K992" t="s">
        <v>74</v>
      </c>
      <c r="L992" t="s">
        <v>74</v>
      </c>
      <c r="M992" t="s">
        <v>78</v>
      </c>
      <c r="N992" t="s">
        <v>79</v>
      </c>
      <c r="O992" t="s">
        <v>74</v>
      </c>
      <c r="P992" t="s">
        <v>74</v>
      </c>
      <c r="Q992" t="s">
        <v>74</v>
      </c>
      <c r="R992" t="s">
        <v>74</v>
      </c>
      <c r="S992" t="s">
        <v>74</v>
      </c>
      <c r="T992" t="s">
        <v>74</v>
      </c>
      <c r="U992" t="s">
        <v>18958</v>
      </c>
      <c r="V992" t="s">
        <v>18959</v>
      </c>
      <c r="W992" t="s">
        <v>18960</v>
      </c>
      <c r="X992" t="s">
        <v>18961</v>
      </c>
      <c r="Y992" t="s">
        <v>18962</v>
      </c>
      <c r="Z992" t="s">
        <v>18963</v>
      </c>
      <c r="AA992" t="s">
        <v>18964</v>
      </c>
      <c r="AB992" t="s">
        <v>18965</v>
      </c>
      <c r="AC992" t="s">
        <v>74</v>
      </c>
      <c r="AD992" t="s">
        <v>74</v>
      </c>
      <c r="AE992" t="s">
        <v>74</v>
      </c>
      <c r="AF992" t="s">
        <v>74</v>
      </c>
      <c r="AG992">
        <v>66</v>
      </c>
      <c r="AH992">
        <v>6</v>
      </c>
      <c r="AI992">
        <v>6</v>
      </c>
      <c r="AJ992">
        <v>0</v>
      </c>
      <c r="AK992">
        <v>10</v>
      </c>
      <c r="AL992" t="s">
        <v>8088</v>
      </c>
      <c r="AM992" t="s">
        <v>8089</v>
      </c>
      <c r="AN992" t="s">
        <v>8090</v>
      </c>
      <c r="AO992" t="s">
        <v>8091</v>
      </c>
      <c r="AP992" t="s">
        <v>74</v>
      </c>
      <c r="AQ992" t="s">
        <v>74</v>
      </c>
      <c r="AR992" t="s">
        <v>8076</v>
      </c>
      <c r="AS992" t="s">
        <v>8092</v>
      </c>
      <c r="AT992" t="s">
        <v>18966</v>
      </c>
      <c r="AU992">
        <v>2018</v>
      </c>
      <c r="AV992">
        <v>13</v>
      </c>
      <c r="AW992">
        <v>10</v>
      </c>
      <c r="AX992" t="s">
        <v>74</v>
      </c>
      <c r="AY992" t="s">
        <v>74</v>
      </c>
      <c r="AZ992" t="s">
        <v>74</v>
      </c>
      <c r="BA992" t="s">
        <v>74</v>
      </c>
      <c r="BB992" t="s">
        <v>74</v>
      </c>
      <c r="BC992" t="s">
        <v>74</v>
      </c>
      <c r="BD992" t="s">
        <v>18967</v>
      </c>
      <c r="BE992" t="s">
        <v>18968</v>
      </c>
      <c r="BF992" t="str">
        <f>HYPERLINK("http://dx.doi.org/10.1371/journal.pone.0203222","http://dx.doi.org/10.1371/journal.pone.0203222")</f>
        <v>http://dx.doi.org/10.1371/journal.pone.0203222</v>
      </c>
      <c r="BG992" t="s">
        <v>74</v>
      </c>
      <c r="BH992" t="s">
        <v>74</v>
      </c>
      <c r="BI992">
        <v>16</v>
      </c>
      <c r="BJ992" t="s">
        <v>855</v>
      </c>
      <c r="BK992" t="s">
        <v>101</v>
      </c>
      <c r="BL992" t="s">
        <v>856</v>
      </c>
      <c r="BM992" t="s">
        <v>18969</v>
      </c>
      <c r="BN992">
        <v>30281612</v>
      </c>
      <c r="BO992" t="s">
        <v>221</v>
      </c>
      <c r="BP992" t="s">
        <v>74</v>
      </c>
      <c r="BQ992" t="s">
        <v>74</v>
      </c>
      <c r="BR992" t="s">
        <v>104</v>
      </c>
      <c r="BS992" t="s">
        <v>18970</v>
      </c>
      <c r="BT992" t="str">
        <f>HYPERLINK("https%3A%2F%2Fwww.webofscience.com%2Fwos%2Fwoscc%2Ffull-record%2FWOS:000446342400017","View Full Record in Web of Science")</f>
        <v>View Full Record in Web of Science</v>
      </c>
    </row>
    <row r="993" spans="1:72" x14ac:dyDescent="0.15">
      <c r="A993" t="s">
        <v>72</v>
      </c>
      <c r="B993" t="s">
        <v>18971</v>
      </c>
      <c r="C993" t="s">
        <v>74</v>
      </c>
      <c r="D993" t="s">
        <v>74</v>
      </c>
      <c r="E993" t="s">
        <v>74</v>
      </c>
      <c r="F993" t="s">
        <v>18972</v>
      </c>
      <c r="G993" t="s">
        <v>74</v>
      </c>
      <c r="H993" t="s">
        <v>74</v>
      </c>
      <c r="I993" t="s">
        <v>18973</v>
      </c>
      <c r="J993" t="s">
        <v>8034</v>
      </c>
      <c r="K993" t="s">
        <v>74</v>
      </c>
      <c r="L993" t="s">
        <v>74</v>
      </c>
      <c r="M993" t="s">
        <v>78</v>
      </c>
      <c r="N993" t="s">
        <v>79</v>
      </c>
      <c r="O993" t="s">
        <v>74</v>
      </c>
      <c r="P993" t="s">
        <v>74</v>
      </c>
      <c r="Q993" t="s">
        <v>74</v>
      </c>
      <c r="R993" t="s">
        <v>74</v>
      </c>
      <c r="S993" t="s">
        <v>74</v>
      </c>
      <c r="T993" t="s">
        <v>74</v>
      </c>
      <c r="U993" t="s">
        <v>18974</v>
      </c>
      <c r="V993" t="s">
        <v>18975</v>
      </c>
      <c r="W993" t="s">
        <v>18976</v>
      </c>
      <c r="X993" t="s">
        <v>18977</v>
      </c>
      <c r="Y993" t="s">
        <v>18978</v>
      </c>
      <c r="Z993" t="s">
        <v>18979</v>
      </c>
      <c r="AA993" t="s">
        <v>18980</v>
      </c>
      <c r="AB993" t="s">
        <v>18981</v>
      </c>
      <c r="AC993" t="s">
        <v>18982</v>
      </c>
      <c r="AD993" t="s">
        <v>18983</v>
      </c>
      <c r="AE993" t="s">
        <v>18984</v>
      </c>
      <c r="AF993" t="s">
        <v>74</v>
      </c>
      <c r="AG993">
        <v>71</v>
      </c>
      <c r="AH993">
        <v>70</v>
      </c>
      <c r="AI993">
        <v>73</v>
      </c>
      <c r="AJ993">
        <v>2</v>
      </c>
      <c r="AK993">
        <v>47</v>
      </c>
      <c r="AL993" t="s">
        <v>8045</v>
      </c>
      <c r="AM993" t="s">
        <v>6186</v>
      </c>
      <c r="AN993" t="s">
        <v>6187</v>
      </c>
      <c r="AO993" t="s">
        <v>8046</v>
      </c>
      <c r="AP993" t="s">
        <v>74</v>
      </c>
      <c r="AQ993" t="s">
        <v>74</v>
      </c>
      <c r="AR993" t="s">
        <v>8047</v>
      </c>
      <c r="AS993" t="s">
        <v>8048</v>
      </c>
      <c r="AT993" t="s">
        <v>18966</v>
      </c>
      <c r="AU993">
        <v>2018</v>
      </c>
      <c r="AV993">
        <v>8</v>
      </c>
      <c r="AW993" t="s">
        <v>74</v>
      </c>
      <c r="AX993" t="s">
        <v>74</v>
      </c>
      <c r="AY993" t="s">
        <v>74</v>
      </c>
      <c r="AZ993" t="s">
        <v>74</v>
      </c>
      <c r="BA993" t="s">
        <v>74</v>
      </c>
      <c r="BB993" t="s">
        <v>74</v>
      </c>
      <c r="BC993" t="s">
        <v>74</v>
      </c>
      <c r="BD993">
        <v>14763</v>
      </c>
      <c r="BE993" t="s">
        <v>18985</v>
      </c>
      <c r="BF993" t="str">
        <f>HYPERLINK("http://dx.doi.org/10.1038/s41598-018-32899-w","http://dx.doi.org/10.1038/s41598-018-32899-w")</f>
        <v>http://dx.doi.org/10.1038/s41598-018-32899-w</v>
      </c>
      <c r="BG993" t="s">
        <v>74</v>
      </c>
      <c r="BH993" t="s">
        <v>74</v>
      </c>
      <c r="BI993">
        <v>13</v>
      </c>
      <c r="BJ993" t="s">
        <v>855</v>
      </c>
      <c r="BK993" t="s">
        <v>101</v>
      </c>
      <c r="BL993" t="s">
        <v>856</v>
      </c>
      <c r="BM993" t="s">
        <v>18986</v>
      </c>
      <c r="BN993">
        <v>30283041</v>
      </c>
      <c r="BO993" t="s">
        <v>7920</v>
      </c>
      <c r="BP993" t="s">
        <v>74</v>
      </c>
      <c r="BQ993" t="s">
        <v>74</v>
      </c>
      <c r="BR993" t="s">
        <v>104</v>
      </c>
      <c r="BS993" t="s">
        <v>18987</v>
      </c>
      <c r="BT993" t="str">
        <f>HYPERLINK("https%3A%2F%2Fwww.webofscience.com%2Fwos%2Fwoscc%2Ffull-record%2FWOS:000446339400047","View Full Record in Web of Science")</f>
        <v>View Full Record in Web of Science</v>
      </c>
    </row>
    <row r="994" spans="1:72" x14ac:dyDescent="0.15">
      <c r="A994" t="s">
        <v>72</v>
      </c>
      <c r="B994" t="s">
        <v>18988</v>
      </c>
      <c r="C994" t="s">
        <v>74</v>
      </c>
      <c r="D994" t="s">
        <v>74</v>
      </c>
      <c r="E994" t="s">
        <v>74</v>
      </c>
      <c r="F994" t="s">
        <v>18989</v>
      </c>
      <c r="G994" t="s">
        <v>74</v>
      </c>
      <c r="H994" t="s">
        <v>74</v>
      </c>
      <c r="I994" t="s">
        <v>18990</v>
      </c>
      <c r="J994" t="s">
        <v>8034</v>
      </c>
      <c r="K994" t="s">
        <v>74</v>
      </c>
      <c r="L994" t="s">
        <v>74</v>
      </c>
      <c r="M994" t="s">
        <v>78</v>
      </c>
      <c r="N994" t="s">
        <v>79</v>
      </c>
      <c r="O994" t="s">
        <v>74</v>
      </c>
      <c r="P994" t="s">
        <v>74</v>
      </c>
      <c r="Q994" t="s">
        <v>74</v>
      </c>
      <c r="R994" t="s">
        <v>74</v>
      </c>
      <c r="S994" t="s">
        <v>74</v>
      </c>
      <c r="T994" t="s">
        <v>74</v>
      </c>
      <c r="U994" t="s">
        <v>18991</v>
      </c>
      <c r="V994" t="s">
        <v>18992</v>
      </c>
      <c r="W994" t="s">
        <v>18993</v>
      </c>
      <c r="X994" t="s">
        <v>18994</v>
      </c>
      <c r="Y994" t="s">
        <v>18995</v>
      </c>
      <c r="Z994" t="s">
        <v>18996</v>
      </c>
      <c r="AA994" t="s">
        <v>18997</v>
      </c>
      <c r="AB994" t="s">
        <v>18998</v>
      </c>
      <c r="AC994" t="s">
        <v>18999</v>
      </c>
      <c r="AD994" t="s">
        <v>19000</v>
      </c>
      <c r="AE994" t="s">
        <v>19001</v>
      </c>
      <c r="AF994" t="s">
        <v>74</v>
      </c>
      <c r="AG994">
        <v>77</v>
      </c>
      <c r="AH994">
        <v>31</v>
      </c>
      <c r="AI994">
        <v>31</v>
      </c>
      <c r="AJ994">
        <v>0</v>
      </c>
      <c r="AK994">
        <v>11</v>
      </c>
      <c r="AL994" t="s">
        <v>8045</v>
      </c>
      <c r="AM994" t="s">
        <v>6186</v>
      </c>
      <c r="AN994" t="s">
        <v>6187</v>
      </c>
      <c r="AO994" t="s">
        <v>8046</v>
      </c>
      <c r="AP994" t="s">
        <v>74</v>
      </c>
      <c r="AQ994" t="s">
        <v>74</v>
      </c>
      <c r="AR994" t="s">
        <v>8047</v>
      </c>
      <c r="AS994" t="s">
        <v>8048</v>
      </c>
      <c r="AT994" t="s">
        <v>18966</v>
      </c>
      <c r="AU994">
        <v>2018</v>
      </c>
      <c r="AV994">
        <v>8</v>
      </c>
      <c r="AW994" t="s">
        <v>74</v>
      </c>
      <c r="AX994" t="s">
        <v>74</v>
      </c>
      <c r="AY994" t="s">
        <v>74</v>
      </c>
      <c r="AZ994" t="s">
        <v>74</v>
      </c>
      <c r="BA994" t="s">
        <v>74</v>
      </c>
      <c r="BB994" t="s">
        <v>74</v>
      </c>
      <c r="BC994" t="s">
        <v>74</v>
      </c>
      <c r="BD994">
        <v>14721</v>
      </c>
      <c r="BE994" t="s">
        <v>19002</v>
      </c>
      <c r="BF994" t="str">
        <f>HYPERLINK("http://dx.doi.org/10.1038/s41598-018-33127-1","http://dx.doi.org/10.1038/s41598-018-33127-1")</f>
        <v>http://dx.doi.org/10.1038/s41598-018-33127-1</v>
      </c>
      <c r="BG994" t="s">
        <v>74</v>
      </c>
      <c r="BH994" t="s">
        <v>74</v>
      </c>
      <c r="BI994">
        <v>13</v>
      </c>
      <c r="BJ994" t="s">
        <v>855</v>
      </c>
      <c r="BK994" t="s">
        <v>101</v>
      </c>
      <c r="BL994" t="s">
        <v>856</v>
      </c>
      <c r="BM994" t="s">
        <v>18986</v>
      </c>
      <c r="BN994">
        <v>30283056</v>
      </c>
      <c r="BO994" t="s">
        <v>193</v>
      </c>
      <c r="BP994" t="s">
        <v>74</v>
      </c>
      <c r="BQ994" t="s">
        <v>74</v>
      </c>
      <c r="BR994" t="s">
        <v>104</v>
      </c>
      <c r="BS994" t="s">
        <v>19003</v>
      </c>
      <c r="BT994" t="str">
        <f>HYPERLINK("https%3A%2F%2Fwww.webofscience.com%2Fwos%2Fwoscc%2Ffull-record%2FWOS:000446339400005","View Full Record in Web of Science")</f>
        <v>View Full Record in Web of Science</v>
      </c>
    </row>
    <row r="995" spans="1:72" x14ac:dyDescent="0.15">
      <c r="A995" t="s">
        <v>72</v>
      </c>
      <c r="B995" t="s">
        <v>19004</v>
      </c>
      <c r="C995" t="s">
        <v>74</v>
      </c>
      <c r="D995" t="s">
        <v>74</v>
      </c>
      <c r="E995" t="s">
        <v>74</v>
      </c>
      <c r="F995" t="s">
        <v>19005</v>
      </c>
      <c r="G995" t="s">
        <v>74</v>
      </c>
      <c r="H995" t="s">
        <v>74</v>
      </c>
      <c r="I995" t="s">
        <v>19006</v>
      </c>
      <c r="J995" t="s">
        <v>19007</v>
      </c>
      <c r="K995" t="s">
        <v>74</v>
      </c>
      <c r="L995" t="s">
        <v>74</v>
      </c>
      <c r="M995" t="s">
        <v>78</v>
      </c>
      <c r="N995" t="s">
        <v>79</v>
      </c>
      <c r="O995" t="s">
        <v>74</v>
      </c>
      <c r="P995" t="s">
        <v>74</v>
      </c>
      <c r="Q995" t="s">
        <v>74</v>
      </c>
      <c r="R995" t="s">
        <v>74</v>
      </c>
      <c r="S995" t="s">
        <v>74</v>
      </c>
      <c r="T995" t="s">
        <v>19008</v>
      </c>
      <c r="U995" t="s">
        <v>19009</v>
      </c>
      <c r="V995" t="s">
        <v>19010</v>
      </c>
      <c r="W995" t="s">
        <v>19011</v>
      </c>
      <c r="X995" t="s">
        <v>19012</v>
      </c>
      <c r="Y995" t="s">
        <v>19013</v>
      </c>
      <c r="Z995" t="s">
        <v>19014</v>
      </c>
      <c r="AA995" t="s">
        <v>74</v>
      </c>
      <c r="AB995" t="s">
        <v>19015</v>
      </c>
      <c r="AC995" t="s">
        <v>19016</v>
      </c>
      <c r="AD995" t="s">
        <v>19017</v>
      </c>
      <c r="AE995" t="s">
        <v>19018</v>
      </c>
      <c r="AF995" t="s">
        <v>74</v>
      </c>
      <c r="AG995">
        <v>117</v>
      </c>
      <c r="AH995">
        <v>5</v>
      </c>
      <c r="AI995">
        <v>5</v>
      </c>
      <c r="AJ995">
        <v>1</v>
      </c>
      <c r="AK995">
        <v>15</v>
      </c>
      <c r="AL995" t="s">
        <v>210</v>
      </c>
      <c r="AM995" t="s">
        <v>211</v>
      </c>
      <c r="AN995" t="s">
        <v>212</v>
      </c>
      <c r="AO995" t="s">
        <v>19019</v>
      </c>
      <c r="AP995" t="s">
        <v>19020</v>
      </c>
      <c r="AQ995" t="s">
        <v>74</v>
      </c>
      <c r="AR995" t="s">
        <v>19021</v>
      </c>
      <c r="AS995" t="s">
        <v>19022</v>
      </c>
      <c r="AT995" t="s">
        <v>19023</v>
      </c>
      <c r="AU995">
        <v>2018</v>
      </c>
      <c r="AV995">
        <v>33</v>
      </c>
      <c r="AW995">
        <v>4</v>
      </c>
      <c r="AX995" t="s">
        <v>74</v>
      </c>
      <c r="AY995" t="s">
        <v>74</v>
      </c>
      <c r="AZ995" t="s">
        <v>74</v>
      </c>
      <c r="BA995" t="s">
        <v>74</v>
      </c>
      <c r="BB995">
        <v>413</v>
      </c>
      <c r="BC995">
        <v>452</v>
      </c>
      <c r="BD995" t="s">
        <v>74</v>
      </c>
      <c r="BE995" t="s">
        <v>19024</v>
      </c>
      <c r="BF995" t="str">
        <f>HYPERLINK("http://dx.doi.org/10.1080/0269249X.2019.1570344","http://dx.doi.org/10.1080/0269249X.2019.1570344")</f>
        <v>http://dx.doi.org/10.1080/0269249X.2019.1570344</v>
      </c>
      <c r="BG995" t="s">
        <v>74</v>
      </c>
      <c r="BH995" t="s">
        <v>74</v>
      </c>
      <c r="BI995">
        <v>40</v>
      </c>
      <c r="BJ995" t="s">
        <v>694</v>
      </c>
      <c r="BK995" t="s">
        <v>101</v>
      </c>
      <c r="BL995" t="s">
        <v>694</v>
      </c>
      <c r="BM995" t="s">
        <v>19025</v>
      </c>
      <c r="BN995" t="s">
        <v>74</v>
      </c>
      <c r="BO995" t="s">
        <v>74</v>
      </c>
      <c r="BP995" t="s">
        <v>74</v>
      </c>
      <c r="BQ995" t="s">
        <v>74</v>
      </c>
      <c r="BR995" t="s">
        <v>104</v>
      </c>
      <c r="BS995" t="s">
        <v>19026</v>
      </c>
      <c r="BT995" t="str">
        <f>HYPERLINK("https%3A%2F%2Fwww.webofscience.com%2Fwos%2Fwoscc%2Ffull-record%2FWOS:000463841700001","View Full Record in Web of Science")</f>
        <v>View Full Record in Web of Science</v>
      </c>
    </row>
    <row r="996" spans="1:72" x14ac:dyDescent="0.15">
      <c r="A996" t="s">
        <v>72</v>
      </c>
      <c r="B996" t="s">
        <v>19027</v>
      </c>
      <c r="C996" t="s">
        <v>74</v>
      </c>
      <c r="D996" t="s">
        <v>74</v>
      </c>
      <c r="E996" t="s">
        <v>74</v>
      </c>
      <c r="F996" t="s">
        <v>19028</v>
      </c>
      <c r="G996" t="s">
        <v>74</v>
      </c>
      <c r="H996" t="s">
        <v>74</v>
      </c>
      <c r="I996" t="s">
        <v>19029</v>
      </c>
      <c r="J996" t="s">
        <v>19030</v>
      </c>
      <c r="K996" t="s">
        <v>74</v>
      </c>
      <c r="L996" t="s">
        <v>74</v>
      </c>
      <c r="M996" t="s">
        <v>78</v>
      </c>
      <c r="N996" t="s">
        <v>79</v>
      </c>
      <c r="O996" t="s">
        <v>74</v>
      </c>
      <c r="P996" t="s">
        <v>74</v>
      </c>
      <c r="Q996" t="s">
        <v>74</v>
      </c>
      <c r="R996" t="s">
        <v>74</v>
      </c>
      <c r="S996" t="s">
        <v>74</v>
      </c>
      <c r="T996" t="s">
        <v>19031</v>
      </c>
      <c r="U996" t="s">
        <v>19032</v>
      </c>
      <c r="V996" t="s">
        <v>19033</v>
      </c>
      <c r="W996" t="s">
        <v>19034</v>
      </c>
      <c r="X996" t="s">
        <v>19035</v>
      </c>
      <c r="Y996" t="s">
        <v>19036</v>
      </c>
      <c r="Z996" t="s">
        <v>19037</v>
      </c>
      <c r="AA996" t="s">
        <v>19038</v>
      </c>
      <c r="AB996" t="s">
        <v>19039</v>
      </c>
      <c r="AC996" t="s">
        <v>19040</v>
      </c>
      <c r="AD996" t="s">
        <v>19041</v>
      </c>
      <c r="AE996" t="s">
        <v>19042</v>
      </c>
      <c r="AF996" t="s">
        <v>74</v>
      </c>
      <c r="AG996">
        <v>32</v>
      </c>
      <c r="AH996">
        <v>5</v>
      </c>
      <c r="AI996">
        <v>6</v>
      </c>
      <c r="AJ996">
        <v>0</v>
      </c>
      <c r="AK996">
        <v>6</v>
      </c>
      <c r="AL996" t="s">
        <v>7826</v>
      </c>
      <c r="AM996" t="s">
        <v>7827</v>
      </c>
      <c r="AN996" t="s">
        <v>19043</v>
      </c>
      <c r="AO996" t="s">
        <v>19044</v>
      </c>
      <c r="AP996" t="s">
        <v>19045</v>
      </c>
      <c r="AQ996" t="s">
        <v>74</v>
      </c>
      <c r="AR996" t="s">
        <v>19030</v>
      </c>
      <c r="AS996" t="s">
        <v>19046</v>
      </c>
      <c r="AT996" t="s">
        <v>19023</v>
      </c>
      <c r="AU996">
        <v>2018</v>
      </c>
      <c r="AV996">
        <v>371</v>
      </c>
      <c r="AW996">
        <v>3</v>
      </c>
      <c r="AX996" t="s">
        <v>74</v>
      </c>
      <c r="AY996" t="s">
        <v>74</v>
      </c>
      <c r="AZ996" t="s">
        <v>74</v>
      </c>
      <c r="BA996" t="s">
        <v>74</v>
      </c>
      <c r="BB996">
        <v>168</v>
      </c>
      <c r="BC996">
        <v>184</v>
      </c>
      <c r="BD996" t="s">
        <v>74</v>
      </c>
      <c r="BE996" t="s">
        <v>19047</v>
      </c>
      <c r="BF996" t="str">
        <f>HYPERLINK("http://dx.doi.org/10.11646/phytotaxa.371.3.2","http://dx.doi.org/10.11646/phytotaxa.371.3.2")</f>
        <v>http://dx.doi.org/10.11646/phytotaxa.371.3.2</v>
      </c>
      <c r="BG996" t="s">
        <v>74</v>
      </c>
      <c r="BH996" t="s">
        <v>74</v>
      </c>
      <c r="BI996">
        <v>17</v>
      </c>
      <c r="BJ996" t="s">
        <v>720</v>
      </c>
      <c r="BK996" t="s">
        <v>101</v>
      </c>
      <c r="BL996" t="s">
        <v>720</v>
      </c>
      <c r="BM996" t="s">
        <v>19048</v>
      </c>
      <c r="BN996" t="s">
        <v>74</v>
      </c>
      <c r="BO996" t="s">
        <v>74</v>
      </c>
      <c r="BP996" t="s">
        <v>74</v>
      </c>
      <c r="BQ996" t="s">
        <v>74</v>
      </c>
      <c r="BR996" t="s">
        <v>104</v>
      </c>
      <c r="BS996" t="s">
        <v>19049</v>
      </c>
      <c r="BT996" t="str">
        <f>HYPERLINK("https%3A%2F%2Fwww.webofscience.com%2Fwos%2Fwoscc%2Ffull-record%2FWOS:000446057800002","View Full Record in Web of Science")</f>
        <v>View Full Record in Web of Science</v>
      </c>
    </row>
    <row r="997" spans="1:72" x14ac:dyDescent="0.15">
      <c r="A997" t="s">
        <v>72</v>
      </c>
      <c r="B997" t="s">
        <v>19050</v>
      </c>
      <c r="C997" t="s">
        <v>74</v>
      </c>
      <c r="D997" t="s">
        <v>74</v>
      </c>
      <c r="E997" t="s">
        <v>74</v>
      </c>
      <c r="F997" t="s">
        <v>19051</v>
      </c>
      <c r="G997" t="s">
        <v>74</v>
      </c>
      <c r="H997" t="s">
        <v>74</v>
      </c>
      <c r="I997" t="s">
        <v>19052</v>
      </c>
      <c r="J997" t="s">
        <v>7903</v>
      </c>
      <c r="K997" t="s">
        <v>74</v>
      </c>
      <c r="L997" t="s">
        <v>74</v>
      </c>
      <c r="M997" t="s">
        <v>78</v>
      </c>
      <c r="N997" t="s">
        <v>3800</v>
      </c>
      <c r="O997" t="s">
        <v>74</v>
      </c>
      <c r="P997" t="s">
        <v>74</v>
      </c>
      <c r="Q997" t="s">
        <v>74</v>
      </c>
      <c r="R997" t="s">
        <v>74</v>
      </c>
      <c r="S997" t="s">
        <v>74</v>
      </c>
      <c r="T997" t="s">
        <v>74</v>
      </c>
      <c r="U997" t="s">
        <v>74</v>
      </c>
      <c r="V997" t="s">
        <v>74</v>
      </c>
      <c r="W997" t="s">
        <v>19053</v>
      </c>
      <c r="X997" t="s">
        <v>19054</v>
      </c>
      <c r="Y997" t="s">
        <v>19055</v>
      </c>
      <c r="Z997" t="s">
        <v>19056</v>
      </c>
      <c r="AA997" t="s">
        <v>19057</v>
      </c>
      <c r="AB997" t="s">
        <v>19058</v>
      </c>
      <c r="AC997" t="s">
        <v>19059</v>
      </c>
      <c r="AD997" t="s">
        <v>19060</v>
      </c>
      <c r="AE997" t="s">
        <v>74</v>
      </c>
      <c r="AF997" t="s">
        <v>74</v>
      </c>
      <c r="AG997">
        <v>1</v>
      </c>
      <c r="AH997">
        <v>1</v>
      </c>
      <c r="AI997">
        <v>1</v>
      </c>
      <c r="AJ997">
        <v>1</v>
      </c>
      <c r="AK997">
        <v>10</v>
      </c>
      <c r="AL997" t="s">
        <v>6164</v>
      </c>
      <c r="AM997" t="s">
        <v>3008</v>
      </c>
      <c r="AN997" t="s">
        <v>6165</v>
      </c>
      <c r="AO997" t="s">
        <v>7915</v>
      </c>
      <c r="AP997" t="s">
        <v>74</v>
      </c>
      <c r="AQ997" t="s">
        <v>74</v>
      </c>
      <c r="AR997" t="s">
        <v>7916</v>
      </c>
      <c r="AS997" t="s">
        <v>7917</v>
      </c>
      <c r="AT997" t="s">
        <v>19023</v>
      </c>
      <c r="AU997">
        <v>2018</v>
      </c>
      <c r="AV997">
        <v>9</v>
      </c>
      <c r="AW997" t="s">
        <v>74</v>
      </c>
      <c r="AX997" t="s">
        <v>74</v>
      </c>
      <c r="AY997" t="s">
        <v>74</v>
      </c>
      <c r="AZ997" t="s">
        <v>74</v>
      </c>
      <c r="BA997" t="s">
        <v>74</v>
      </c>
      <c r="BB997" t="s">
        <v>74</v>
      </c>
      <c r="BC997" t="s">
        <v>74</v>
      </c>
      <c r="BD997">
        <v>4105</v>
      </c>
      <c r="BE997" t="s">
        <v>19061</v>
      </c>
      <c r="BF997" t="str">
        <f>HYPERLINK("http://dx.doi.org/10.1038/s41467-018-06662-8","http://dx.doi.org/10.1038/s41467-018-06662-8")</f>
        <v>http://dx.doi.org/10.1038/s41467-018-06662-8</v>
      </c>
      <c r="BG997" t="s">
        <v>74</v>
      </c>
      <c r="BH997" t="s">
        <v>74</v>
      </c>
      <c r="BI997">
        <v>1</v>
      </c>
      <c r="BJ997" t="s">
        <v>855</v>
      </c>
      <c r="BK997" t="s">
        <v>101</v>
      </c>
      <c r="BL997" t="s">
        <v>856</v>
      </c>
      <c r="BM997" t="s">
        <v>19062</v>
      </c>
      <c r="BN997">
        <v>30279569</v>
      </c>
      <c r="BO997" t="s">
        <v>193</v>
      </c>
      <c r="BP997" t="s">
        <v>74</v>
      </c>
      <c r="BQ997" t="s">
        <v>74</v>
      </c>
      <c r="BR997" t="s">
        <v>104</v>
      </c>
      <c r="BS997" t="s">
        <v>19063</v>
      </c>
      <c r="BT997" t="str">
        <f>HYPERLINK("https%3A%2F%2Fwww.webofscience.com%2Fwos%2Fwoscc%2Ffull-record%2FWOS:000446021800002","View Full Record in Web of Science")</f>
        <v>View Full Record in Web of Science</v>
      </c>
    </row>
    <row r="998" spans="1:72" x14ac:dyDescent="0.15">
      <c r="A998" t="s">
        <v>72</v>
      </c>
      <c r="B998" t="s">
        <v>19064</v>
      </c>
      <c r="C998" t="s">
        <v>74</v>
      </c>
      <c r="D998" t="s">
        <v>74</v>
      </c>
      <c r="E998" t="s">
        <v>74</v>
      </c>
      <c r="F998" t="s">
        <v>19065</v>
      </c>
      <c r="G998" t="s">
        <v>74</v>
      </c>
      <c r="H998" t="s">
        <v>74</v>
      </c>
      <c r="I998" t="s">
        <v>19066</v>
      </c>
      <c r="J998" t="s">
        <v>19067</v>
      </c>
      <c r="K998" t="s">
        <v>74</v>
      </c>
      <c r="L998" t="s">
        <v>74</v>
      </c>
      <c r="M998" t="s">
        <v>78</v>
      </c>
      <c r="N998" t="s">
        <v>79</v>
      </c>
      <c r="O998" t="s">
        <v>74</v>
      </c>
      <c r="P998" t="s">
        <v>74</v>
      </c>
      <c r="Q998" t="s">
        <v>74</v>
      </c>
      <c r="R998" t="s">
        <v>74</v>
      </c>
      <c r="S998" t="s">
        <v>74</v>
      </c>
      <c r="T998" t="s">
        <v>19068</v>
      </c>
      <c r="U998" t="s">
        <v>19069</v>
      </c>
      <c r="V998" t="s">
        <v>19070</v>
      </c>
      <c r="W998" t="s">
        <v>19071</v>
      </c>
      <c r="X998" t="s">
        <v>19072</v>
      </c>
      <c r="Y998" t="s">
        <v>19073</v>
      </c>
      <c r="Z998" t="s">
        <v>19074</v>
      </c>
      <c r="AA998" t="s">
        <v>1680</v>
      </c>
      <c r="AB998" t="s">
        <v>19075</v>
      </c>
      <c r="AC998" t="s">
        <v>19076</v>
      </c>
      <c r="AD998" t="s">
        <v>19077</v>
      </c>
      <c r="AE998" t="s">
        <v>19078</v>
      </c>
      <c r="AF998" t="s">
        <v>74</v>
      </c>
      <c r="AG998">
        <v>100</v>
      </c>
      <c r="AH998">
        <v>16</v>
      </c>
      <c r="AI998">
        <v>16</v>
      </c>
      <c r="AJ998">
        <v>2</v>
      </c>
      <c r="AK998">
        <v>7</v>
      </c>
      <c r="AL998" t="s">
        <v>7701</v>
      </c>
      <c r="AM998" t="s">
        <v>3008</v>
      </c>
      <c r="AN998" t="s">
        <v>7702</v>
      </c>
      <c r="AO998" t="s">
        <v>19079</v>
      </c>
      <c r="AP998" t="s">
        <v>19080</v>
      </c>
      <c r="AQ998" t="s">
        <v>74</v>
      </c>
      <c r="AR998" t="s">
        <v>19081</v>
      </c>
      <c r="AS998" t="s">
        <v>19082</v>
      </c>
      <c r="AT998" t="s">
        <v>19083</v>
      </c>
      <c r="AU998">
        <v>2018</v>
      </c>
      <c r="AV998">
        <v>90</v>
      </c>
      <c r="AW998" t="s">
        <v>74</v>
      </c>
      <c r="AX998" t="s">
        <v>74</v>
      </c>
      <c r="AY998" t="s">
        <v>74</v>
      </c>
      <c r="AZ998" t="s">
        <v>74</v>
      </c>
      <c r="BA998" t="s">
        <v>74</v>
      </c>
      <c r="BB998">
        <v>349</v>
      </c>
      <c r="BC998">
        <v>362</v>
      </c>
      <c r="BD998" t="s">
        <v>74</v>
      </c>
      <c r="BE998" t="s">
        <v>19084</v>
      </c>
      <c r="BF998" t="str">
        <f>HYPERLINK("http://dx.doi.org/10.1016/j.cretres.2018.06.009","http://dx.doi.org/10.1016/j.cretres.2018.06.009")</f>
        <v>http://dx.doi.org/10.1016/j.cretres.2018.06.009</v>
      </c>
      <c r="BG998" t="s">
        <v>74</v>
      </c>
      <c r="BH998" t="s">
        <v>74</v>
      </c>
      <c r="BI998">
        <v>14</v>
      </c>
      <c r="BJ998" t="s">
        <v>7133</v>
      </c>
      <c r="BK998" t="s">
        <v>101</v>
      </c>
      <c r="BL998" t="s">
        <v>7133</v>
      </c>
      <c r="BM998" t="s">
        <v>19085</v>
      </c>
      <c r="BN998" t="s">
        <v>74</v>
      </c>
      <c r="BO998" t="s">
        <v>74</v>
      </c>
      <c r="BP998" t="s">
        <v>74</v>
      </c>
      <c r="BQ998" t="s">
        <v>74</v>
      </c>
      <c r="BR998" t="s">
        <v>104</v>
      </c>
      <c r="BS998" t="s">
        <v>19086</v>
      </c>
      <c r="BT998" t="str">
        <f>HYPERLINK("https%3A%2F%2Fwww.webofscience.com%2Fwos%2Fwoscc%2Ffull-record%2FWOS:000442334000030","View Full Record in Web of Science")</f>
        <v>View Full Record in Web of Science</v>
      </c>
    </row>
    <row r="999" spans="1:72" x14ac:dyDescent="0.15">
      <c r="A999" t="s">
        <v>72</v>
      </c>
      <c r="B999" t="s">
        <v>19087</v>
      </c>
      <c r="C999" t="s">
        <v>74</v>
      </c>
      <c r="D999" t="s">
        <v>74</v>
      </c>
      <c r="E999" t="s">
        <v>74</v>
      </c>
      <c r="F999" t="s">
        <v>19088</v>
      </c>
      <c r="G999" t="s">
        <v>74</v>
      </c>
      <c r="H999" t="s">
        <v>74</v>
      </c>
      <c r="I999" t="s">
        <v>19089</v>
      </c>
      <c r="J999" t="s">
        <v>19090</v>
      </c>
      <c r="K999" t="s">
        <v>74</v>
      </c>
      <c r="L999" t="s">
        <v>74</v>
      </c>
      <c r="M999" t="s">
        <v>78</v>
      </c>
      <c r="N999" t="s">
        <v>79</v>
      </c>
      <c r="O999" t="s">
        <v>74</v>
      </c>
      <c r="P999" t="s">
        <v>74</v>
      </c>
      <c r="Q999" t="s">
        <v>74</v>
      </c>
      <c r="R999" t="s">
        <v>74</v>
      </c>
      <c r="S999" t="s">
        <v>74</v>
      </c>
      <c r="T999" t="s">
        <v>74</v>
      </c>
      <c r="U999" t="s">
        <v>19091</v>
      </c>
      <c r="V999" t="s">
        <v>19092</v>
      </c>
      <c r="W999" t="s">
        <v>19093</v>
      </c>
      <c r="X999" t="s">
        <v>19094</v>
      </c>
      <c r="Y999" t="s">
        <v>19095</v>
      </c>
      <c r="Z999" t="s">
        <v>74</v>
      </c>
      <c r="AA999" t="s">
        <v>74</v>
      </c>
      <c r="AB999" t="s">
        <v>74</v>
      </c>
      <c r="AC999" t="s">
        <v>19096</v>
      </c>
      <c r="AD999" t="s">
        <v>19097</v>
      </c>
      <c r="AE999" t="s">
        <v>19098</v>
      </c>
      <c r="AF999" t="s">
        <v>74</v>
      </c>
      <c r="AG999">
        <v>133</v>
      </c>
      <c r="AH999">
        <v>13</v>
      </c>
      <c r="AI999">
        <v>13</v>
      </c>
      <c r="AJ999">
        <v>0</v>
      </c>
      <c r="AK999">
        <v>28</v>
      </c>
      <c r="AL999" t="s">
        <v>19099</v>
      </c>
      <c r="AM999" t="s">
        <v>2440</v>
      </c>
      <c r="AN999" t="s">
        <v>19100</v>
      </c>
      <c r="AO999" t="s">
        <v>19101</v>
      </c>
      <c r="AP999" t="s">
        <v>74</v>
      </c>
      <c r="AQ999" t="s">
        <v>74</v>
      </c>
      <c r="AR999" t="s">
        <v>19102</v>
      </c>
      <c r="AS999" t="s">
        <v>19103</v>
      </c>
      <c r="AT999" t="s">
        <v>19104</v>
      </c>
      <c r="AU999">
        <v>2018</v>
      </c>
      <c r="AV999">
        <v>52</v>
      </c>
      <c r="AW999">
        <v>4</v>
      </c>
      <c r="AX999" t="s">
        <v>74</v>
      </c>
      <c r="AY999" t="s">
        <v>74</v>
      </c>
      <c r="AZ999" t="s">
        <v>74</v>
      </c>
      <c r="BA999" t="s">
        <v>74</v>
      </c>
      <c r="BB999">
        <v>8</v>
      </c>
      <c r="BC999">
        <v>40</v>
      </c>
      <c r="BD999" t="s">
        <v>74</v>
      </c>
      <c r="BE999" t="s">
        <v>19105</v>
      </c>
      <c r="BF999" t="str">
        <f>HYPERLINK("http://dx.doi.org/10.19199/2018.4.0557-1405.008","http://dx.doi.org/10.19199/2018.4.0557-1405.008")</f>
        <v>http://dx.doi.org/10.19199/2018.4.0557-1405.008</v>
      </c>
      <c r="BG999" t="s">
        <v>74</v>
      </c>
      <c r="BH999" t="s">
        <v>74</v>
      </c>
      <c r="BI999">
        <v>33</v>
      </c>
      <c r="BJ999" t="s">
        <v>19106</v>
      </c>
      <c r="BK999" t="s">
        <v>349</v>
      </c>
      <c r="BL999" t="s">
        <v>1241</v>
      </c>
      <c r="BM999" t="s">
        <v>19107</v>
      </c>
      <c r="BN999" t="s">
        <v>74</v>
      </c>
      <c r="BO999" t="s">
        <v>74</v>
      </c>
      <c r="BP999" t="s">
        <v>74</v>
      </c>
      <c r="BQ999" t="s">
        <v>74</v>
      </c>
      <c r="BR999" t="s">
        <v>104</v>
      </c>
      <c r="BS999" t="s">
        <v>19108</v>
      </c>
      <c r="BT999" t="str">
        <f>HYPERLINK("https%3A%2F%2Fwww.webofscience.com%2Fwos%2Fwoscc%2Ffull-record%2FWOS:000459624500002","View Full Record in Web of Science")</f>
        <v>View Full Record in Web of Science</v>
      </c>
    </row>
    <row r="1000" spans="1:72" x14ac:dyDescent="0.15">
      <c r="A1000" t="s">
        <v>72</v>
      </c>
      <c r="B1000" t="s">
        <v>19109</v>
      </c>
      <c r="C1000" t="s">
        <v>74</v>
      </c>
      <c r="D1000" t="s">
        <v>74</v>
      </c>
      <c r="E1000" t="s">
        <v>74</v>
      </c>
      <c r="F1000" t="s">
        <v>19110</v>
      </c>
      <c r="G1000" t="s">
        <v>74</v>
      </c>
      <c r="H1000" t="s">
        <v>74</v>
      </c>
      <c r="I1000" t="s">
        <v>19111</v>
      </c>
      <c r="J1000" t="s">
        <v>19112</v>
      </c>
      <c r="K1000" t="s">
        <v>74</v>
      </c>
      <c r="L1000" t="s">
        <v>74</v>
      </c>
      <c r="M1000" t="s">
        <v>78</v>
      </c>
      <c r="N1000" t="s">
        <v>79</v>
      </c>
      <c r="O1000" t="s">
        <v>74</v>
      </c>
      <c r="P1000" t="s">
        <v>74</v>
      </c>
      <c r="Q1000" t="s">
        <v>74</v>
      </c>
      <c r="R1000" t="s">
        <v>74</v>
      </c>
      <c r="S1000" t="s">
        <v>74</v>
      </c>
      <c r="T1000" t="s">
        <v>19113</v>
      </c>
      <c r="U1000" t="s">
        <v>19114</v>
      </c>
      <c r="V1000" t="s">
        <v>19115</v>
      </c>
      <c r="W1000" t="s">
        <v>19116</v>
      </c>
      <c r="X1000" t="s">
        <v>19117</v>
      </c>
      <c r="Y1000" t="s">
        <v>19118</v>
      </c>
      <c r="Z1000" t="s">
        <v>19119</v>
      </c>
      <c r="AA1000" t="s">
        <v>74</v>
      </c>
      <c r="AB1000" t="s">
        <v>74</v>
      </c>
      <c r="AC1000" t="s">
        <v>19120</v>
      </c>
      <c r="AD1000" t="s">
        <v>19121</v>
      </c>
      <c r="AE1000" t="s">
        <v>19122</v>
      </c>
      <c r="AF1000" t="s">
        <v>74</v>
      </c>
      <c r="AG1000">
        <v>45</v>
      </c>
      <c r="AH1000">
        <v>3</v>
      </c>
      <c r="AI1000">
        <v>3</v>
      </c>
      <c r="AJ1000">
        <v>1</v>
      </c>
      <c r="AK1000">
        <v>26</v>
      </c>
      <c r="AL1000" t="s">
        <v>1013</v>
      </c>
      <c r="AM1000" t="s">
        <v>1014</v>
      </c>
      <c r="AN1000" t="s">
        <v>1015</v>
      </c>
      <c r="AO1000" t="s">
        <v>19123</v>
      </c>
      <c r="AP1000" t="s">
        <v>74</v>
      </c>
      <c r="AQ1000" t="s">
        <v>74</v>
      </c>
      <c r="AR1000" t="s">
        <v>19124</v>
      </c>
      <c r="AS1000" t="s">
        <v>19125</v>
      </c>
      <c r="AT1000" t="s">
        <v>19083</v>
      </c>
      <c r="AU1000">
        <v>2018</v>
      </c>
      <c r="AV1000">
        <v>10</v>
      </c>
      <c r="AW1000">
        <v>5</v>
      </c>
      <c r="AX1000" t="s">
        <v>74</v>
      </c>
      <c r="AY1000" t="s">
        <v>74</v>
      </c>
      <c r="AZ1000" t="s">
        <v>74</v>
      </c>
      <c r="BA1000" t="s">
        <v>74</v>
      </c>
      <c r="BB1000">
        <v>369</v>
      </c>
      <c r="BC1000">
        <v>378</v>
      </c>
      <c r="BD1000" t="s">
        <v>74</v>
      </c>
      <c r="BE1000" t="s">
        <v>19126</v>
      </c>
      <c r="BF1000" t="str">
        <f>HYPERLINK("http://dx.doi.org/10.3724/SP.J.1226.2018.00369","http://dx.doi.org/10.3724/SP.J.1226.2018.00369")</f>
        <v>http://dx.doi.org/10.3724/SP.J.1226.2018.00369</v>
      </c>
      <c r="BG1000" t="s">
        <v>74</v>
      </c>
      <c r="BH1000" t="s">
        <v>74</v>
      </c>
      <c r="BI1000">
        <v>10</v>
      </c>
      <c r="BJ1000" t="s">
        <v>10547</v>
      </c>
      <c r="BK1000" t="s">
        <v>349</v>
      </c>
      <c r="BL1000" t="s">
        <v>10548</v>
      </c>
      <c r="BM1000" t="s">
        <v>19127</v>
      </c>
      <c r="BN1000" t="s">
        <v>74</v>
      </c>
      <c r="BO1000" t="s">
        <v>74</v>
      </c>
      <c r="BP1000" t="s">
        <v>74</v>
      </c>
      <c r="BQ1000" t="s">
        <v>74</v>
      </c>
      <c r="BR1000" t="s">
        <v>104</v>
      </c>
      <c r="BS1000" t="s">
        <v>19128</v>
      </c>
      <c r="BT1000" t="str">
        <f>HYPERLINK("https%3A%2F%2Fwww.webofscience.com%2Fwos%2Fwoscc%2Ffull-record%2FWOS:000457528800002","View Full Record in Web of Science")</f>
        <v>View Full Record in Web of Science</v>
      </c>
    </row>
    <row r="1001" spans="1:72" x14ac:dyDescent="0.15">
      <c r="A1001" t="s">
        <v>72</v>
      </c>
      <c r="B1001" t="s">
        <v>19129</v>
      </c>
      <c r="C1001" t="s">
        <v>74</v>
      </c>
      <c r="D1001" t="s">
        <v>74</v>
      </c>
      <c r="E1001" t="s">
        <v>74</v>
      </c>
      <c r="F1001" t="s">
        <v>19130</v>
      </c>
      <c r="G1001" t="s">
        <v>74</v>
      </c>
      <c r="H1001" t="s">
        <v>74</v>
      </c>
      <c r="I1001" t="s">
        <v>19131</v>
      </c>
      <c r="J1001" t="s">
        <v>19132</v>
      </c>
      <c r="K1001" t="s">
        <v>74</v>
      </c>
      <c r="L1001" t="s">
        <v>74</v>
      </c>
      <c r="M1001" t="s">
        <v>78</v>
      </c>
      <c r="N1001" t="s">
        <v>79</v>
      </c>
      <c r="O1001" t="s">
        <v>74</v>
      </c>
      <c r="P1001" t="s">
        <v>74</v>
      </c>
      <c r="Q1001" t="s">
        <v>74</v>
      </c>
      <c r="R1001" t="s">
        <v>74</v>
      </c>
      <c r="S1001" t="s">
        <v>74</v>
      </c>
      <c r="T1001" t="s">
        <v>19133</v>
      </c>
      <c r="U1001" t="s">
        <v>19134</v>
      </c>
      <c r="V1001" t="s">
        <v>19135</v>
      </c>
      <c r="W1001" t="s">
        <v>19136</v>
      </c>
      <c r="X1001" t="s">
        <v>19137</v>
      </c>
      <c r="Y1001" t="s">
        <v>19138</v>
      </c>
      <c r="Z1001" t="s">
        <v>19139</v>
      </c>
      <c r="AA1001" t="s">
        <v>19140</v>
      </c>
      <c r="AB1001" t="s">
        <v>19141</v>
      </c>
      <c r="AC1001" t="s">
        <v>19142</v>
      </c>
      <c r="AD1001" t="s">
        <v>19143</v>
      </c>
      <c r="AE1001" t="s">
        <v>19144</v>
      </c>
      <c r="AF1001" t="s">
        <v>74</v>
      </c>
      <c r="AG1001">
        <v>36</v>
      </c>
      <c r="AH1001">
        <v>6</v>
      </c>
      <c r="AI1001">
        <v>6</v>
      </c>
      <c r="AJ1001">
        <v>2</v>
      </c>
      <c r="AK1001">
        <v>9</v>
      </c>
      <c r="AL1001" t="s">
        <v>19145</v>
      </c>
      <c r="AM1001" t="s">
        <v>819</v>
      </c>
      <c r="AN1001" t="s">
        <v>19146</v>
      </c>
      <c r="AO1001" t="s">
        <v>19147</v>
      </c>
      <c r="AP1001" t="s">
        <v>19148</v>
      </c>
      <c r="AQ1001" t="s">
        <v>74</v>
      </c>
      <c r="AR1001" t="s">
        <v>19149</v>
      </c>
      <c r="AS1001" t="s">
        <v>19150</v>
      </c>
      <c r="AT1001" t="s">
        <v>19104</v>
      </c>
      <c r="AU1001">
        <v>2018</v>
      </c>
      <c r="AV1001">
        <v>48</v>
      </c>
      <c r="AW1001">
        <v>4</v>
      </c>
      <c r="AX1001" t="s">
        <v>74</v>
      </c>
      <c r="AY1001" t="s">
        <v>74</v>
      </c>
      <c r="AZ1001" t="s">
        <v>74</v>
      </c>
      <c r="BA1001" t="s">
        <v>74</v>
      </c>
      <c r="BB1001">
        <v>853</v>
      </c>
      <c r="BC1001">
        <v>865</v>
      </c>
      <c r="BD1001" t="s">
        <v>74</v>
      </c>
      <c r="BE1001" t="s">
        <v>19151</v>
      </c>
      <c r="BF1001" t="str">
        <f>HYPERLINK("http://dx.doi.org/10.1590/2317-4889201820180037","http://dx.doi.org/10.1590/2317-4889201820180037")</f>
        <v>http://dx.doi.org/10.1590/2317-4889201820180037</v>
      </c>
      <c r="BG1001" t="s">
        <v>74</v>
      </c>
      <c r="BH1001" t="s">
        <v>74</v>
      </c>
      <c r="BI1001">
        <v>13</v>
      </c>
      <c r="BJ1001" t="s">
        <v>884</v>
      </c>
      <c r="BK1001" t="s">
        <v>101</v>
      </c>
      <c r="BL1001" t="s">
        <v>528</v>
      </c>
      <c r="BM1001" t="s">
        <v>19152</v>
      </c>
      <c r="BN1001" t="s">
        <v>74</v>
      </c>
      <c r="BO1001" t="s">
        <v>8859</v>
      </c>
      <c r="BP1001" t="s">
        <v>74</v>
      </c>
      <c r="BQ1001" t="s">
        <v>74</v>
      </c>
      <c r="BR1001" t="s">
        <v>104</v>
      </c>
      <c r="BS1001" t="s">
        <v>19153</v>
      </c>
      <c r="BT1001" t="str">
        <f>HYPERLINK("https%3A%2F%2Fwww.webofscience.com%2Fwos%2Fwoscc%2Ffull-record%2FWOS:000455441300012","View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2024-07-28T15:23:48Z</dcterms:created>
  <dcterms:modified xsi:type="dcterms:W3CDTF">2024-07-28T15:23:48Z</dcterms:modified>
</cp:coreProperties>
</file>